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345" windowWidth="18870" windowHeight="11370" tabRatio="832"/>
  </bookViews>
  <sheets>
    <sheet name="ImportantDisclosures" sheetId="59" r:id="rId1"/>
    <sheet name="IS" sheetId="2" r:id="rId2"/>
    <sheet name="BS" sheetId="3" r:id="rId3"/>
    <sheet name="MW-Cache" sheetId="8" state="veryHidden" r:id="rId4"/>
    <sheet name="CFS" sheetId="4" r:id="rId5"/>
    <sheet name="BU-Segment" sheetId="17" r:id="rId6"/>
    <sheet name="IndexInformation" sheetId="60" r:id="rId7"/>
    <sheet name="ModPubIndex" sheetId="61" r:id="rId8"/>
    <sheet name="__FDSCACHE__" sheetId="14" state="very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Viewer?action=AUDIT_VALUE&amp;DB=129&amp;ID1=651053&amp;VALUEID=02001&amp;SDATE=201003&amp;PERIODTYPE=QTR_STD&amp;window=popup_no_bar&amp;width=385&amp;height=120&amp;START_MAXIMIZED=FALSE&amp;creator=factset&amp;display_string=Audit"}</definedName>
    <definedName name="_10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Viewer?action=AUDIT_VALUE&amp;DB=129&amp;ID1=11132010&amp;VALUEID=02001&amp;SDATE=201003&amp;PERIODTYPE=QTR_STD&amp;window=popup_no_bar&amp;width=385&amp;height=120&amp;START_MAXIMIZED=FALSE&amp;creator=factset&amp;display_string=Audit"}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Viewer?action=AUDIT_VALUE&amp;DB=129&amp;ID1=651053&amp;VALUEID=02001&amp;SDATE=201003&amp;PERIODTYPE=QTR_STD&amp;window=popup_no_bar&amp;width=385&amp;height=120&amp;START_MAXIMIZED=FALSE&amp;creator=factset&amp;display_string=Audit"}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0326CFAE2CD54168A104CB9A387C306D.edm" hidden="1">'[2]#9'!$A:$IV</definedName>
    <definedName name="_bdm.050C8E1909B34D5781F745306A1AAF63.edm" hidden="1">'[3]#3'!$IV$1</definedName>
    <definedName name="_bdm.0CEE606E521246D088881672794AAC9A.edm" hidden="1">'[4]#14'!$A:$IV</definedName>
    <definedName name="_bdm.0E4B28896C444A3CA0DF6A09869CD53C.edm" hidden="1">'[5]#14'!$A:$IV</definedName>
    <definedName name="_bdm.0FC57EA1724845A1A18C219BB102A08C.edm" localSheetId="2" hidden="1">BS!$A$4:$CY$35</definedName>
    <definedName name="_bdm.153C9321227E463583D34D64E3AD269F.edm" hidden="1">'[4]#1'!$A:$IV</definedName>
    <definedName name="_bdm.1A349F180AD942ABA5989494FFE562FF.edm" hidden="1">'[6]#5'!$A:$IV</definedName>
    <definedName name="_bdm.2389C60A0F954B8292AE7337FA75E7DD.edm" hidden="1">'[6]#7'!$A:$IV</definedName>
    <definedName name="_bdm.245026C3FBCC4276ADC04CD09512A598.edm" hidden="1">'[5]#11'!$A:$IV</definedName>
    <definedName name="_bdm.2B35933CBB9C48E7980E4A622A6C07A0.edm" hidden="1">'[2]#14'!$A:$IV</definedName>
    <definedName name="_bdm.30F52AD8F8874FD5A3CA35D97B30556B.edm" hidden="1">'[3]#2'!$IV$1</definedName>
    <definedName name="_bdm.3336BC33A8934F738865FA285AB58823.edm" hidden="1">'[5]#4'!$A:$IV</definedName>
    <definedName name="_bdm.362428EB24E24CB4A1402C12F523632A.edm" hidden="1">'[5]#12'!$A:$IV</definedName>
    <definedName name="_bdm.3A4A3298898E4B55A29A6B52021451BB.edm" hidden="1">'[3]S8 Chart'!$IV$1</definedName>
    <definedName name="_bdm.3A84D29B761E4CFBA4CB213B91E22BE6.edm" hidden="1">'[4]#10'!$A:$IV</definedName>
    <definedName name="_bdm.434F2D49C46D414DBFBCB3B67877C92B.edm" localSheetId="1" hidden="1">IS!$B$5:$CH$118</definedName>
    <definedName name="_bdm.45E9BB358FD64AD8B06A2CB476E1F110.edm" hidden="1">'[4]#8'!$A:$IV</definedName>
    <definedName name="_bdm.464D91CEC159453A944B34A61032B84C.edm" hidden="1">'[6]#3'!$A:$IV</definedName>
    <definedName name="_bdm.48182A085FEE45E4B4DC70E361BAFBBB.edm" hidden="1">'[3]#3'!$IV$1</definedName>
    <definedName name="_bdm.4AB4BD992EC84BAB88E96194BB6D0880.edm" hidden="1">[7]Multiples!$A:$IV</definedName>
    <definedName name="_bdm.4CC4C23A9C7C4B06BA111FCEFA3C149A.edm" hidden="1">'[3]S9 Chart'!$IV$1</definedName>
    <definedName name="_bdm.4D27FE7E93A5420CBD20B94B57562FFC.edm" hidden="1">'[2]#12'!$A:$IV</definedName>
    <definedName name="_bdm.4DE28E7274D14AC18868EAC622A82CE9.edm" hidden="1">'[2]#4'!$A:$IV</definedName>
    <definedName name="_bdm.4F093D9D0D684A00B8CE2A28F22BD2B8.edm" hidden="1">'[4]#9'!$A:$IV</definedName>
    <definedName name="_bdm.4F546265E69843F4A026D415747A03CA.edm" hidden="1">'[3]S9 Chart'!$IV$1</definedName>
    <definedName name="_bdm.4FE643A92F94478EA90EA60C23351C70.edm" hidden="1">'[2]#3'!$A:$IV</definedName>
    <definedName name="_bdm.50ED0AC1933744C1947C3718AF637DCC.edm" hidden="1">[3]S4!$A:$IV</definedName>
    <definedName name="_bdm.53A859DF5B164668BCD2AEF6F136E3A3.edm" hidden="1">'[5]#9'!$A:$IV</definedName>
    <definedName name="_bdm.56C908E9474F4CC180BA248CA7E0ADB2.edm" hidden="1">'[4]#4'!$A:$IV</definedName>
    <definedName name="_bdm.5E2D9DAF267D463EA602444BCCB2A789.edm" hidden="1">'[6]#9'!$A:$IV</definedName>
    <definedName name="_bdm.5F15C3E5D64440189642AE0BC43F0EE5.edm" hidden="1">'[5]#3'!$A:$IV</definedName>
    <definedName name="_bdm.606419E0580848F59AB324B771996CD1.edm" hidden="1">'[5]#5'!$A:$IV</definedName>
    <definedName name="_bdm.632686649254457B98A04A830F7785FC.edm" hidden="1">'[3]S9 Chart'!$IV$1</definedName>
    <definedName name="_bdm.6528B87F489244399FB808A1A43510B9.edm" hidden="1">[3]S3!$A:$IV</definedName>
    <definedName name="_bdm.65F2DB2310874133AE56A666446558E3.edm" hidden="1">'[5]#8'!$A:$IV</definedName>
    <definedName name="_bdm.667ADA64E009496A9A793AF989852D85.edm" hidden="1">'[2]#6'!$A:$IV</definedName>
    <definedName name="_bdm.6A1461C13628449486AF1F9D3C1A4CB4.edm" hidden="1">IS!$1:$1048576</definedName>
    <definedName name="_bdm.6BB9C2C88B764E53815C16E8E95FCB55.edm" hidden="1">'[2]Macro #2'!$A:$IV</definedName>
    <definedName name="_bdm.6EB531D1EE1D43548EA3916E11178C8C.edm" hidden="1">'[2]#2'!$A:$IV</definedName>
    <definedName name="_bdm.6EF4832A57374BBDB7027CF5502BD344.edm" hidden="1">[3]S6!$A:$IV</definedName>
    <definedName name="_bdm.6F12F689972348EFA2154ADF87539E9D.edm" localSheetId="4" hidden="1">CFS!$A$4:$CY$51</definedName>
    <definedName name="_bdm.7107487F93F4402F9A45C66F40B0F30C.edm" localSheetId="4" hidden="1">CFS!$B$4:$CH$51</definedName>
    <definedName name="_bdm.7204F71BCAB7449FB020ECDD472457F0.edm" hidden="1">'[5]#13'!$A:$IV</definedName>
    <definedName name="_bdm.78337B59E1FE44A78A326231FC2A0D88.edm" hidden="1">'[3]S8 Chart'!$IV$1</definedName>
    <definedName name="_bdm.7A4550BDA5C34FC59B428FFFC0C3B8F6.edm" hidden="1">'[3]S8 Chart'!$IV$1</definedName>
    <definedName name="_bdm.7DC70BC33D9041D780F45ADD7A89EDFB.edm" hidden="1">'[4]#12'!$A:$IV</definedName>
    <definedName name="_bdm.829B9BFFDC7B48BCA747E3422F808899.edm" localSheetId="2" hidden="1">BS!$B$4:$CH$35</definedName>
    <definedName name="_bdm.8751272F9A8D44378B32AA98C3E0D37C.edm" hidden="1">'[3]#3'!$IV$1</definedName>
    <definedName name="_bdm.8B4ED4D9026846A0AADD0406E9CF8FBA.edm" hidden="1">'[3]S9 Chart'!$IV$1</definedName>
    <definedName name="_bdm.92D549AB5EC94958A3ABCC7F66F702A6.edm" hidden="1">'[6]#10'!$A:$IV</definedName>
    <definedName name="_bdm.935D53C4A3384991950E0714FE2E4F48.edm" hidden="1">'[7]Valuation Charts'!$A:$IV</definedName>
    <definedName name="_bdm.97F355313A58405B98BB70CE304EDDB2.edm" localSheetId="4" hidden="1">CFS!$B$4:$CG$51</definedName>
    <definedName name="_bdm.97FEA39CA7D944828AAEC417C14F4A7A.edm" hidden="1">'[3]#2'!$IV$1</definedName>
    <definedName name="_bdm.9AE3B872083547F9833AAFEDF37FF861.edm" hidden="1" xml:space="preserve">                                                                                                                            [8]DATASHEET!$A:$IV</definedName>
    <definedName name="_bdm.9AEDEB5F1F7949F5B7D5AA272CB0E6DB.edm" hidden="1">'[9]#2'!$A:$IV</definedName>
    <definedName name="_bdm.9FAE4311AF264C9B97B40C8D203DACC4.edm" hidden="1">'[3]S9 Chart'!$IV$1</definedName>
    <definedName name="_bdm.A8C362D7BCE542E78C733B33B2AFD4C8.edm" hidden="1">'[2]#7'!$A:$IV</definedName>
    <definedName name="_bdm.ABF7C79E640B49E8B817F28773DF7A02.edm" hidden="1">'[2]#13'!$A:$IV</definedName>
    <definedName name="_bdm.ACDA514CAD0B4D02B4AFDD52E4D1F387.edm" hidden="1">'[3]S9 Chart'!$IV$1</definedName>
    <definedName name="_bdm.AE73063A632F4E1DB6FEC189A023FD0E.edm" hidden="1">'[3]#2'!$IV$1</definedName>
    <definedName name="_bdm.B1F459ED56F848028478C8AE986B6467.edm" hidden="1">'[7]Cover Page'!$A:$IV</definedName>
    <definedName name="_bdm.B2830D9544C947C3B44B1B5939869276.edm" hidden="1">'[10]#1'!$A:$IV</definedName>
    <definedName name="_bdm.B42E623295F241E4A00756B2F5E212D4.edm" hidden="1">CFS!$1:$1048576</definedName>
    <definedName name="_bdm.B44A6509B42742559C1BA734A3459C1D.edm" hidden="1">'[5]#10'!$A:$IV</definedName>
    <definedName name="_bdm.BBA57F25008C4CA6ADA801267ADFFD37.edm" hidden="1">'[2]#10'!$A:$IV</definedName>
    <definedName name="_bdm.BDD360FE6FE64DD9AC61F9FCE0DFD937.edm" hidden="1">[7]Performance!$A:$IV</definedName>
    <definedName name="_bdm.BE6BBBC66EBE418BA7AE840ADAAA2777.edm" hidden="1">'[4]#3'!$A:$IV</definedName>
    <definedName name="_bdm.C78AE1DBE40D40FE9FD58D0FA889CB2B.edm" hidden="1">'[2]#8'!$A:$IV</definedName>
    <definedName name="_bdm.C91EAE01ECEB47CAB333DB91D65A04A9.edm" hidden="1">'[3]#2'!$IV$1</definedName>
    <definedName name="_bdm.CC2768A1E7A34B39B37BCA574CA5248F.edm" hidden="1">BS!$1:$1048576</definedName>
    <definedName name="_bdm.CCCA977C34C24C54B418943DE5616E31.edm" localSheetId="2" hidden="1">BS!$B$4:$CG$35</definedName>
    <definedName name="_bdm.CD6344C33E4B4D01B008136F0DF313C7.edm" hidden="1">'[11]#9'!$A:$IV</definedName>
    <definedName name="_bdm.CEAA3CBBAA644A3FB16383AF327BC2BC.edm" hidden="1">'[4]#6'!$A:$IV</definedName>
    <definedName name="_bdm.CFE455D229034B2AA4D81D641E3A9A8A.edm" localSheetId="1" hidden="1">IS!$B$5:$CY$118</definedName>
    <definedName name="_bdm.D09912F019FC4B0EB050B8D0E8F8BBDF.edm" localSheetId="1" hidden="1">IS!$A$5:$CY$118</definedName>
    <definedName name="_bdm.D37D6240E8274B6FBD27E8E23AAB2E4A.edm" hidden="1">'[5]#7'!$A:$IV</definedName>
    <definedName name="_bdm.D5636CFE9D7E4FD7BFE3CA89B0562059.edm" hidden="1">'[3]#2'!$IV$1</definedName>
    <definedName name="_bdm.D7C501A00E524476B78DBB5BE5FC43A6.edm" hidden="1">'[7]Performance Chart'!$A:$IV</definedName>
    <definedName name="_bdm.EA41DB31BA4B4FD8BC7BC962C6ED592C.edm" hidden="1">'[5]#2'!$A:$IV</definedName>
    <definedName name="_bdm.EC5929F46EA449CB83313B54F838236D.edm" hidden="1">[3]S5!$A:$IV</definedName>
    <definedName name="_bdm.EFA674B0E7A84846BE735BA8FEC3D088.edm" hidden="1">'[2]#11'!$A:$IV</definedName>
    <definedName name="_bdm.FDDB7A9A3556452794C1F43A146AA193.edm" hidden="1">[3]S10!$A:$IV</definedName>
    <definedName name="_bdm.FEB505CA6E2346E48769DC46854D8AA9.edm" hidden="1">'[3]S8 Chart'!$IV$1</definedName>
    <definedName name="_Order1" hidden="1">255</definedName>
    <definedName name="AdditionalInstructions">IndexInformation!$B$42</definedName>
    <definedName name="Address" localSheetId="0">ImportantDisclosures!$A$2:$A$2</definedName>
    <definedName name="ANA" localSheetId="7">ModPubIndex!$A$7</definedName>
    <definedName name="anscount" hidden="1">1</definedName>
    <definedName name="Authors" localSheetId="0">ImportantDisclosures!$A$7</definedName>
    <definedName name="Authors" localSheetId="6">IndexInformation!$B$18</definedName>
    <definedName name="BRO" localSheetId="7">ModPubIndex!$A$1</definedName>
    <definedName name="BS">BS!$X$37:$CP$37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OFFSET([12]c1!$G$12,0,0,COUNTA([12]c1!$G$12:$G$31),1)</definedName>
    <definedName name="Date" localSheetId="0">ImportantDisclosures!$A$8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L" localSheetId="7">ModPubIndex!$A$8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inking_12" xml:space="preserve">          '[13]RF TAM - Bear'!$C$4:$I$53</definedName>
    <definedName name="Linking_13" xml:space="preserve">                    '[13]RF TAM - Bear'!$C$4:$I$53</definedName>
    <definedName name="Linking_14" xml:space="preserve">                    '[13]RF TAM - Bear'!$C$4:$I$53</definedName>
    <definedName name="Linking_15" xml:space="preserve">                    '[13]RF TAM - Bear'!$C$4:$I$53</definedName>
    <definedName name="Linking_16" xml:space="preserve">                    '[13]RF TAM - Bear'!$C$4:$I$53</definedName>
    <definedName name="Linking_17" xml:space="preserve">                    '[13]RF TAM - Bear'!$C$4:$I$53</definedName>
    <definedName name="Linking_18" xml:space="preserve">                    '[13]RF TAM - Bear'!$C$4:$I$53</definedName>
    <definedName name="Linking_19" xml:space="preserve">                    '[13]RF TAM - Bear'!$C$4:$I$53</definedName>
    <definedName name="Linking_29" xml:space="preserve">                    '[13]RF TAM - Bull'!$C$3:$I$53</definedName>
    <definedName name="Linking_30" xml:space="preserve">                    '[13]RF TAM - Bull'!$C$3:$I$53</definedName>
    <definedName name="Linking_31" xml:space="preserve">                    '[13]RF TAM - Bull'!$C$3:$I$53</definedName>
    <definedName name="Linking_32" xml:space="preserve">                    '[13]RF TAM - Bull'!$C$3:$I$53</definedName>
    <definedName name="Linking_33" xml:space="preserve">                    '[13]RF TAM - Bull'!$C$3:$I$53</definedName>
    <definedName name="Linking_34" xml:space="preserve">                    '[13]RF TAM - Bull'!$C$3:$I$53</definedName>
    <definedName name="Linking_35" xml:space="preserve">                    '[13]RF TAM - Bull'!$C$3:$I$53</definedName>
    <definedName name="Linking_46" xml:space="preserve">          '[13]RF TAM - Bear'!$C$4:$I$53</definedName>
    <definedName name="Linking_47" xml:space="preserve">          '[13]RF TAM - Bear'!$C$4:$I$53</definedName>
    <definedName name="Linking_48" xml:space="preserve">                    '[13]RF TAM - Bear'!$C$4:$I$53</definedName>
    <definedName name="Linking_49" xml:space="preserve">                    '[13]RF TAM - Bear'!$C$4:$I$53</definedName>
    <definedName name="Linking_50" xml:space="preserve">                    '[13]RF TAM - Bear'!$C$4:$I$53</definedName>
    <definedName name="Linking_51" xml:space="preserve">                    '[13]RF TAM - Bear'!$C$4:$I$53</definedName>
    <definedName name="Linking_52" xml:space="preserve">                    '[13]RF TAM - Bear'!$C$4:$I$53</definedName>
    <definedName name="Linking_53" xml:space="preserve">                    '[13]RF TAM - Bear'!$C$4:$I$53</definedName>
    <definedName name="Linking_54" xml:space="preserve">                    '[13]RF TAM - Bear'!$C$4:$I$53</definedName>
    <definedName name="Linking_55" xml:space="preserve">                    '[13]RF TAM - Bear'!$C$4:$I$54</definedName>
    <definedName name="Linking_56" xml:space="preserve">                    '[13]RF TAM - Bear'!$C$4:$I$54</definedName>
    <definedName name="Linking_57" xml:space="preserve">                    '[13]RF TAM - Bear'!$C$4:$I$54</definedName>
    <definedName name="Linking_58" xml:space="preserve">                    '[13]RF TAM - Bear'!$C$4:$I$54</definedName>
    <definedName name="Linking_6">IS!$B$5:$CN$118</definedName>
    <definedName name="Linking_66" xml:space="preserve">          '[13]RF TAM - Bear'!$J$15:$R$31</definedName>
    <definedName name="Linking_67" xml:space="preserve">          '[13]RF TAM - Bear'!$J$15:$R$31</definedName>
    <definedName name="Linking_7">BS!$B$4:$BK$35</definedName>
    <definedName name="Linking_8">CFS!$B$4:$CP$51</definedName>
    <definedName name="Linking_80" xml:space="preserve">          BS!$B$4:$BO$35</definedName>
    <definedName name="Linking_81" xml:space="preserve">                    BS!$B$4:$BO$35</definedName>
    <definedName name="Linking_88" xml:space="preserve">          IS!$B$5:$CO$118</definedName>
    <definedName name="Linking_98" xml:space="preserve">          IS!$B$5:$CO$118</definedName>
    <definedName name="Linking_Range_4">IS!$B$5:$CZ$118</definedName>
    <definedName name="Linking_Range_5">BS!$B$4:$CZ$35</definedName>
    <definedName name="Linking_Range_6">CFS!$B$4:$CZ$51</definedName>
    <definedName name="Linking_Range_7">BS!$B$4:$CY$35</definedName>
    <definedName name="Linking_Range_8">CFS!$B$4:$CY$51</definedName>
    <definedName name="Linking_Text_1">'[10]#10'!$A$1</definedName>
    <definedName name="MacroVersion" localSheetId="6">IndexInformation!$B$1</definedName>
    <definedName name="ModelPrice" localSheetId="0">ImportantDisclosures!$A$14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ObjectType">IndexInformation!$B$37</definedName>
    <definedName name="PANA" localSheetId="7">ModPubIndex!$A$11</definedName>
    <definedName name="PathName" localSheetId="6">IndexInformation!$B$25</definedName>
    <definedName name="_xlnm.Print_Area" localSheetId="5">'BU-Segment'!$A$1:$CI$106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q" hidden="1">{"1. Cover Page",#N/A,TRUE,"Cover Page";"2,3,4. Multiples",#N/A,TRUE,"Multiples";"5. Valuation Charts",#N/A,TRUE,"Valuation Charts";"6,7. Revenues and Earnings",#N/A,TRUE,"Financials";"8. Performance History",#N/A,TRUE,"Performance";"9. Performance Charts",#N/A,TRUE,"Performance Chart";"10. Annual Consensus",#N/A,TRUE,"Annual Consensus";"11.Quarterly Consensus",#N/A,TRUE,"Quarterly Consensus";"12. Disclaimers",#N/A,TRUE,"Disclaimers"}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ortGroup" hidden="1">0</definedName>
    <definedName name="ResearchTopic" localSheetId="6">IndexInformation!$B$4</definedName>
    <definedName name="RIC" localSheetId="6">IndexInformation!$B$21</definedName>
    <definedName name="SECSettlement" localSheetId="0">ImportantDisclosures!#REF!</definedName>
    <definedName name="SEDOL" localSheetId="6">IndexInformation!$B$22</definedName>
    <definedName name="sencount" hidden="1">1</definedName>
    <definedName name="SourceDefined" localSheetId="0">ImportantDisclosures!$A$19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UpdateReason" localSheetId="6">IndexInformation!$B$17</definedName>
    <definedName name="USRegDisclosures" localSheetId="0">ImportantDisclosures!#REF!</definedName>
    <definedName name="wrn.PrintSetUp." hidden="1">{#N/A,#N/A,TRUE,"1.Cover";#N/A,#N/A,TRUE,"2.KeyFinancials";#N/A,#N/A,TRUE,"3.Multiples";#N/A,#N/A,TRUE,"4.PERatios";#N/A,#N/A,TRUE,"5.BSRatios";#N/A,#N/A,TRUE,"6.Cons_Q";#N/A,#N/A,TRUE,"7.Cons_FY";#N/A,#N/A,TRUE,"8.StkPerf";#N/A,#N/A,TRUE,"9.PerfChart";#N/A,#N/A,TRUE,"10.ValChart";#N/A,#N/A,TRUE,"11.ShortInt";#N/A,#N/A,TRUE,"12.Disclosure"}</definedName>
  </definedNames>
  <calcPr calcId="145621" iterate="1"/>
</workbook>
</file>

<file path=xl/calcChain.xml><?xml version="1.0" encoding="utf-8"?>
<calcChain xmlns="http://schemas.openxmlformats.org/spreadsheetml/2006/main">
  <c r="BM45" i="4" l="1"/>
  <c r="CL5" i="17" l="1"/>
  <c r="CM5" i="17"/>
  <c r="CN5" i="17"/>
  <c r="CO5" i="17"/>
  <c r="CP5" i="17"/>
  <c r="CK5" i="17"/>
  <c r="CK4" i="17"/>
  <c r="CL4" i="17"/>
  <c r="CM4" i="17"/>
  <c r="CN4" i="17"/>
  <c r="CO4" i="17"/>
  <c r="CP4" i="17"/>
  <c r="CJ4" i="17"/>
  <c r="BH3" i="17" l="1"/>
  <c r="BI3" i="17"/>
  <c r="BJ3" i="17"/>
  <c r="BJ4" i="17" s="1"/>
  <c r="BK3" i="17"/>
  <c r="BI4" i="17"/>
  <c r="BK4" i="17" l="1"/>
  <c r="BL72" i="4" l="1"/>
  <c r="BL43" i="4"/>
  <c r="BL46" i="4"/>
  <c r="BL53" i="4"/>
  <c r="BL34" i="4"/>
  <c r="BL51" i="3"/>
  <c r="BL47" i="3" s="1"/>
  <c r="BL50" i="3"/>
  <c r="BL49" i="3"/>
  <c r="BL45" i="3" s="1"/>
  <c r="BL46" i="3"/>
  <c r="BL44" i="3"/>
  <c r="BL43" i="3"/>
  <c r="BL42" i="3"/>
  <c r="BL31" i="3"/>
  <c r="BL30" i="3"/>
  <c r="BL26" i="3"/>
  <c r="BL27" i="3"/>
  <c r="BL20" i="3"/>
  <c r="BL19" i="3"/>
  <c r="BL17" i="3"/>
  <c r="BL18" i="3"/>
  <c r="BL14" i="3"/>
  <c r="BL21" i="3" s="1"/>
  <c r="BL129" i="2"/>
  <c r="BK129" i="2"/>
  <c r="BJ129" i="2"/>
  <c r="BL138" i="2"/>
  <c r="BL127" i="2"/>
  <c r="BL126" i="2"/>
  <c r="BL123" i="2"/>
  <c r="BL109" i="2"/>
  <c r="BL111" i="2" s="1"/>
  <c r="BL101" i="2" s="1"/>
  <c r="BL107" i="2"/>
  <c r="BL95" i="2"/>
  <c r="BL93" i="2"/>
  <c r="BL78" i="2"/>
  <c r="BL73" i="2"/>
  <c r="BL79" i="2" s="1"/>
  <c r="BL53" i="2"/>
  <c r="BL62" i="2" s="1"/>
  <c r="BL50" i="2"/>
  <c r="BL43" i="2"/>
  <c r="BL39" i="2"/>
  <c r="BL37" i="2"/>
  <c r="BL32" i="2"/>
  <c r="BL24" i="2"/>
  <c r="BL25" i="2" s="1"/>
  <c r="BL21" i="2"/>
  <c r="BL19" i="2"/>
  <c r="BL15" i="2"/>
  <c r="BL10" i="2"/>
  <c r="BL137" i="2" l="1"/>
  <c r="BL22" i="2"/>
  <c r="BL41" i="3"/>
  <c r="BL28" i="3"/>
  <c r="BL64" i="2"/>
  <c r="BL51" i="2"/>
  <c r="BL20" i="2"/>
  <c r="BL26" i="2"/>
  <c r="BL28" i="2"/>
  <c r="BL38" i="2"/>
  <c r="BL40" i="2"/>
  <c r="BL60" i="2"/>
  <c r="BL66" i="2"/>
  <c r="BL77" i="2"/>
  <c r="BL100" i="2"/>
  <c r="BL48" i="2"/>
  <c r="BL63" i="2" l="1"/>
  <c r="BL68" i="2" s="1"/>
  <c r="BL49" i="2"/>
  <c r="BL27" i="2"/>
  <c r="BL81" i="2"/>
  <c r="BL67" i="2"/>
  <c r="BL29" i="2"/>
  <c r="BL70" i="2"/>
  <c r="BL85" i="2" l="1"/>
  <c r="BL71" i="2"/>
  <c r="BL83" i="2"/>
  <c r="BL69" i="2"/>
  <c r="BL89" i="2"/>
  <c r="BL98" i="2"/>
  <c r="BL82" i="2"/>
  <c r="BL116" i="2" l="1"/>
  <c r="BL113" i="2"/>
  <c r="BL99" i="2"/>
  <c r="BL102" i="2"/>
  <c r="BL84" i="2"/>
  <c r="BL94" i="2"/>
  <c r="BL104" i="2"/>
  <c r="BL86" i="2"/>
  <c r="BL96" i="2"/>
  <c r="BL114" i="2" l="1"/>
  <c r="BL8" i="4"/>
  <c r="BL27" i="4" s="1"/>
  <c r="BL50" i="4" s="1"/>
  <c r="BL103" i="2"/>
  <c r="BL117" i="2"/>
  <c r="BL118" i="2"/>
  <c r="BL105" i="2"/>
  <c r="DH70" i="2" l="1"/>
  <c r="DH71" i="2" s="1"/>
  <c r="DH69" i="2"/>
  <c r="BM43" i="3" l="1"/>
  <c r="BK53" i="4" l="1"/>
  <c r="BK68" i="3"/>
  <c r="BK136" i="17" l="1"/>
  <c r="BK73" i="17"/>
  <c r="BK67" i="17"/>
  <c r="BK53" i="17" s="1"/>
  <c r="BK8" i="17"/>
  <c r="BK109" i="17" s="1"/>
  <c r="BK7" i="17"/>
  <c r="BK6" i="17"/>
  <c r="BK43" i="17" l="1"/>
  <c r="BK87" i="17"/>
  <c r="BK51" i="3"/>
  <c r="BK46" i="3" s="1"/>
  <c r="BK77" i="3"/>
  <c r="BK78" i="3" s="1"/>
  <c r="BK73" i="3"/>
  <c r="BK74" i="3" s="1"/>
  <c r="BK50" i="3"/>
  <c r="BK44" i="3" s="1"/>
  <c r="BK49" i="3"/>
  <c r="BK41" i="3" s="1"/>
  <c r="BK79" i="3"/>
  <c r="BK75" i="3"/>
  <c r="BK76" i="3" s="1"/>
  <c r="BK14" i="3"/>
  <c r="BK6" i="3"/>
  <c r="BK40" i="3" s="1"/>
  <c r="BK54" i="3" s="1"/>
  <c r="BK72" i="3" s="1"/>
  <c r="BK5" i="3"/>
  <c r="BK4" i="3"/>
  <c r="BK57" i="2"/>
  <c r="BK299" i="2"/>
  <c r="BK298" i="2"/>
  <c r="BK300" i="2" s="1"/>
  <c r="BK297" i="2"/>
  <c r="BK296" i="2"/>
  <c r="BK137" i="17" s="1"/>
  <c r="BK138" i="2"/>
  <c r="BK127" i="2"/>
  <c r="BK109" i="2"/>
  <c r="BK111" i="2" s="1"/>
  <c r="BK101" i="2" s="1"/>
  <c r="BK107" i="2"/>
  <c r="BK100" i="2"/>
  <c r="BK95" i="2"/>
  <c r="BK93" i="2"/>
  <c r="BK73" i="2"/>
  <c r="BK77" i="2" s="1"/>
  <c r="BK53" i="2"/>
  <c r="BK62" i="2" s="1"/>
  <c r="BK48" i="2"/>
  <c r="BK50" i="2"/>
  <c r="BK43" i="2"/>
  <c r="BK39" i="2"/>
  <c r="BK37" i="2"/>
  <c r="BK32" i="2"/>
  <c r="BK24" i="2"/>
  <c r="BK21" i="2"/>
  <c r="BK19" i="2"/>
  <c r="BK15" i="2"/>
  <c r="BK10" i="2"/>
  <c r="BL11" i="2" s="1"/>
  <c r="BK43" i="3" l="1"/>
  <c r="BK42" i="3" s="1"/>
  <c r="BK294" i="3"/>
  <c r="BK25" i="2"/>
  <c r="BK84" i="17"/>
  <c r="BK33" i="17"/>
  <c r="BK81" i="3"/>
  <c r="BK80" i="3"/>
  <c r="BK47" i="3"/>
  <c r="BK21" i="3"/>
  <c r="BK64" i="2"/>
  <c r="BK63" i="2"/>
  <c r="BK28" i="2"/>
  <c r="BK22" i="2"/>
  <c r="BK51" i="2"/>
  <c r="BK38" i="2"/>
  <c r="BK20" i="2"/>
  <c r="BK26" i="2"/>
  <c r="BK27" i="2" s="1"/>
  <c r="BK60" i="2"/>
  <c r="BK66" i="2"/>
  <c r="BK85" i="17" s="1"/>
  <c r="BK49" i="2"/>
  <c r="BK137" i="2"/>
  <c r="BK79" i="2"/>
  <c r="BK40" i="2"/>
  <c r="BK63" i="17" l="1"/>
  <c r="BK69" i="17" s="1"/>
  <c r="BK70" i="2"/>
  <c r="BK85" i="2" s="1"/>
  <c r="BK48" i="17"/>
  <c r="BK51" i="17" s="1"/>
  <c r="BK58" i="17"/>
  <c r="BK61" i="17" s="1"/>
  <c r="BK36" i="17"/>
  <c r="BK38" i="17" s="1"/>
  <c r="BK82" i="3"/>
  <c r="BK29" i="2"/>
  <c r="BK68" i="2"/>
  <c r="BK81" i="2"/>
  <c r="BK67" i="2"/>
  <c r="BK147" i="2" l="1"/>
  <c r="BK71" i="2"/>
  <c r="BK81" i="17"/>
  <c r="BK82" i="17" s="1"/>
  <c r="BK41" i="17"/>
  <c r="BK83" i="2"/>
  <c r="BK143" i="2"/>
  <c r="BK69" i="2"/>
  <c r="BK86" i="2"/>
  <c r="BK104" i="2"/>
  <c r="BK96" i="2"/>
  <c r="BK82" i="2"/>
  <c r="BK98" i="2"/>
  <c r="BK89" i="2"/>
  <c r="BK102" i="2" l="1"/>
  <c r="BK94" i="2"/>
  <c r="BK84" i="2"/>
  <c r="BK116" i="2"/>
  <c r="BK99" i="2"/>
  <c r="BK113" i="2"/>
  <c r="BK118" i="2"/>
  <c r="BK105" i="2"/>
  <c r="BK114" i="2" l="1"/>
  <c r="BK103" i="2"/>
  <c r="BK117" i="2"/>
  <c r="CL62" i="3"/>
  <c r="DF49" i="4"/>
  <c r="DF43" i="4"/>
  <c r="DF21" i="4"/>
  <c r="DF293" i="4"/>
  <c r="CP49" i="4"/>
  <c r="CP43" i="4"/>
  <c r="DE293" i="4"/>
  <c r="CP6" i="4"/>
  <c r="CP56" i="4" s="1"/>
  <c r="CP68" i="4" s="1"/>
  <c r="CP75" i="4" s="1"/>
  <c r="DF64" i="3"/>
  <c r="DF55" i="3"/>
  <c r="CP64" i="3"/>
  <c r="CP55" i="3"/>
  <c r="CL51" i="3"/>
  <c r="CL47" i="3" s="1"/>
  <c r="CL46" i="3"/>
  <c r="BU58" i="4"/>
  <c r="BV58" i="4" s="1"/>
  <c r="BW43" i="4"/>
  <c r="BV43" i="4"/>
  <c r="BU43" i="4"/>
  <c r="BT43" i="4"/>
  <c r="BT55" i="3"/>
  <c r="BU55" i="3" s="1"/>
  <c r="BU41" i="3"/>
  <c r="BV41" i="3" s="1"/>
  <c r="BW41" i="3" s="1"/>
  <c r="BT41" i="3"/>
  <c r="DF59" i="2"/>
  <c r="DF6" i="2"/>
  <c r="DF5" i="4" s="1"/>
  <c r="DF56" i="4" s="1"/>
  <c r="DF68" i="4" s="1"/>
  <c r="DF75" i="4" s="1"/>
  <c r="DF132" i="2"/>
  <c r="DF129" i="2"/>
  <c r="CP59" i="2"/>
  <c r="BU54" i="2"/>
  <c r="BW136" i="17"/>
  <c r="BV136" i="17"/>
  <c r="BU136" i="17"/>
  <c r="BT136" i="17"/>
  <c r="BS136" i="17"/>
  <c r="BR136" i="17"/>
  <c r="BQ136" i="17"/>
  <c r="BP136" i="17"/>
  <c r="BO136" i="17"/>
  <c r="BN136" i="17"/>
  <c r="BM136" i="17"/>
  <c r="BL136" i="17"/>
  <c r="BJ136" i="17"/>
  <c r="BI136" i="17"/>
  <c r="BH136" i="17"/>
  <c r="BG136" i="17"/>
  <c r="BF136" i="17"/>
  <c r="BE136" i="17"/>
  <c r="BD136" i="17"/>
  <c r="BC136" i="17"/>
  <c r="BB136" i="17"/>
  <c r="BA136" i="17"/>
  <c r="AZ136" i="17"/>
  <c r="BW8" i="17"/>
  <c r="BW109" i="17" s="1"/>
  <c r="BV8" i="17"/>
  <c r="BV109" i="17" s="1"/>
  <c r="BU8" i="17"/>
  <c r="BU109" i="17" s="1"/>
  <c r="BT8" i="17"/>
  <c r="BT109" i="17" s="1"/>
  <c r="BW7" i="17"/>
  <c r="BV7" i="17"/>
  <c r="BU7" i="17"/>
  <c r="BT7" i="17"/>
  <c r="BW6" i="17"/>
  <c r="BV6" i="17"/>
  <c r="BU6" i="17"/>
  <c r="BT6" i="17"/>
  <c r="BW6" i="4"/>
  <c r="BW56" i="4" s="1"/>
  <c r="BW68" i="4" s="1"/>
  <c r="BW75" i="4" s="1"/>
  <c r="BV6" i="4"/>
  <c r="BV56" i="4" s="1"/>
  <c r="BV68" i="4" s="1"/>
  <c r="BV75" i="4" s="1"/>
  <c r="BU6" i="4"/>
  <c r="BU56" i="4" s="1"/>
  <c r="BU68" i="4" s="1"/>
  <c r="BU75" i="4" s="1"/>
  <c r="BT6" i="4"/>
  <c r="BT56" i="4" s="1"/>
  <c r="BT68" i="4" s="1"/>
  <c r="BT75" i="4" s="1"/>
  <c r="BW5" i="4"/>
  <c r="BV5" i="4"/>
  <c r="BU5" i="4"/>
  <c r="BT5" i="4"/>
  <c r="BW4" i="4"/>
  <c r="BV4" i="4"/>
  <c r="BU4" i="4"/>
  <c r="BT4" i="4"/>
  <c r="BW6" i="3"/>
  <c r="BW40" i="3" s="1"/>
  <c r="BW54" i="3" s="1"/>
  <c r="BW72" i="3" s="1"/>
  <c r="BV6" i="3"/>
  <c r="BV40" i="3" s="1"/>
  <c r="BV54" i="3" s="1"/>
  <c r="BV72" i="3" s="1"/>
  <c r="BU6" i="3"/>
  <c r="BU40" i="3" s="1"/>
  <c r="BU54" i="3" s="1"/>
  <c r="BU72" i="3" s="1"/>
  <c r="BT6" i="3"/>
  <c r="BT40" i="3" s="1"/>
  <c r="BT54" i="3" s="1"/>
  <c r="BT72" i="3" s="1"/>
  <c r="BW5" i="3"/>
  <c r="BV5" i="3"/>
  <c r="BU5" i="3"/>
  <c r="BT5" i="3"/>
  <c r="BW4" i="3"/>
  <c r="BV4" i="3"/>
  <c r="BU4" i="3"/>
  <c r="BT4" i="3"/>
  <c r="BW299" i="2"/>
  <c r="BV299" i="2"/>
  <c r="BU299" i="2"/>
  <c r="BT299" i="2"/>
  <c r="BW298" i="2"/>
  <c r="BW300" i="2" s="1"/>
  <c r="BV298" i="2"/>
  <c r="BV300" i="2" s="1"/>
  <c r="BU298" i="2"/>
  <c r="BU300" i="2" s="1"/>
  <c r="BT298" i="2"/>
  <c r="BT300" i="2" s="1"/>
  <c r="BW297" i="2"/>
  <c r="BV297" i="2"/>
  <c r="BU297" i="2"/>
  <c r="BT297" i="2"/>
  <c r="BW296" i="2"/>
  <c r="BW137" i="17" s="1"/>
  <c r="BV296" i="2"/>
  <c r="BV137" i="17" s="1"/>
  <c r="BU296" i="2"/>
  <c r="BU137" i="17" s="1"/>
  <c r="BT296" i="2"/>
  <c r="BT137" i="17" s="1"/>
  <c r="DF8" i="17" l="1"/>
  <c r="BV54" i="2"/>
  <c r="BW54" i="2" s="1"/>
  <c r="DF5" i="3"/>
  <c r="DF40" i="3" s="1"/>
  <c r="DF54" i="3" s="1"/>
  <c r="DF72" i="3" s="1"/>
  <c r="BT294" i="3"/>
  <c r="BV294" i="3"/>
  <c r="BU293" i="4"/>
  <c r="BW293" i="4"/>
  <c r="BU294" i="3"/>
  <c r="BW294" i="3"/>
  <c r="BT293" i="4"/>
  <c r="BV293" i="4"/>
  <c r="BW58" i="4"/>
  <c r="BV55" i="3"/>
  <c r="BW87" i="17"/>
  <c r="BU87" i="17"/>
  <c r="BT87" i="17"/>
  <c r="BV87" i="17"/>
  <c r="CP54" i="2" l="1"/>
  <c r="BW55" i="3"/>
  <c r="BJ73" i="17"/>
  <c r="CK118" i="17" l="1"/>
  <c r="CJ118" i="17"/>
  <c r="CI118" i="17"/>
  <c r="CH118" i="17"/>
  <c r="CG118" i="17"/>
  <c r="CF118" i="17"/>
  <c r="CE118" i="17"/>
  <c r="CD118" i="17"/>
  <c r="CC118" i="17"/>
  <c r="CB118" i="17"/>
  <c r="CA118" i="17"/>
  <c r="BZ118" i="17"/>
  <c r="BY118" i="17"/>
  <c r="CK112" i="17"/>
  <c r="CJ112" i="17"/>
  <c r="CI112" i="17"/>
  <c r="CH112" i="17"/>
  <c r="CG112" i="17"/>
  <c r="CF112" i="17"/>
  <c r="CE112" i="17"/>
  <c r="CD112" i="17"/>
  <c r="CC112" i="17"/>
  <c r="CB112" i="17"/>
  <c r="CA112" i="17"/>
  <c r="BZ112" i="17"/>
  <c r="BY112" i="17"/>
  <c r="CI81" i="17"/>
  <c r="CH81" i="17"/>
  <c r="CG81" i="17"/>
  <c r="CF81" i="17"/>
  <c r="CE81" i="17"/>
  <c r="CD81" i="17"/>
  <c r="CC81" i="17"/>
  <c r="CB81" i="17"/>
  <c r="CA81" i="17"/>
  <c r="BZ81" i="17"/>
  <c r="BY81" i="17"/>
  <c r="BH78" i="17"/>
  <c r="BD78" i="17"/>
  <c r="AZ78" i="17"/>
  <c r="AV78" i="17"/>
  <c r="CD77" i="17"/>
  <c r="CE77" i="17" s="1"/>
  <c r="CF77" i="17" s="1"/>
  <c r="CG77" i="17" s="1"/>
  <c r="CH77" i="17" s="1"/>
  <c r="CI77" i="17" s="1"/>
  <c r="AZ77" i="17"/>
  <c r="BA77" i="17" s="1"/>
  <c r="BB77" i="17" s="1"/>
  <c r="AV77" i="17"/>
  <c r="AW77" i="17" s="1"/>
  <c r="AX77" i="17" s="1"/>
  <c r="BI73" i="17"/>
  <c r="BH73" i="17"/>
  <c r="BG73" i="17"/>
  <c r="BF73" i="17"/>
  <c r="BE73" i="17"/>
  <c r="BD73" i="17"/>
  <c r="BC73" i="17"/>
  <c r="BB73" i="17"/>
  <c r="BA73" i="17"/>
  <c r="AZ73" i="17"/>
  <c r="AY73" i="17"/>
  <c r="AX73" i="17"/>
  <c r="AW73" i="17"/>
  <c r="AV73" i="17"/>
  <c r="BJ67" i="17"/>
  <c r="BJ43" i="17" s="1"/>
  <c r="BI67" i="17"/>
  <c r="BI53" i="17" s="1"/>
  <c r="BH67" i="17"/>
  <c r="BH43" i="17" s="1"/>
  <c r="BG67" i="17"/>
  <c r="BG53" i="17" s="1"/>
  <c r="BK55" i="17" s="1"/>
  <c r="BF67" i="17"/>
  <c r="BF43" i="17" s="1"/>
  <c r="BE67" i="17"/>
  <c r="BE53" i="17" s="1"/>
  <c r="BD67" i="17"/>
  <c r="BD43" i="17" s="1"/>
  <c r="BC67" i="17"/>
  <c r="BB67" i="17"/>
  <c r="BB43" i="17" s="1"/>
  <c r="BA67" i="17"/>
  <c r="AZ67" i="17"/>
  <c r="AZ43" i="17" s="1"/>
  <c r="AY67" i="17"/>
  <c r="AY53" i="17" s="1"/>
  <c r="AX67" i="17"/>
  <c r="AX43" i="17" s="1"/>
  <c r="AW67" i="17"/>
  <c r="AW43" i="17" s="1"/>
  <c r="AV67" i="17"/>
  <c r="AV43" i="17" s="1"/>
  <c r="AU67" i="17"/>
  <c r="AT67" i="17"/>
  <c r="AT27" i="17" s="1"/>
  <c r="AS67" i="17"/>
  <c r="AS27" i="17" s="1"/>
  <c r="AR67" i="17"/>
  <c r="AR27" i="17" s="1"/>
  <c r="AQ67" i="17"/>
  <c r="AQ27" i="17" s="1"/>
  <c r="AP67" i="17"/>
  <c r="AP27" i="17" s="1"/>
  <c r="AO67" i="17"/>
  <c r="AO27" i="17" s="1"/>
  <c r="AN67" i="17"/>
  <c r="AN27" i="17" s="1"/>
  <c r="AM67" i="17"/>
  <c r="AL67" i="17"/>
  <c r="AL27" i="17" s="1"/>
  <c r="AK67" i="17"/>
  <c r="AK27" i="17" s="1"/>
  <c r="AJ67" i="17"/>
  <c r="AJ27" i="17" s="1"/>
  <c r="AH67" i="17"/>
  <c r="AH27" i="17" s="1"/>
  <c r="AG67" i="17"/>
  <c r="AF67" i="17"/>
  <c r="AD67" i="17"/>
  <c r="AD27" i="17" s="1"/>
  <c r="AC67" i="17"/>
  <c r="AC27" i="17" s="1"/>
  <c r="AB67" i="17"/>
  <c r="AB27" i="17" s="1"/>
  <c r="Z67" i="17"/>
  <c r="Z27" i="17" s="1"/>
  <c r="Y67" i="17"/>
  <c r="X67" i="17"/>
  <c r="V67" i="17"/>
  <c r="V27" i="17" s="1"/>
  <c r="U67" i="17"/>
  <c r="U27" i="17" s="1"/>
  <c r="T67" i="17"/>
  <c r="T27" i="17" s="1"/>
  <c r="R67" i="17"/>
  <c r="R27" i="17" s="1"/>
  <c r="Q67" i="17"/>
  <c r="Q27" i="17" s="1"/>
  <c r="P67" i="17"/>
  <c r="N67" i="17"/>
  <c r="N22" i="17" s="1"/>
  <c r="M67" i="17"/>
  <c r="M22" i="17" s="1"/>
  <c r="L67" i="17"/>
  <c r="L22" i="17" s="1"/>
  <c r="J67" i="17"/>
  <c r="J27" i="17" s="1"/>
  <c r="I67" i="17"/>
  <c r="I27" i="17" s="1"/>
  <c r="H67" i="17"/>
  <c r="H27" i="17" s="1"/>
  <c r="F67" i="17"/>
  <c r="F27" i="17" s="1"/>
  <c r="E67" i="17"/>
  <c r="E27" i="17" s="1"/>
  <c r="D67" i="17"/>
  <c r="D27" i="17" s="1"/>
  <c r="BN41" i="17"/>
  <c r="Y27" i="17"/>
  <c r="AU22" i="17"/>
  <c r="AT22" i="17"/>
  <c r="AS22" i="17"/>
  <c r="AR22" i="17"/>
  <c r="AQ22" i="17"/>
  <c r="AP22" i="17"/>
  <c r="AO22" i="17"/>
  <c r="AN22" i="17"/>
  <c r="AM22" i="17"/>
  <c r="AL22" i="17"/>
  <c r="AK22" i="17"/>
  <c r="AJ22" i="17"/>
  <c r="AI22" i="17"/>
  <c r="AH22" i="17"/>
  <c r="AF22" i="17"/>
  <c r="AE22" i="17"/>
  <c r="AD22" i="17"/>
  <c r="AC22" i="17"/>
  <c r="AB22" i="17"/>
  <c r="AA22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K22" i="17"/>
  <c r="J22" i="17"/>
  <c r="I22" i="17"/>
  <c r="H22" i="17"/>
  <c r="G22" i="17"/>
  <c r="F22" i="17"/>
  <c r="E22" i="17"/>
  <c r="D22" i="17"/>
  <c r="BH21" i="17"/>
  <c r="AQ20" i="17"/>
  <c r="AP20" i="17"/>
  <c r="AO20" i="17"/>
  <c r="AN20" i="17"/>
  <c r="AM20" i="17"/>
  <c r="AL20" i="17"/>
  <c r="AK20" i="17"/>
  <c r="AJ20" i="17"/>
  <c r="CP8" i="17"/>
  <c r="CO8" i="17"/>
  <c r="CN8" i="17"/>
  <c r="CM8" i="17"/>
  <c r="CL8" i="17"/>
  <c r="CL87" i="17" s="1"/>
  <c r="CK8" i="17"/>
  <c r="CJ8" i="17"/>
  <c r="CI8" i="17"/>
  <c r="BS8" i="17"/>
  <c r="BS109" i="17" s="1"/>
  <c r="BR8" i="17"/>
  <c r="BR87" i="17" s="1"/>
  <c r="BQ8" i="17"/>
  <c r="BQ109" i="17" s="1"/>
  <c r="BP8" i="17"/>
  <c r="BO8" i="17"/>
  <c r="BO109" i="17" s="1"/>
  <c r="BN8" i="17"/>
  <c r="BN87" i="17" s="1"/>
  <c r="BM8" i="17"/>
  <c r="BM109" i="17" s="1"/>
  <c r="BL8" i="17"/>
  <c r="BJ8" i="17"/>
  <c r="BJ87" i="17" s="1"/>
  <c r="BI8" i="17"/>
  <c r="BI109" i="17" s="1"/>
  <c r="BH8" i="17"/>
  <c r="BG8" i="17"/>
  <c r="BG109" i="17" s="1"/>
  <c r="BF8" i="17"/>
  <c r="BF87" i="17" s="1"/>
  <c r="BE8" i="17"/>
  <c r="BE109" i="17" s="1"/>
  <c r="BD8" i="17"/>
  <c r="BC8" i="17"/>
  <c r="BC109" i="17" s="1"/>
  <c r="BB8" i="17"/>
  <c r="BB87" i="17" s="1"/>
  <c r="BA8" i="17"/>
  <c r="BA109" i="17" s="1"/>
  <c r="AZ8" i="17"/>
  <c r="AY8" i="17"/>
  <c r="AY109" i="17" s="1"/>
  <c r="AX8" i="17"/>
  <c r="AX87" i="17" s="1"/>
  <c r="AW8" i="17"/>
  <c r="AW109" i="17" s="1"/>
  <c r="AV8" i="17"/>
  <c r="AU8" i="17"/>
  <c r="AU109" i="17" s="1"/>
  <c r="AT8" i="17"/>
  <c r="AT87" i="17" s="1"/>
  <c r="AS8" i="17"/>
  <c r="AS109" i="17" s="1"/>
  <c r="AR8" i="17"/>
  <c r="AQ8" i="17"/>
  <c r="AQ109" i="17" s="1"/>
  <c r="AP8" i="17"/>
  <c r="AP87" i="17" s="1"/>
  <c r="AO8" i="17"/>
  <c r="AO109" i="17" s="1"/>
  <c r="AN8" i="17"/>
  <c r="AM8" i="17"/>
  <c r="AM109" i="17" s="1"/>
  <c r="AL8" i="17"/>
  <c r="AL87" i="17" s="1"/>
  <c r="AK8" i="17"/>
  <c r="AK109" i="17" s="1"/>
  <c r="AJ8" i="17"/>
  <c r="AI8" i="17"/>
  <c r="AI109" i="17" s="1"/>
  <c r="AH8" i="17"/>
  <c r="AH87" i="17" s="1"/>
  <c r="AG8" i="17"/>
  <c r="AG109" i="17" s="1"/>
  <c r="AF8" i="17"/>
  <c r="AE8" i="17"/>
  <c r="AE109" i="17" s="1"/>
  <c r="AD8" i="17"/>
  <c r="AD87" i="17" s="1"/>
  <c r="AC8" i="17"/>
  <c r="AC109" i="17" s="1"/>
  <c r="AB8" i="17"/>
  <c r="AA8" i="17"/>
  <c r="AA109" i="17" s="1"/>
  <c r="Z8" i="17"/>
  <c r="Z87" i="17" s="1"/>
  <c r="Y8" i="17"/>
  <c r="Y109" i="17" s="1"/>
  <c r="X8" i="17"/>
  <c r="W8" i="17"/>
  <c r="W109" i="17" s="1"/>
  <c r="V8" i="17"/>
  <c r="V87" i="17" s="1"/>
  <c r="U8" i="17"/>
  <c r="U109" i="17" s="1"/>
  <c r="T8" i="17"/>
  <c r="S8" i="17"/>
  <c r="S109" i="17" s="1"/>
  <c r="R8" i="17"/>
  <c r="R87" i="17" s="1"/>
  <c r="Q8" i="17"/>
  <c r="Q109" i="17" s="1"/>
  <c r="P8" i="17"/>
  <c r="O8" i="17"/>
  <c r="O109" i="17" s="1"/>
  <c r="N8" i="17"/>
  <c r="N87" i="17" s="1"/>
  <c r="M8" i="17"/>
  <c r="M109" i="17" s="1"/>
  <c r="L8" i="17"/>
  <c r="K8" i="17"/>
  <c r="K109" i="17" s="1"/>
  <c r="J8" i="17"/>
  <c r="J87" i="17" s="1"/>
  <c r="I8" i="17"/>
  <c r="I109" i="17" s="1"/>
  <c r="H8" i="17"/>
  <c r="G8" i="17"/>
  <c r="G109" i="17" s="1"/>
  <c r="F8" i="17"/>
  <c r="F87" i="17" s="1"/>
  <c r="E8" i="17"/>
  <c r="E109" i="17" s="1"/>
  <c r="D8" i="17"/>
  <c r="BS7" i="17"/>
  <c r="BR7" i="17"/>
  <c r="BQ7" i="17"/>
  <c r="BP7" i="17"/>
  <c r="BO7" i="17"/>
  <c r="BN7" i="17"/>
  <c r="BM7" i="17"/>
  <c r="BL7" i="17"/>
  <c r="BJ7" i="17"/>
  <c r="BI7" i="17"/>
  <c r="BH7" i="17"/>
  <c r="BG7" i="17"/>
  <c r="BF7" i="17"/>
  <c r="BE7" i="17"/>
  <c r="BD7" i="17"/>
  <c r="BC7" i="17"/>
  <c r="BB7" i="17"/>
  <c r="BA7" i="17"/>
  <c r="AZ7" i="17"/>
  <c r="AY7" i="17"/>
  <c r="AX7" i="17"/>
  <c r="AW7" i="17"/>
  <c r="AV7" i="17"/>
  <c r="AU7" i="17"/>
  <c r="AT7" i="17"/>
  <c r="AS7" i="17"/>
  <c r="AR7" i="17"/>
  <c r="AQ7" i="17"/>
  <c r="AP7" i="17"/>
  <c r="AO7" i="17"/>
  <c r="AN7" i="17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BS6" i="17"/>
  <c r="BR6" i="17"/>
  <c r="BQ6" i="17"/>
  <c r="BP6" i="17"/>
  <c r="BO6" i="17"/>
  <c r="BN6" i="17"/>
  <c r="BM6" i="17"/>
  <c r="BL6" i="17"/>
  <c r="BJ6" i="17"/>
  <c r="BI6" i="17"/>
  <c r="BH6" i="17"/>
  <c r="BG6" i="17"/>
  <c r="BF6" i="17"/>
  <c r="BE6" i="17"/>
  <c r="BD6" i="17"/>
  <c r="BC6" i="17"/>
  <c r="BB6" i="17"/>
  <c r="BA6" i="17"/>
  <c r="AZ6" i="17"/>
  <c r="AY6" i="17"/>
  <c r="AX6" i="17"/>
  <c r="AW6" i="17"/>
  <c r="AV6" i="17"/>
  <c r="AU6" i="17"/>
  <c r="AT6" i="17"/>
  <c r="AS6" i="17"/>
  <c r="AR6" i="17"/>
  <c r="AQ6" i="17"/>
  <c r="AP6" i="17"/>
  <c r="AO6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DD293" i="4"/>
  <c r="DC293" i="4"/>
  <c r="DB293" i="4"/>
  <c r="BH72" i="4"/>
  <c r="BD72" i="4"/>
  <c r="BD70" i="4" s="1"/>
  <c r="BD69" i="4" s="1"/>
  <c r="BD73" i="4" s="1"/>
  <c r="AZ72" i="4"/>
  <c r="AV72" i="4"/>
  <c r="AV70" i="4" s="1"/>
  <c r="AV69" i="4" s="1"/>
  <c r="AV73" i="4" s="1"/>
  <c r="AR72" i="4"/>
  <c r="AN72" i="4"/>
  <c r="AN70" i="4" s="1"/>
  <c r="AN69" i="4" s="1"/>
  <c r="AN73" i="4" s="1"/>
  <c r="AJ72" i="4"/>
  <c r="AF72" i="4"/>
  <c r="AF70" i="4" s="1"/>
  <c r="AF69" i="4" s="1"/>
  <c r="AF73" i="4" s="1"/>
  <c r="AB72" i="4"/>
  <c r="X72" i="4"/>
  <c r="X70" i="4" s="1"/>
  <c r="X69" i="4" s="1"/>
  <c r="X73" i="4" s="1"/>
  <c r="T72" i="4"/>
  <c r="P72" i="4"/>
  <c r="P70" i="4" s="1"/>
  <c r="P69" i="4" s="1"/>
  <c r="P73" i="4" s="1"/>
  <c r="L72" i="4"/>
  <c r="H72" i="4"/>
  <c r="D72" i="4"/>
  <c r="BH70" i="4"/>
  <c r="AZ70" i="4"/>
  <c r="AR70" i="4"/>
  <c r="AJ70" i="4"/>
  <c r="AB70" i="4"/>
  <c r="T70" i="4"/>
  <c r="BH69" i="4"/>
  <c r="BH73" i="4" s="1"/>
  <c r="AZ69" i="4"/>
  <c r="AZ73" i="4" s="1"/>
  <c r="AR69" i="4"/>
  <c r="AR73" i="4" s="1"/>
  <c r="AJ69" i="4"/>
  <c r="AJ73" i="4" s="1"/>
  <c r="AB69" i="4"/>
  <c r="AB73" i="4" s="1"/>
  <c r="T69" i="4"/>
  <c r="T73" i="4" s="1"/>
  <c r="DC65" i="4"/>
  <c r="DB65" i="4"/>
  <c r="DA65" i="4"/>
  <c r="CZ65" i="4"/>
  <c r="CY65" i="4"/>
  <c r="CX65" i="4"/>
  <c r="CW65" i="4"/>
  <c r="CV65" i="4"/>
  <c r="CU65" i="4"/>
  <c r="CT65" i="4"/>
  <c r="CS65" i="4"/>
  <c r="CR65" i="4"/>
  <c r="CL65" i="4"/>
  <c r="CK65" i="4"/>
  <c r="CJ65" i="4"/>
  <c r="CI65" i="4"/>
  <c r="CH65" i="4"/>
  <c r="CG65" i="4"/>
  <c r="CF65" i="4"/>
  <c r="CE65" i="4"/>
  <c r="CD65" i="4"/>
  <c r="CC65" i="4"/>
  <c r="CB65" i="4"/>
  <c r="CA65" i="4"/>
  <c r="BZ65" i="4"/>
  <c r="BY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M66" i="4" s="1"/>
  <c r="L65" i="4"/>
  <c r="L66" i="4" s="1"/>
  <c r="K65" i="4"/>
  <c r="K66" i="4" s="1"/>
  <c r="J65" i="4"/>
  <c r="J66" i="4" s="1"/>
  <c r="I65" i="4"/>
  <c r="I66" i="4" s="1"/>
  <c r="H65" i="4"/>
  <c r="H66" i="4" s="1"/>
  <c r="G65" i="4"/>
  <c r="G66" i="4" s="1"/>
  <c r="F65" i="4"/>
  <c r="F66" i="4" s="1"/>
  <c r="E65" i="4"/>
  <c r="E66" i="4" s="1"/>
  <c r="D65" i="4"/>
  <c r="D66" i="4" s="1"/>
  <c r="BI63" i="4"/>
  <c r="BI66" i="4" s="1"/>
  <c r="BH63" i="4"/>
  <c r="BH66" i="4" s="1"/>
  <c r="BG63" i="4"/>
  <c r="BG66" i="4" s="1"/>
  <c r="BF63" i="4"/>
  <c r="BF66" i="4" s="1"/>
  <c r="BE63" i="4"/>
  <c r="BE66" i="4" s="1"/>
  <c r="BD63" i="4"/>
  <c r="BD66" i="4" s="1"/>
  <c r="BC63" i="4"/>
  <c r="BC66" i="4" s="1"/>
  <c r="BB63" i="4"/>
  <c r="BB66" i="4" s="1"/>
  <c r="BA63" i="4"/>
  <c r="BA66" i="4" s="1"/>
  <c r="AZ63" i="4"/>
  <c r="AZ66" i="4" s="1"/>
  <c r="AY63" i="4"/>
  <c r="AY66" i="4" s="1"/>
  <c r="AX63" i="4"/>
  <c r="AX66" i="4" s="1"/>
  <c r="AW63" i="4"/>
  <c r="AW66" i="4" s="1"/>
  <c r="AV63" i="4"/>
  <c r="AV66" i="4" s="1"/>
  <c r="AU63" i="4"/>
  <c r="AU66" i="4" s="1"/>
  <c r="AT63" i="4"/>
  <c r="AT66" i="4" s="1"/>
  <c r="AS63" i="4"/>
  <c r="AS66" i="4" s="1"/>
  <c r="AR63" i="4"/>
  <c r="AR66" i="4" s="1"/>
  <c r="AQ63" i="4"/>
  <c r="AQ66" i="4" s="1"/>
  <c r="AP63" i="4"/>
  <c r="AP66" i="4" s="1"/>
  <c r="AO63" i="4"/>
  <c r="AO66" i="4" s="1"/>
  <c r="AN63" i="4"/>
  <c r="AN66" i="4" s="1"/>
  <c r="AM63" i="4"/>
  <c r="AM66" i="4" s="1"/>
  <c r="AL63" i="4"/>
  <c r="AL66" i="4" s="1"/>
  <c r="AK63" i="4"/>
  <c r="AK66" i="4" s="1"/>
  <c r="AJ63" i="4"/>
  <c r="AJ66" i="4" s="1"/>
  <c r="AI63" i="4"/>
  <c r="AI66" i="4" s="1"/>
  <c r="AH63" i="4"/>
  <c r="AH66" i="4" s="1"/>
  <c r="AG63" i="4"/>
  <c r="AG66" i="4" s="1"/>
  <c r="AF63" i="4"/>
  <c r="AF66" i="4" s="1"/>
  <c r="AE63" i="4"/>
  <c r="AE66" i="4" s="1"/>
  <c r="AD63" i="4"/>
  <c r="AD66" i="4" s="1"/>
  <c r="AC63" i="4"/>
  <c r="AC66" i="4" s="1"/>
  <c r="AB63" i="4"/>
  <c r="AB66" i="4" s="1"/>
  <c r="AA63" i="4"/>
  <c r="AA66" i="4" s="1"/>
  <c r="Z63" i="4"/>
  <c r="Z66" i="4" s="1"/>
  <c r="Y63" i="4"/>
  <c r="Y66" i="4" s="1"/>
  <c r="X63" i="4"/>
  <c r="X66" i="4" s="1"/>
  <c r="W63" i="4"/>
  <c r="W66" i="4" s="1"/>
  <c r="V63" i="4"/>
  <c r="V66" i="4" s="1"/>
  <c r="U63" i="4"/>
  <c r="U66" i="4" s="1"/>
  <c r="T63" i="4"/>
  <c r="T66" i="4" s="1"/>
  <c r="S63" i="4"/>
  <c r="S66" i="4" s="1"/>
  <c r="R63" i="4"/>
  <c r="R66" i="4" s="1"/>
  <c r="Q63" i="4"/>
  <c r="Q66" i="4" s="1"/>
  <c r="P63" i="4"/>
  <c r="P66" i="4" s="1"/>
  <c r="O63" i="4"/>
  <c r="O66" i="4" s="1"/>
  <c r="N63" i="4"/>
  <c r="N66" i="4" s="1"/>
  <c r="DC62" i="4"/>
  <c r="DB62" i="4"/>
  <c r="DA62" i="4"/>
  <c r="CZ62" i="4"/>
  <c r="CY62" i="4"/>
  <c r="CX62" i="4"/>
  <c r="CW62" i="4"/>
  <c r="CV62" i="4"/>
  <c r="CU62" i="4"/>
  <c r="CT62" i="4"/>
  <c r="CS62" i="4"/>
  <c r="CR62" i="4"/>
  <c r="CL62" i="4"/>
  <c r="CK62" i="4"/>
  <c r="CJ62" i="4"/>
  <c r="CI62" i="4"/>
  <c r="CH62" i="4"/>
  <c r="CG62" i="4"/>
  <c r="CF62" i="4"/>
  <c r="CE62" i="4"/>
  <c r="CD62" i="4"/>
  <c r="CC62" i="4"/>
  <c r="CB62" i="4"/>
  <c r="CA62" i="4"/>
  <c r="BZ62" i="4"/>
  <c r="BY62" i="4"/>
  <c r="DC61" i="4"/>
  <c r="DC63" i="4" s="1"/>
  <c r="DB61" i="4"/>
  <c r="DB63" i="4" s="1"/>
  <c r="DA61" i="4"/>
  <c r="DA63" i="4" s="1"/>
  <c r="CZ61" i="4"/>
  <c r="CZ63" i="4" s="1"/>
  <c r="CY61" i="4"/>
  <c r="CY63" i="4" s="1"/>
  <c r="CX61" i="4"/>
  <c r="CX63" i="4" s="1"/>
  <c r="CW61" i="4"/>
  <c r="CW63" i="4" s="1"/>
  <c r="CV61" i="4"/>
  <c r="CV63" i="4" s="1"/>
  <c r="CU61" i="4"/>
  <c r="CU63" i="4" s="1"/>
  <c r="CT61" i="4"/>
  <c r="CT63" i="4" s="1"/>
  <c r="CS61" i="4"/>
  <c r="CS63" i="4" s="1"/>
  <c r="CR61" i="4"/>
  <c r="CR63" i="4" s="1"/>
  <c r="CL61" i="4"/>
  <c r="CL63" i="4" s="1"/>
  <c r="CK61" i="4"/>
  <c r="CK63" i="4" s="1"/>
  <c r="CJ61" i="4"/>
  <c r="CJ63" i="4" s="1"/>
  <c r="CI61" i="4"/>
  <c r="CI63" i="4" s="1"/>
  <c r="CH61" i="4"/>
  <c r="CH63" i="4" s="1"/>
  <c r="CG61" i="4"/>
  <c r="CG63" i="4" s="1"/>
  <c r="CF61" i="4"/>
  <c r="CF63" i="4" s="1"/>
  <c r="CE61" i="4"/>
  <c r="CE63" i="4" s="1"/>
  <c r="CD61" i="4"/>
  <c r="CD63" i="4" s="1"/>
  <c r="CC61" i="4"/>
  <c r="CC63" i="4" s="1"/>
  <c r="CB61" i="4"/>
  <c r="CB63" i="4" s="1"/>
  <c r="CA61" i="4"/>
  <c r="CA63" i="4" s="1"/>
  <c r="M61" i="4"/>
  <c r="L61" i="4"/>
  <c r="L70" i="4" s="1"/>
  <c r="L69" i="4" s="1"/>
  <c r="L73" i="4" s="1"/>
  <c r="K61" i="4"/>
  <c r="BZ61" i="4" s="1"/>
  <c r="BZ63" i="4" s="1"/>
  <c r="J61" i="4"/>
  <c r="I61" i="4"/>
  <c r="H61" i="4"/>
  <c r="H70" i="4" s="1"/>
  <c r="H69" i="4" s="1"/>
  <c r="H73" i="4" s="1"/>
  <c r="G61" i="4"/>
  <c r="BY61" i="4" s="1"/>
  <c r="F61" i="4"/>
  <c r="E61" i="4"/>
  <c r="D61" i="4"/>
  <c r="D70" i="4" s="1"/>
  <c r="D69" i="4" s="1"/>
  <c r="D73" i="4" s="1"/>
  <c r="BH60" i="4"/>
  <c r="BD60" i="4"/>
  <c r="AZ60" i="4"/>
  <c r="AV60" i="4"/>
  <c r="AR60" i="4"/>
  <c r="AN60" i="4"/>
  <c r="BQ58" i="4"/>
  <c r="BR58" i="4" s="1"/>
  <c r="BN58" i="4"/>
  <c r="BO58" i="4" s="1"/>
  <c r="BH57" i="4"/>
  <c r="BH58" i="4" s="1"/>
  <c r="BD57" i="4"/>
  <c r="BD58" i="4" s="1"/>
  <c r="AZ57" i="4"/>
  <c r="AZ58" i="4" s="1"/>
  <c r="AV57" i="4"/>
  <c r="AV58" i="4" s="1"/>
  <c r="AR57" i="4"/>
  <c r="AR58" i="4" s="1"/>
  <c r="AN57" i="4"/>
  <c r="AN58" i="4" s="1"/>
  <c r="AJ57" i="4"/>
  <c r="AJ58" i="4" s="1"/>
  <c r="AF57" i="4"/>
  <c r="AF58" i="4" s="1"/>
  <c r="AB57" i="4"/>
  <c r="AB58" i="4" s="1"/>
  <c r="X57" i="4"/>
  <c r="X58" i="4" s="1"/>
  <c r="T57" i="4"/>
  <c r="T58" i="4" s="1"/>
  <c r="P57" i="4"/>
  <c r="P58" i="4" s="1"/>
  <c r="L57" i="4"/>
  <c r="L58" i="4" s="1"/>
  <c r="H57" i="4"/>
  <c r="H58" i="4" s="1"/>
  <c r="D57" i="4"/>
  <c r="D58" i="4" s="1"/>
  <c r="DC53" i="4"/>
  <c r="DB53" i="4"/>
  <c r="DA53" i="4"/>
  <c r="CZ53" i="4"/>
  <c r="CY53" i="4"/>
  <c r="CX53" i="4"/>
  <c r="CW53" i="4"/>
  <c r="CV53" i="4"/>
  <c r="CU53" i="4"/>
  <c r="CT53" i="4"/>
  <c r="CS53" i="4"/>
  <c r="CR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DE49" i="4"/>
  <c r="DD49" i="4"/>
  <c r="DC49" i="4"/>
  <c r="DB49" i="4"/>
  <c r="DA49" i="4"/>
  <c r="CZ49" i="4"/>
  <c r="CY49" i="4"/>
  <c r="CX49" i="4"/>
  <c r="CW49" i="4"/>
  <c r="CV49" i="4"/>
  <c r="CU49" i="4"/>
  <c r="CT49" i="4"/>
  <c r="CS49" i="4"/>
  <c r="CR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CB49" i="4"/>
  <c r="CA49" i="4"/>
  <c r="BZ49" i="4"/>
  <c r="BY49" i="4"/>
  <c r="BY48" i="4"/>
  <c r="BH46" i="4"/>
  <c r="BD46" i="4"/>
  <c r="AZ46" i="4"/>
  <c r="AV46" i="4"/>
  <c r="AR46" i="4"/>
  <c r="AN46" i="4"/>
  <c r="AJ46" i="4"/>
  <c r="AF46" i="4"/>
  <c r="AB46" i="4"/>
  <c r="X46" i="4"/>
  <c r="T46" i="4"/>
  <c r="P46" i="4"/>
  <c r="L46" i="4"/>
  <c r="H46" i="4"/>
  <c r="D46" i="4"/>
  <c r="BI45" i="4"/>
  <c r="BE45" i="4"/>
  <c r="BF45" i="4" s="1"/>
  <c r="BD45" i="4"/>
  <c r="BA45" i="4"/>
  <c r="AZ45" i="4"/>
  <c r="AW45" i="4"/>
  <c r="AX45" i="4" s="1"/>
  <c r="AS45" i="4"/>
  <c r="AO45" i="4"/>
  <c r="AP45" i="4" s="1"/>
  <c r="AK45" i="4"/>
  <c r="AG45" i="4"/>
  <c r="AH45" i="4" s="1"/>
  <c r="AC45" i="4"/>
  <c r="Y45" i="4"/>
  <c r="Z45" i="4" s="1"/>
  <c r="U45" i="4"/>
  <c r="Q45" i="4"/>
  <c r="R45" i="4" s="1"/>
  <c r="M45" i="4"/>
  <c r="I45" i="4"/>
  <c r="J45" i="4" s="1"/>
  <c r="E45" i="4"/>
  <c r="D45" i="4"/>
  <c r="BI44" i="4"/>
  <c r="BE44" i="4"/>
  <c r="BF44" i="4" s="1"/>
  <c r="BD44" i="4"/>
  <c r="BA44" i="4"/>
  <c r="BB44" i="4" s="1"/>
  <c r="AZ44" i="4"/>
  <c r="AX44" i="4"/>
  <c r="DE43" i="4"/>
  <c r="CO43" i="4"/>
  <c r="CN43" i="4"/>
  <c r="BS43" i="4"/>
  <c r="BR43" i="4"/>
  <c r="BQ43" i="4"/>
  <c r="BP43" i="4"/>
  <c r="BO43" i="4"/>
  <c r="BN43" i="4"/>
  <c r="BM43" i="4"/>
  <c r="BI43" i="4"/>
  <c r="BJ43" i="4" s="1"/>
  <c r="BH43" i="4"/>
  <c r="BF43" i="4"/>
  <c r="BG43" i="4" s="1"/>
  <c r="BE43" i="4"/>
  <c r="BA43" i="4"/>
  <c r="AZ43" i="4"/>
  <c r="AW43" i="4"/>
  <c r="AV43" i="4"/>
  <c r="AS43" i="4"/>
  <c r="AR43" i="4"/>
  <c r="AO43" i="4"/>
  <c r="AN43" i="4"/>
  <c r="AK43" i="4"/>
  <c r="AJ43" i="4"/>
  <c r="AG43" i="4"/>
  <c r="AC43" i="4"/>
  <c r="AD43" i="4" s="1"/>
  <c r="Y43" i="4"/>
  <c r="U43" i="4"/>
  <c r="V43" i="4" s="1"/>
  <c r="Q43" i="4"/>
  <c r="M43" i="4"/>
  <c r="N43" i="4" s="1"/>
  <c r="I43" i="4"/>
  <c r="E43" i="4"/>
  <c r="F43" i="4" s="1"/>
  <c r="BI42" i="4"/>
  <c r="BE42" i="4"/>
  <c r="BF42" i="4" s="1"/>
  <c r="BA42" i="4"/>
  <c r="AW42" i="4"/>
  <c r="AX42" i="4" s="1"/>
  <c r="AS42" i="4"/>
  <c r="AO42" i="4"/>
  <c r="AP42" i="4" s="1"/>
  <c r="AK42" i="4"/>
  <c r="AG42" i="4"/>
  <c r="AH42" i="4" s="1"/>
  <c r="AC42" i="4"/>
  <c r="Y42" i="4"/>
  <c r="Z42" i="4" s="1"/>
  <c r="U42" i="4"/>
  <c r="Q42" i="4"/>
  <c r="R42" i="4" s="1"/>
  <c r="M42" i="4"/>
  <c r="I42" i="4"/>
  <c r="J42" i="4" s="1"/>
  <c r="E42" i="4"/>
  <c r="CV41" i="4"/>
  <c r="CU41" i="4"/>
  <c r="CT41" i="4"/>
  <c r="CS41" i="4"/>
  <c r="CR41" i="4"/>
  <c r="CE41" i="4"/>
  <c r="CD41" i="4"/>
  <c r="CC41" i="4"/>
  <c r="CB41" i="4"/>
  <c r="CA41" i="4"/>
  <c r="BZ41" i="4"/>
  <c r="BY41" i="4"/>
  <c r="BI41" i="4"/>
  <c r="BJ41" i="4" s="1"/>
  <c r="BK41" i="4" s="1"/>
  <c r="BE41" i="4"/>
  <c r="BA41" i="4"/>
  <c r="BB41" i="4" s="1"/>
  <c r="AW41" i="4"/>
  <c r="AS41" i="4"/>
  <c r="AT41" i="4" s="1"/>
  <c r="AO41" i="4"/>
  <c r="AK41" i="4"/>
  <c r="AL41" i="4" s="1"/>
  <c r="AI41" i="4"/>
  <c r="CW41" i="4" s="1"/>
  <c r="CW40" i="4"/>
  <c r="CV40" i="4"/>
  <c r="CU40" i="4"/>
  <c r="CF40" i="4"/>
  <c r="CE40" i="4"/>
  <c r="CD40" i="4"/>
  <c r="BI40" i="4"/>
  <c r="BJ40" i="4" s="1"/>
  <c r="BK40" i="4" s="1"/>
  <c r="BE40" i="4"/>
  <c r="BF40" i="4" s="1"/>
  <c r="BG40" i="4" s="1"/>
  <c r="BA40" i="4"/>
  <c r="AW40" i="4"/>
  <c r="AX40" i="4" s="1"/>
  <c r="AY40" i="4" s="1"/>
  <c r="AS40" i="4"/>
  <c r="AO40" i="4"/>
  <c r="AP40" i="4" s="1"/>
  <c r="AQ40" i="4" s="1"/>
  <c r="AN40" i="4"/>
  <c r="AK40" i="4"/>
  <c r="AL40" i="4" s="1"/>
  <c r="U40" i="4"/>
  <c r="Q40" i="4"/>
  <c r="R40" i="4" s="1"/>
  <c r="S40" i="4" s="1"/>
  <c r="M40" i="4"/>
  <c r="I40" i="4"/>
  <c r="J40" i="4" s="1"/>
  <c r="K40" i="4" s="1"/>
  <c r="E40" i="4"/>
  <c r="BI39" i="4"/>
  <c r="BJ39" i="4" s="1"/>
  <c r="BK39" i="4" s="1"/>
  <c r="BE39" i="4"/>
  <c r="BA39" i="4"/>
  <c r="BB39" i="4" s="1"/>
  <c r="AW39" i="4"/>
  <c r="AS39" i="4"/>
  <c r="AT39" i="4" s="1"/>
  <c r="AO39" i="4"/>
  <c r="AK39" i="4"/>
  <c r="AG39" i="4"/>
  <c r="AH39" i="4" s="1"/>
  <c r="AI39" i="4" s="1"/>
  <c r="AC39" i="4"/>
  <c r="Y39" i="4"/>
  <c r="Z39" i="4" s="1"/>
  <c r="AA39" i="4" s="1"/>
  <c r="U39" i="4"/>
  <c r="Q39" i="4"/>
  <c r="R39" i="4" s="1"/>
  <c r="S39" i="4" s="1"/>
  <c r="M39" i="4"/>
  <c r="I39" i="4"/>
  <c r="J39" i="4" s="1"/>
  <c r="K39" i="4" s="1"/>
  <c r="E39" i="4"/>
  <c r="BI38" i="4"/>
  <c r="BJ38" i="4" s="1"/>
  <c r="BK38" i="4" s="1"/>
  <c r="BE38" i="4"/>
  <c r="BB38" i="4"/>
  <c r="BA38" i="4"/>
  <c r="AW38" i="4"/>
  <c r="AS38" i="4"/>
  <c r="AT38" i="4" s="1"/>
  <c r="AO38" i="4"/>
  <c r="AK38" i="4"/>
  <c r="AG38" i="4"/>
  <c r="AH38" i="4" s="1"/>
  <c r="AI38" i="4" s="1"/>
  <c r="AC38" i="4"/>
  <c r="Z38" i="4"/>
  <c r="AA38" i="4" s="1"/>
  <c r="Y38" i="4"/>
  <c r="U38" i="4"/>
  <c r="Q38" i="4"/>
  <c r="R38" i="4" s="1"/>
  <c r="S38" i="4" s="1"/>
  <c r="M38" i="4"/>
  <c r="I38" i="4"/>
  <c r="J38" i="4" s="1"/>
  <c r="K38" i="4" s="1"/>
  <c r="E38" i="4"/>
  <c r="BI37" i="4"/>
  <c r="BE37" i="4"/>
  <c r="BE46" i="4" s="1"/>
  <c r="BA37" i="4"/>
  <c r="BA46" i="4" s="1"/>
  <c r="AW37" i="4"/>
  <c r="AW46" i="4" s="1"/>
  <c r="AS37" i="4"/>
  <c r="AS46" i="4" s="1"/>
  <c r="AO37" i="4"/>
  <c r="AO46" i="4" s="1"/>
  <c r="AK37" i="4"/>
  <c r="AK46" i="4" s="1"/>
  <c r="AG37" i="4"/>
  <c r="AC37" i="4"/>
  <c r="AC46" i="4" s="1"/>
  <c r="Y37" i="4"/>
  <c r="Y46" i="4" s="1"/>
  <c r="U37" i="4"/>
  <c r="V37" i="4" s="1"/>
  <c r="Q37" i="4"/>
  <c r="Q46" i="4" s="1"/>
  <c r="M37" i="4"/>
  <c r="I37" i="4"/>
  <c r="I46" i="4" s="1"/>
  <c r="E37" i="4"/>
  <c r="E46" i="4" s="1"/>
  <c r="BH34" i="4"/>
  <c r="BD34" i="4"/>
  <c r="AZ34" i="4"/>
  <c r="AV34" i="4"/>
  <c r="AR34" i="4"/>
  <c r="AN34" i="4"/>
  <c r="AJ34" i="4"/>
  <c r="AF34" i="4"/>
  <c r="AB34" i="4"/>
  <c r="X34" i="4"/>
  <c r="T34" i="4"/>
  <c r="P34" i="4"/>
  <c r="L34" i="4"/>
  <c r="H34" i="4"/>
  <c r="D34" i="4"/>
  <c r="BI33" i="4"/>
  <c r="BJ33" i="4" s="1"/>
  <c r="BK33" i="4" s="1"/>
  <c r="BE33" i="4"/>
  <c r="BF33" i="4" s="1"/>
  <c r="BG33" i="4" s="1"/>
  <c r="BA33" i="4"/>
  <c r="AW33" i="4"/>
  <c r="AX33" i="4" s="1"/>
  <c r="AY33" i="4" s="1"/>
  <c r="AS33" i="4"/>
  <c r="AO33" i="4"/>
  <c r="AP33" i="4" s="1"/>
  <c r="AQ33" i="4" s="1"/>
  <c r="AK33" i="4"/>
  <c r="AG33" i="4"/>
  <c r="AH33" i="4" s="1"/>
  <c r="AI33" i="4" s="1"/>
  <c r="AC33" i="4"/>
  <c r="Y33" i="4"/>
  <c r="Z33" i="4" s="1"/>
  <c r="AA33" i="4" s="1"/>
  <c r="U33" i="4"/>
  <c r="Q33" i="4"/>
  <c r="R33" i="4" s="1"/>
  <c r="S33" i="4" s="1"/>
  <c r="M33" i="4"/>
  <c r="I33" i="4"/>
  <c r="J33" i="4" s="1"/>
  <c r="K33" i="4" s="1"/>
  <c r="E33" i="4"/>
  <c r="BI32" i="4"/>
  <c r="BJ32" i="4" s="1"/>
  <c r="BK32" i="4" s="1"/>
  <c r="BE32" i="4"/>
  <c r="BA32" i="4"/>
  <c r="BB32" i="4" s="1"/>
  <c r="AW32" i="4"/>
  <c r="AS32" i="4"/>
  <c r="AT32" i="4" s="1"/>
  <c r="AO32" i="4"/>
  <c r="AK32" i="4"/>
  <c r="AL32" i="4" s="1"/>
  <c r="AG32" i="4"/>
  <c r="AC32" i="4"/>
  <c r="AD32" i="4" s="1"/>
  <c r="Y32" i="4"/>
  <c r="U32" i="4"/>
  <c r="V32" i="4" s="1"/>
  <c r="Q32" i="4"/>
  <c r="N32" i="4"/>
  <c r="M32" i="4"/>
  <c r="I32" i="4"/>
  <c r="E32" i="4"/>
  <c r="F32" i="4" s="1"/>
  <c r="BI31" i="4"/>
  <c r="BE31" i="4"/>
  <c r="BF31" i="4" s="1"/>
  <c r="BA31" i="4"/>
  <c r="AW31" i="4"/>
  <c r="AX31" i="4" s="1"/>
  <c r="AS31" i="4"/>
  <c r="AO31" i="4"/>
  <c r="AP31" i="4" s="1"/>
  <c r="AQ31" i="4" s="1"/>
  <c r="AK31" i="4"/>
  <c r="AG31" i="4"/>
  <c r="AH31" i="4" s="1"/>
  <c r="AI31" i="4" s="1"/>
  <c r="AC31" i="4"/>
  <c r="Y31" i="4"/>
  <c r="Z31" i="4" s="1"/>
  <c r="AA31" i="4" s="1"/>
  <c r="U31" i="4"/>
  <c r="Q31" i="4"/>
  <c r="R31" i="4" s="1"/>
  <c r="S31" i="4" s="1"/>
  <c r="M31" i="4"/>
  <c r="I31" i="4"/>
  <c r="J31" i="4" s="1"/>
  <c r="K31" i="4" s="1"/>
  <c r="E31" i="4"/>
  <c r="BI30" i="4"/>
  <c r="BI57" i="4" s="1"/>
  <c r="BI58" i="4" s="1"/>
  <c r="BE30" i="4"/>
  <c r="BA30" i="4"/>
  <c r="BA57" i="4" s="1"/>
  <c r="BA58" i="4" s="1"/>
  <c r="AW30" i="4"/>
  <c r="AS30" i="4"/>
  <c r="AS57" i="4" s="1"/>
  <c r="AS58" i="4" s="1"/>
  <c r="AO30" i="4"/>
  <c r="AL30" i="4"/>
  <c r="AK30" i="4"/>
  <c r="AK57" i="4" s="1"/>
  <c r="AK58" i="4" s="1"/>
  <c r="AG30" i="4"/>
  <c r="AC30" i="4"/>
  <c r="AC57" i="4" s="1"/>
  <c r="AC58" i="4" s="1"/>
  <c r="Y30" i="4"/>
  <c r="U30" i="4"/>
  <c r="U57" i="4" s="1"/>
  <c r="U58" i="4" s="1"/>
  <c r="Q30" i="4"/>
  <c r="M30" i="4"/>
  <c r="M57" i="4" s="1"/>
  <c r="M58" i="4" s="1"/>
  <c r="I30" i="4"/>
  <c r="E30" i="4"/>
  <c r="E57" i="4" s="1"/>
  <c r="E58" i="4" s="1"/>
  <c r="BI26" i="4"/>
  <c r="BJ26" i="4" s="1"/>
  <c r="BK26" i="4" s="1"/>
  <c r="BE26" i="4"/>
  <c r="BF26" i="4" s="1"/>
  <c r="BG26" i="4" s="1"/>
  <c r="BA26" i="4"/>
  <c r="BB26" i="4" s="1"/>
  <c r="BC26" i="4" s="1"/>
  <c r="DB26" i="4" s="1"/>
  <c r="AW26" i="4"/>
  <c r="AX26" i="4" s="1"/>
  <c r="AY26" i="4" s="1"/>
  <c r="AS26" i="4"/>
  <c r="AT26" i="4" s="1"/>
  <c r="AU26" i="4" s="1"/>
  <c r="AO26" i="4"/>
  <c r="AP26" i="4" s="1"/>
  <c r="AQ26" i="4" s="1"/>
  <c r="AK26" i="4"/>
  <c r="AL26" i="4" s="1"/>
  <c r="AM26" i="4" s="1"/>
  <c r="CX26" i="4" s="1"/>
  <c r="AG26" i="4"/>
  <c r="AH26" i="4" s="1"/>
  <c r="AI26" i="4" s="1"/>
  <c r="AC26" i="4"/>
  <c r="AD26" i="4" s="1"/>
  <c r="AE26" i="4" s="1"/>
  <c r="Y26" i="4"/>
  <c r="Z26" i="4" s="1"/>
  <c r="AA26" i="4" s="1"/>
  <c r="U26" i="4"/>
  <c r="V26" i="4" s="1"/>
  <c r="W26" i="4" s="1"/>
  <c r="CT26" i="4" s="1"/>
  <c r="Q26" i="4"/>
  <c r="R26" i="4" s="1"/>
  <c r="S26" i="4" s="1"/>
  <c r="M26" i="4"/>
  <c r="N26" i="4" s="1"/>
  <c r="O26" i="4" s="1"/>
  <c r="I26" i="4"/>
  <c r="J26" i="4" s="1"/>
  <c r="K26" i="4" s="1"/>
  <c r="E26" i="4"/>
  <c r="F26" i="4" s="1"/>
  <c r="G26" i="4" s="1"/>
  <c r="BY26" i="4" s="1"/>
  <c r="BI25" i="4"/>
  <c r="BJ25" i="4" s="1"/>
  <c r="BK25" i="4" s="1"/>
  <c r="BE25" i="4"/>
  <c r="BA25" i="4"/>
  <c r="BB25" i="4" s="1"/>
  <c r="BC25" i="4" s="1"/>
  <c r="AW25" i="4"/>
  <c r="AS25" i="4"/>
  <c r="AT25" i="4" s="1"/>
  <c r="AU25" i="4" s="1"/>
  <c r="AO25" i="4"/>
  <c r="AK25" i="4"/>
  <c r="AL25" i="4" s="1"/>
  <c r="AM25" i="4" s="1"/>
  <c r="AG25" i="4"/>
  <c r="AC25" i="4"/>
  <c r="AD25" i="4" s="1"/>
  <c r="AE25" i="4" s="1"/>
  <c r="Y25" i="4"/>
  <c r="U25" i="4"/>
  <c r="V25" i="4" s="1"/>
  <c r="W25" i="4" s="1"/>
  <c r="Q25" i="4"/>
  <c r="R25" i="4" s="1"/>
  <c r="S25" i="4" s="1"/>
  <c r="M25" i="4"/>
  <c r="N25" i="4" s="1"/>
  <c r="O25" i="4" s="1"/>
  <c r="I25" i="4"/>
  <c r="J25" i="4" s="1"/>
  <c r="K25" i="4" s="1"/>
  <c r="E25" i="4"/>
  <c r="F25" i="4" s="1"/>
  <c r="BI24" i="4"/>
  <c r="BJ24" i="4" s="1"/>
  <c r="BK24" i="4" s="1"/>
  <c r="BE24" i="4"/>
  <c r="BA24" i="4"/>
  <c r="BB24" i="4" s="1"/>
  <c r="BC24" i="4" s="1"/>
  <c r="AW24" i="4"/>
  <c r="AS24" i="4"/>
  <c r="AT24" i="4" s="1"/>
  <c r="AU24" i="4" s="1"/>
  <c r="AO24" i="4"/>
  <c r="AK24" i="4"/>
  <c r="AL24" i="4" s="1"/>
  <c r="AM24" i="4" s="1"/>
  <c r="AG24" i="4"/>
  <c r="AD24" i="4"/>
  <c r="AE24" i="4" s="1"/>
  <c r="AC24" i="4"/>
  <c r="Y24" i="4"/>
  <c r="U24" i="4"/>
  <c r="V24" i="4" s="1"/>
  <c r="W24" i="4" s="1"/>
  <c r="Q24" i="4"/>
  <c r="M24" i="4"/>
  <c r="N24" i="4" s="1"/>
  <c r="O24" i="4" s="1"/>
  <c r="I24" i="4"/>
  <c r="E24" i="4"/>
  <c r="F24" i="4" s="1"/>
  <c r="G24" i="4" s="1"/>
  <c r="BI23" i="4"/>
  <c r="BE23" i="4"/>
  <c r="BF23" i="4" s="1"/>
  <c r="BA23" i="4"/>
  <c r="AW23" i="4"/>
  <c r="AX23" i="4" s="1"/>
  <c r="AS23" i="4"/>
  <c r="AO23" i="4"/>
  <c r="AP23" i="4" s="1"/>
  <c r="AK23" i="4"/>
  <c r="AG23" i="4"/>
  <c r="AH23" i="4" s="1"/>
  <c r="AC23" i="4"/>
  <c r="Z23" i="4"/>
  <c r="Y23" i="4"/>
  <c r="U23" i="4"/>
  <c r="Q23" i="4"/>
  <c r="R23" i="4" s="1"/>
  <c r="M23" i="4"/>
  <c r="I23" i="4"/>
  <c r="J23" i="4" s="1"/>
  <c r="E23" i="4"/>
  <c r="BI22" i="4"/>
  <c r="BJ22" i="4" s="1"/>
  <c r="BK22" i="4" s="1"/>
  <c r="BE22" i="4"/>
  <c r="BA22" i="4"/>
  <c r="BB22" i="4" s="1"/>
  <c r="AW22" i="4"/>
  <c r="AS22" i="4"/>
  <c r="AT22" i="4" s="1"/>
  <c r="AO22" i="4"/>
  <c r="AK22" i="4"/>
  <c r="AL22" i="4" s="1"/>
  <c r="AG22" i="4"/>
  <c r="AC22" i="4"/>
  <c r="AD22" i="4" s="1"/>
  <c r="Y22" i="4"/>
  <c r="V22" i="4"/>
  <c r="U22" i="4"/>
  <c r="Q22" i="4"/>
  <c r="M22" i="4"/>
  <c r="N22" i="4" s="1"/>
  <c r="I22" i="4"/>
  <c r="E22" i="4"/>
  <c r="F22" i="4" s="1"/>
  <c r="BI20" i="4"/>
  <c r="BE20" i="4"/>
  <c r="BF20" i="4" s="1"/>
  <c r="BA20" i="4"/>
  <c r="AW20" i="4"/>
  <c r="AX20" i="4" s="1"/>
  <c r="AS20" i="4"/>
  <c r="AO20" i="4"/>
  <c r="AP20" i="4" s="1"/>
  <c r="AN20" i="4"/>
  <c r="AK20" i="4"/>
  <c r="AL20" i="4" s="1"/>
  <c r="AM20" i="4" s="1"/>
  <c r="AG20" i="4"/>
  <c r="AC20" i="4"/>
  <c r="AD20" i="4" s="1"/>
  <c r="AE20" i="4" s="1"/>
  <c r="Y20" i="4"/>
  <c r="X20" i="4"/>
  <c r="U20" i="4"/>
  <c r="T20" i="4"/>
  <c r="Q20" i="4"/>
  <c r="N20" i="4"/>
  <c r="O20" i="4" s="1"/>
  <c r="M20" i="4"/>
  <c r="L20" i="4"/>
  <c r="I20" i="4"/>
  <c r="J20" i="4" s="1"/>
  <c r="E20" i="4"/>
  <c r="BI19" i="4"/>
  <c r="BJ19" i="4" s="1"/>
  <c r="BK19" i="4" s="1"/>
  <c r="BE19" i="4"/>
  <c r="BA19" i="4"/>
  <c r="BB19" i="4" s="1"/>
  <c r="AW19" i="4"/>
  <c r="AS19" i="4"/>
  <c r="AT19" i="4" s="1"/>
  <c r="AO19" i="4"/>
  <c r="AK19" i="4"/>
  <c r="AL19" i="4" s="1"/>
  <c r="AG19" i="4"/>
  <c r="AC19" i="4"/>
  <c r="AD19" i="4" s="1"/>
  <c r="Y19" i="4"/>
  <c r="U19" i="4"/>
  <c r="V19" i="4" s="1"/>
  <c r="Q19" i="4"/>
  <c r="N19" i="4"/>
  <c r="M19" i="4"/>
  <c r="I19" i="4"/>
  <c r="E19" i="4"/>
  <c r="F19" i="4" s="1"/>
  <c r="BI18" i="4"/>
  <c r="BI60" i="4" s="1"/>
  <c r="BE18" i="4"/>
  <c r="BE60" i="4" s="1"/>
  <c r="BA18" i="4"/>
  <c r="BA60" i="4" s="1"/>
  <c r="AW18" i="4"/>
  <c r="AW60" i="4" s="1"/>
  <c r="AS18" i="4"/>
  <c r="AS60" i="4" s="1"/>
  <c r="AO18" i="4"/>
  <c r="AO60" i="4" s="1"/>
  <c r="AK18" i="4"/>
  <c r="AG18" i="4"/>
  <c r="AH18" i="4" s="1"/>
  <c r="AC18" i="4"/>
  <c r="Y18" i="4"/>
  <c r="Z18" i="4" s="1"/>
  <c r="U18" i="4"/>
  <c r="Q18" i="4"/>
  <c r="R18" i="4" s="1"/>
  <c r="M18" i="4"/>
  <c r="J18" i="4"/>
  <c r="I18" i="4"/>
  <c r="E18" i="4"/>
  <c r="BI17" i="4"/>
  <c r="BF17" i="4"/>
  <c r="BE17" i="4"/>
  <c r="BA17" i="4"/>
  <c r="AW17" i="4"/>
  <c r="AX17" i="4" s="1"/>
  <c r="AS17" i="4"/>
  <c r="AO17" i="4"/>
  <c r="AP17" i="4" s="1"/>
  <c r="AK17" i="4"/>
  <c r="AG17" i="4"/>
  <c r="AH17" i="4" s="1"/>
  <c r="AC17" i="4"/>
  <c r="Y17" i="4"/>
  <c r="Z17" i="4" s="1"/>
  <c r="U17" i="4"/>
  <c r="Q17" i="4"/>
  <c r="R17" i="4" s="1"/>
  <c r="M17" i="4"/>
  <c r="I17" i="4"/>
  <c r="J17" i="4" s="1"/>
  <c r="E17" i="4"/>
  <c r="BI16" i="4"/>
  <c r="BJ16" i="4" s="1"/>
  <c r="BK16" i="4" s="1"/>
  <c r="BE16" i="4"/>
  <c r="BF16" i="4" s="1"/>
  <c r="BG16" i="4" s="1"/>
  <c r="BA16" i="4"/>
  <c r="AW16" i="4"/>
  <c r="AX16" i="4" s="1"/>
  <c r="AY16" i="4" s="1"/>
  <c r="AS16" i="4"/>
  <c r="AO16" i="4"/>
  <c r="AP16" i="4" s="1"/>
  <c r="AQ16" i="4" s="1"/>
  <c r="AK16" i="4"/>
  <c r="AG16" i="4"/>
  <c r="AH16" i="4" s="1"/>
  <c r="AI16" i="4" s="1"/>
  <c r="AC16" i="4"/>
  <c r="Y16" i="4"/>
  <c r="Z16" i="4" s="1"/>
  <c r="AA16" i="4" s="1"/>
  <c r="U16" i="4"/>
  <c r="Q16" i="4"/>
  <c r="R16" i="4" s="1"/>
  <c r="S16" i="4" s="1"/>
  <c r="M16" i="4"/>
  <c r="J16" i="4"/>
  <c r="K16" i="4" s="1"/>
  <c r="I16" i="4"/>
  <c r="E16" i="4"/>
  <c r="BI15" i="4"/>
  <c r="BJ15" i="4" s="1"/>
  <c r="BK15" i="4" s="1"/>
  <c r="BE15" i="4"/>
  <c r="BA15" i="4"/>
  <c r="BB15" i="4" s="1"/>
  <c r="AW15" i="4"/>
  <c r="AS15" i="4"/>
  <c r="AT15" i="4" s="1"/>
  <c r="AO15" i="4"/>
  <c r="AK15" i="4"/>
  <c r="AL15" i="4" s="1"/>
  <c r="AG15" i="4"/>
  <c r="AC15" i="4"/>
  <c r="AD15" i="4" s="1"/>
  <c r="Y15" i="4"/>
  <c r="U15" i="4"/>
  <c r="V15" i="4" s="1"/>
  <c r="Q15" i="4"/>
  <c r="M15" i="4"/>
  <c r="N15" i="4" s="1"/>
  <c r="I15" i="4"/>
  <c r="E15" i="4"/>
  <c r="F15" i="4" s="1"/>
  <c r="BI14" i="4"/>
  <c r="BE14" i="4"/>
  <c r="BF14" i="4" s="1"/>
  <c r="BA14" i="4"/>
  <c r="AW14" i="4"/>
  <c r="AX14" i="4" s="1"/>
  <c r="AS14" i="4"/>
  <c r="AO14" i="4"/>
  <c r="AP14" i="4" s="1"/>
  <c r="AK14" i="4"/>
  <c r="AG14" i="4"/>
  <c r="AH14" i="4" s="1"/>
  <c r="AC14" i="4"/>
  <c r="Y14" i="4"/>
  <c r="Z14" i="4" s="1"/>
  <c r="U14" i="4"/>
  <c r="Q14" i="4"/>
  <c r="R14" i="4" s="1"/>
  <c r="M14" i="4"/>
  <c r="I14" i="4"/>
  <c r="J14" i="4" s="1"/>
  <c r="E14" i="4"/>
  <c r="BJ13" i="4"/>
  <c r="BK13" i="4" s="1"/>
  <c r="BI13" i="4"/>
  <c r="BE13" i="4"/>
  <c r="BA13" i="4"/>
  <c r="BB13" i="4" s="1"/>
  <c r="AW13" i="4"/>
  <c r="AS13" i="4"/>
  <c r="AT13" i="4" s="1"/>
  <c r="AO13" i="4"/>
  <c r="AK13" i="4"/>
  <c r="AL13" i="4" s="1"/>
  <c r="AG13" i="4"/>
  <c r="AC13" i="4"/>
  <c r="AD13" i="4" s="1"/>
  <c r="Y13" i="4"/>
  <c r="U13" i="4"/>
  <c r="V13" i="4" s="1"/>
  <c r="Q13" i="4"/>
  <c r="M13" i="4"/>
  <c r="N13" i="4" s="1"/>
  <c r="I13" i="4"/>
  <c r="E13" i="4"/>
  <c r="F13" i="4" s="1"/>
  <c r="BI12" i="4"/>
  <c r="BJ12" i="4" s="1"/>
  <c r="BK12" i="4" s="1"/>
  <c r="BE12" i="4"/>
  <c r="BA12" i="4"/>
  <c r="BB12" i="4" s="1"/>
  <c r="BC12" i="4" s="1"/>
  <c r="AW12" i="4"/>
  <c r="AS12" i="4"/>
  <c r="AT12" i="4" s="1"/>
  <c r="AU12" i="4" s="1"/>
  <c r="AO12" i="4"/>
  <c r="AK12" i="4"/>
  <c r="AL12" i="4" s="1"/>
  <c r="AM12" i="4" s="1"/>
  <c r="AG12" i="4"/>
  <c r="AC12" i="4"/>
  <c r="AD12" i="4" s="1"/>
  <c r="AE12" i="4" s="1"/>
  <c r="Y12" i="4"/>
  <c r="U12" i="4"/>
  <c r="V12" i="4" s="1"/>
  <c r="W12" i="4" s="1"/>
  <c r="Q12" i="4"/>
  <c r="M12" i="4"/>
  <c r="N12" i="4" s="1"/>
  <c r="O12" i="4" s="1"/>
  <c r="I12" i="4"/>
  <c r="E12" i="4"/>
  <c r="F12" i="4" s="1"/>
  <c r="G12" i="4" s="1"/>
  <c r="BI11" i="4"/>
  <c r="BE11" i="4"/>
  <c r="BF11" i="4" s="1"/>
  <c r="BA11" i="4"/>
  <c r="AW11" i="4"/>
  <c r="AX11" i="4" s="1"/>
  <c r="AS11" i="4"/>
  <c r="AS72" i="4" s="1"/>
  <c r="AS70" i="4" s="1"/>
  <c r="AS69" i="4" s="1"/>
  <c r="AO11" i="4"/>
  <c r="AO72" i="4" s="1"/>
  <c r="AO70" i="4" s="1"/>
  <c r="AO69" i="4" s="1"/>
  <c r="AK11" i="4"/>
  <c r="AK72" i="4" s="1"/>
  <c r="AK70" i="4" s="1"/>
  <c r="AK69" i="4" s="1"/>
  <c r="AH11" i="4"/>
  <c r="AH72" i="4" s="1"/>
  <c r="AH70" i="4" s="1"/>
  <c r="AH69" i="4" s="1"/>
  <c r="AH73" i="4" s="1"/>
  <c r="AG11" i="4"/>
  <c r="AG72" i="4" s="1"/>
  <c r="AG70" i="4" s="1"/>
  <c r="AG69" i="4" s="1"/>
  <c r="AC11" i="4"/>
  <c r="AC72" i="4" s="1"/>
  <c r="AC70" i="4" s="1"/>
  <c r="AC69" i="4" s="1"/>
  <c r="Y11" i="4"/>
  <c r="Y72" i="4" s="1"/>
  <c r="Y70" i="4" s="1"/>
  <c r="Y69" i="4" s="1"/>
  <c r="U11" i="4"/>
  <c r="U72" i="4" s="1"/>
  <c r="U70" i="4" s="1"/>
  <c r="U69" i="4" s="1"/>
  <c r="Q11" i="4"/>
  <c r="Q72" i="4" s="1"/>
  <c r="Q70" i="4" s="1"/>
  <c r="Q69" i="4" s="1"/>
  <c r="M11" i="4"/>
  <c r="M72" i="4" s="1"/>
  <c r="M70" i="4" s="1"/>
  <c r="M69" i="4" s="1"/>
  <c r="I11" i="4"/>
  <c r="I72" i="4" s="1"/>
  <c r="I70" i="4" s="1"/>
  <c r="I69" i="4" s="1"/>
  <c r="I73" i="4" s="1"/>
  <c r="E11" i="4"/>
  <c r="E72" i="4" s="1"/>
  <c r="E70" i="4" s="1"/>
  <c r="E69" i="4" s="1"/>
  <c r="E73" i="4" s="1"/>
  <c r="BI10" i="4"/>
  <c r="BJ10" i="4" s="1"/>
  <c r="BK10" i="4" s="1"/>
  <c r="BE10" i="4"/>
  <c r="BA10" i="4"/>
  <c r="BB10" i="4" s="1"/>
  <c r="AW10" i="4"/>
  <c r="AS10" i="4"/>
  <c r="AT10" i="4" s="1"/>
  <c r="AO10" i="4"/>
  <c r="AK10" i="4"/>
  <c r="AL10" i="4" s="1"/>
  <c r="AG10" i="4"/>
  <c r="AC10" i="4"/>
  <c r="AD10" i="4" s="1"/>
  <c r="Y10" i="4"/>
  <c r="U10" i="4"/>
  <c r="V10" i="4" s="1"/>
  <c r="Q10" i="4"/>
  <c r="M10" i="4"/>
  <c r="N10" i="4" s="1"/>
  <c r="I10" i="4"/>
  <c r="E10" i="4"/>
  <c r="F10" i="4" s="1"/>
  <c r="CU6" i="4"/>
  <c r="CT6" i="4"/>
  <c r="CS6" i="4"/>
  <c r="CR6" i="4"/>
  <c r="CO6" i="4"/>
  <c r="CO56" i="4" s="1"/>
  <c r="CO68" i="4" s="1"/>
  <c r="CO75" i="4" s="1"/>
  <c r="CN6" i="4"/>
  <c r="CN56" i="4" s="1"/>
  <c r="CN68" i="4" s="1"/>
  <c r="CN75" i="4" s="1"/>
  <c r="CM6" i="4"/>
  <c r="CM56" i="4" s="1"/>
  <c r="CM68" i="4" s="1"/>
  <c r="CM75" i="4" s="1"/>
  <c r="CL6" i="4"/>
  <c r="CL56" i="4" s="1"/>
  <c r="CL68" i="4" s="1"/>
  <c r="CL75" i="4" s="1"/>
  <c r="CK6" i="4"/>
  <c r="CK56" i="4" s="1"/>
  <c r="CK68" i="4" s="1"/>
  <c r="CK75" i="4" s="1"/>
  <c r="CJ6" i="4"/>
  <c r="CJ56" i="4" s="1"/>
  <c r="CJ68" i="4" s="1"/>
  <c r="CJ75" i="4" s="1"/>
  <c r="CI6" i="4"/>
  <c r="CI56" i="4" s="1"/>
  <c r="CI68" i="4" s="1"/>
  <c r="CI75" i="4" s="1"/>
  <c r="BS6" i="4"/>
  <c r="BS56" i="4" s="1"/>
  <c r="BS68" i="4" s="1"/>
  <c r="BS75" i="4" s="1"/>
  <c r="BR6" i="4"/>
  <c r="BR56" i="4" s="1"/>
  <c r="BR68" i="4" s="1"/>
  <c r="BR75" i="4" s="1"/>
  <c r="BQ6" i="4"/>
  <c r="BQ56" i="4" s="1"/>
  <c r="BQ68" i="4" s="1"/>
  <c r="BQ75" i="4" s="1"/>
  <c r="BP6" i="4"/>
  <c r="BP56" i="4" s="1"/>
  <c r="BP68" i="4" s="1"/>
  <c r="BP75" i="4" s="1"/>
  <c r="BO6" i="4"/>
  <c r="BO56" i="4" s="1"/>
  <c r="BO68" i="4" s="1"/>
  <c r="BO75" i="4" s="1"/>
  <c r="BN6" i="4"/>
  <c r="BN56" i="4" s="1"/>
  <c r="BN68" i="4" s="1"/>
  <c r="BN75" i="4" s="1"/>
  <c r="BM6" i="4"/>
  <c r="BM56" i="4" s="1"/>
  <c r="BM68" i="4" s="1"/>
  <c r="BM75" i="4" s="1"/>
  <c r="BL6" i="4"/>
  <c r="BL56" i="4" s="1"/>
  <c r="BL68" i="4" s="1"/>
  <c r="BL75" i="4" s="1"/>
  <c r="BK6" i="4"/>
  <c r="BK56" i="4" s="1"/>
  <c r="BK68" i="4" s="1"/>
  <c r="BK75" i="4" s="1"/>
  <c r="BJ6" i="4"/>
  <c r="BJ56" i="4" s="1"/>
  <c r="BJ68" i="4" s="1"/>
  <c r="BJ75" i="4" s="1"/>
  <c r="BI6" i="4"/>
  <c r="BI56" i="4" s="1"/>
  <c r="BI68" i="4" s="1"/>
  <c r="BI75" i="4" s="1"/>
  <c r="BH6" i="4"/>
  <c r="BH56" i="4" s="1"/>
  <c r="BH68" i="4" s="1"/>
  <c r="BH75" i="4" s="1"/>
  <c r="BG6" i="4"/>
  <c r="BG56" i="4" s="1"/>
  <c r="BG68" i="4" s="1"/>
  <c r="BG75" i="4" s="1"/>
  <c r="BF6" i="4"/>
  <c r="BF56" i="4" s="1"/>
  <c r="BF68" i="4" s="1"/>
  <c r="BF75" i="4" s="1"/>
  <c r="BE6" i="4"/>
  <c r="BE56" i="4" s="1"/>
  <c r="BE68" i="4" s="1"/>
  <c r="BE75" i="4" s="1"/>
  <c r="BD6" i="4"/>
  <c r="BD56" i="4" s="1"/>
  <c r="BD68" i="4" s="1"/>
  <c r="BD75" i="4" s="1"/>
  <c r="BC6" i="4"/>
  <c r="BC56" i="4" s="1"/>
  <c r="BC68" i="4" s="1"/>
  <c r="BC75" i="4" s="1"/>
  <c r="BB6" i="4"/>
  <c r="BB56" i="4" s="1"/>
  <c r="BB68" i="4" s="1"/>
  <c r="BB75" i="4" s="1"/>
  <c r="BA6" i="4"/>
  <c r="BA56" i="4" s="1"/>
  <c r="BA68" i="4" s="1"/>
  <c r="BA75" i="4" s="1"/>
  <c r="AZ6" i="4"/>
  <c r="AZ56" i="4" s="1"/>
  <c r="AZ68" i="4" s="1"/>
  <c r="AZ75" i="4" s="1"/>
  <c r="AY6" i="4"/>
  <c r="AY56" i="4" s="1"/>
  <c r="AY68" i="4" s="1"/>
  <c r="AY75" i="4" s="1"/>
  <c r="AX6" i="4"/>
  <c r="AX56" i="4" s="1"/>
  <c r="AX68" i="4" s="1"/>
  <c r="AX75" i="4" s="1"/>
  <c r="AW6" i="4"/>
  <c r="AW56" i="4" s="1"/>
  <c r="AW68" i="4" s="1"/>
  <c r="AW75" i="4" s="1"/>
  <c r="AV6" i="4"/>
  <c r="AV56" i="4" s="1"/>
  <c r="AV68" i="4" s="1"/>
  <c r="AV75" i="4" s="1"/>
  <c r="AU6" i="4"/>
  <c r="AU56" i="4" s="1"/>
  <c r="AU68" i="4" s="1"/>
  <c r="AU75" i="4" s="1"/>
  <c r="AT6" i="4"/>
  <c r="AT56" i="4" s="1"/>
  <c r="AT68" i="4" s="1"/>
  <c r="AT75" i="4" s="1"/>
  <c r="AS6" i="4"/>
  <c r="AS56" i="4" s="1"/>
  <c r="AS68" i="4" s="1"/>
  <c r="AS75" i="4" s="1"/>
  <c r="AR6" i="4"/>
  <c r="AR56" i="4" s="1"/>
  <c r="AR68" i="4" s="1"/>
  <c r="AR75" i="4" s="1"/>
  <c r="AQ6" i="4"/>
  <c r="AQ56" i="4" s="1"/>
  <c r="AQ68" i="4" s="1"/>
  <c r="AQ75" i="4" s="1"/>
  <c r="AP6" i="4"/>
  <c r="AP56" i="4" s="1"/>
  <c r="AP68" i="4" s="1"/>
  <c r="AP75" i="4" s="1"/>
  <c r="AO6" i="4"/>
  <c r="AO56" i="4" s="1"/>
  <c r="AO68" i="4" s="1"/>
  <c r="AO75" i="4" s="1"/>
  <c r="AN6" i="4"/>
  <c r="AN56" i="4" s="1"/>
  <c r="AN68" i="4" s="1"/>
  <c r="AN75" i="4" s="1"/>
  <c r="AM6" i="4"/>
  <c r="AM56" i="4" s="1"/>
  <c r="AM68" i="4" s="1"/>
  <c r="AM75" i="4" s="1"/>
  <c r="AL6" i="4"/>
  <c r="AL56" i="4" s="1"/>
  <c r="AL68" i="4" s="1"/>
  <c r="AL75" i="4" s="1"/>
  <c r="AK6" i="4"/>
  <c r="AK56" i="4" s="1"/>
  <c r="AK68" i="4" s="1"/>
  <c r="AK75" i="4" s="1"/>
  <c r="AJ6" i="4"/>
  <c r="AJ56" i="4" s="1"/>
  <c r="AJ68" i="4" s="1"/>
  <c r="AJ75" i="4" s="1"/>
  <c r="AI6" i="4"/>
  <c r="AI56" i="4" s="1"/>
  <c r="AI68" i="4" s="1"/>
  <c r="AI75" i="4" s="1"/>
  <c r="AH6" i="4"/>
  <c r="AH56" i="4" s="1"/>
  <c r="AH68" i="4" s="1"/>
  <c r="AH75" i="4" s="1"/>
  <c r="AG6" i="4"/>
  <c r="AG56" i="4" s="1"/>
  <c r="AG68" i="4" s="1"/>
  <c r="AG75" i="4" s="1"/>
  <c r="AF6" i="4"/>
  <c r="AF56" i="4" s="1"/>
  <c r="AF68" i="4" s="1"/>
  <c r="AF75" i="4" s="1"/>
  <c r="AE6" i="4"/>
  <c r="AE56" i="4" s="1"/>
  <c r="AE68" i="4" s="1"/>
  <c r="AE75" i="4" s="1"/>
  <c r="AD6" i="4"/>
  <c r="AD56" i="4" s="1"/>
  <c r="AD68" i="4" s="1"/>
  <c r="AD75" i="4" s="1"/>
  <c r="AC6" i="4"/>
  <c r="AC56" i="4" s="1"/>
  <c r="AC68" i="4" s="1"/>
  <c r="AC75" i="4" s="1"/>
  <c r="AB6" i="4"/>
  <c r="AB56" i="4" s="1"/>
  <c r="AB68" i="4" s="1"/>
  <c r="AB75" i="4" s="1"/>
  <c r="AA6" i="4"/>
  <c r="AA56" i="4" s="1"/>
  <c r="AA68" i="4" s="1"/>
  <c r="AA75" i="4" s="1"/>
  <c r="Z6" i="4"/>
  <c r="Z56" i="4" s="1"/>
  <c r="Z68" i="4" s="1"/>
  <c r="Z75" i="4" s="1"/>
  <c r="Y6" i="4"/>
  <c r="Y56" i="4" s="1"/>
  <c r="Y68" i="4" s="1"/>
  <c r="Y75" i="4" s="1"/>
  <c r="X6" i="4"/>
  <c r="X56" i="4" s="1"/>
  <c r="X68" i="4" s="1"/>
  <c r="X75" i="4" s="1"/>
  <c r="W6" i="4"/>
  <c r="W56" i="4" s="1"/>
  <c r="W68" i="4" s="1"/>
  <c r="W75" i="4" s="1"/>
  <c r="V6" i="4"/>
  <c r="V56" i="4" s="1"/>
  <c r="V68" i="4" s="1"/>
  <c r="V75" i="4" s="1"/>
  <c r="U6" i="4"/>
  <c r="U56" i="4" s="1"/>
  <c r="U68" i="4" s="1"/>
  <c r="U75" i="4" s="1"/>
  <c r="T6" i="4"/>
  <c r="T56" i="4" s="1"/>
  <c r="T68" i="4" s="1"/>
  <c r="T75" i="4" s="1"/>
  <c r="S6" i="4"/>
  <c r="S56" i="4" s="1"/>
  <c r="S68" i="4" s="1"/>
  <c r="S75" i="4" s="1"/>
  <c r="R6" i="4"/>
  <c r="R56" i="4" s="1"/>
  <c r="R68" i="4" s="1"/>
  <c r="R75" i="4" s="1"/>
  <c r="Q6" i="4"/>
  <c r="Q56" i="4" s="1"/>
  <c r="Q68" i="4" s="1"/>
  <c r="Q75" i="4" s="1"/>
  <c r="P6" i="4"/>
  <c r="P56" i="4" s="1"/>
  <c r="P68" i="4" s="1"/>
  <c r="P75" i="4" s="1"/>
  <c r="O6" i="4"/>
  <c r="O56" i="4" s="1"/>
  <c r="O68" i="4" s="1"/>
  <c r="O75" i="4" s="1"/>
  <c r="N6" i="4"/>
  <c r="N56" i="4" s="1"/>
  <c r="N68" i="4" s="1"/>
  <c r="N75" i="4" s="1"/>
  <c r="M6" i="4"/>
  <c r="M56" i="4" s="1"/>
  <c r="M68" i="4" s="1"/>
  <c r="M75" i="4" s="1"/>
  <c r="L6" i="4"/>
  <c r="L56" i="4" s="1"/>
  <c r="L68" i="4" s="1"/>
  <c r="L75" i="4" s="1"/>
  <c r="K6" i="4"/>
  <c r="K56" i="4" s="1"/>
  <c r="K68" i="4" s="1"/>
  <c r="K75" i="4" s="1"/>
  <c r="J6" i="4"/>
  <c r="J56" i="4" s="1"/>
  <c r="J68" i="4" s="1"/>
  <c r="J75" i="4" s="1"/>
  <c r="I6" i="4"/>
  <c r="I56" i="4" s="1"/>
  <c r="I68" i="4" s="1"/>
  <c r="I75" i="4" s="1"/>
  <c r="H6" i="4"/>
  <c r="H56" i="4" s="1"/>
  <c r="H68" i="4" s="1"/>
  <c r="H75" i="4" s="1"/>
  <c r="G6" i="4"/>
  <c r="G56" i="4" s="1"/>
  <c r="G68" i="4" s="1"/>
  <c r="G75" i="4" s="1"/>
  <c r="F6" i="4"/>
  <c r="F56" i="4" s="1"/>
  <c r="F68" i="4" s="1"/>
  <c r="F75" i="4" s="1"/>
  <c r="E6" i="4"/>
  <c r="E56" i="4" s="1"/>
  <c r="E68" i="4" s="1"/>
  <c r="E75" i="4" s="1"/>
  <c r="D6" i="4"/>
  <c r="D56" i="4" s="1"/>
  <c r="D68" i="4" s="1"/>
  <c r="D75" i="4" s="1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DD294" i="3"/>
  <c r="DC294" i="3"/>
  <c r="DB294" i="3"/>
  <c r="DC83" i="3"/>
  <c r="DB83" i="3"/>
  <c r="DA83" i="3"/>
  <c r="CZ83" i="3"/>
  <c r="CY83" i="3"/>
  <c r="CX83" i="3"/>
  <c r="CW83" i="3"/>
  <c r="CV83" i="3"/>
  <c r="CU83" i="3"/>
  <c r="CT83" i="3"/>
  <c r="CS83" i="3"/>
  <c r="CR83" i="3"/>
  <c r="CL83" i="3"/>
  <c r="CK83" i="3"/>
  <c r="CJ83" i="3"/>
  <c r="CI83" i="3"/>
  <c r="CH83" i="3"/>
  <c r="CG83" i="3"/>
  <c r="CF83" i="3"/>
  <c r="CE83" i="3"/>
  <c r="CD83" i="3"/>
  <c r="CC83" i="3"/>
  <c r="CB83" i="3"/>
  <c r="CA83" i="3"/>
  <c r="BZ83" i="3"/>
  <c r="BY83" i="3"/>
  <c r="CZ81" i="3"/>
  <c r="CY81" i="3"/>
  <c r="CX81" i="3"/>
  <c r="CW81" i="3"/>
  <c r="CV81" i="3"/>
  <c r="CU81" i="3"/>
  <c r="CL81" i="3"/>
  <c r="CK81" i="3"/>
  <c r="CJ81" i="3"/>
  <c r="CI81" i="3"/>
  <c r="CH81" i="3"/>
  <c r="CG81" i="3"/>
  <c r="CF81" i="3"/>
  <c r="CE81" i="3"/>
  <c r="CD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DC79" i="3"/>
  <c r="DC81" i="3" s="1"/>
  <c r="DB79" i="3"/>
  <c r="DB81" i="3" s="1"/>
  <c r="DA79" i="3"/>
  <c r="DA81" i="3" s="1"/>
  <c r="CZ79" i="3"/>
  <c r="CY79" i="3"/>
  <c r="CX79" i="3"/>
  <c r="CW79" i="3"/>
  <c r="CV79" i="3"/>
  <c r="CU79" i="3"/>
  <c r="CT79" i="3"/>
  <c r="CT81" i="3" s="1"/>
  <c r="CS79" i="3"/>
  <c r="CS81" i="3" s="1"/>
  <c r="CR79" i="3"/>
  <c r="CR81" i="3" s="1"/>
  <c r="CL79" i="3"/>
  <c r="CK79" i="3"/>
  <c r="CJ79" i="3"/>
  <c r="CI79" i="3"/>
  <c r="CH79" i="3"/>
  <c r="CG79" i="3"/>
  <c r="CF79" i="3"/>
  <c r="CE79" i="3"/>
  <c r="CD79" i="3"/>
  <c r="CC79" i="3"/>
  <c r="CC81" i="3" s="1"/>
  <c r="CB79" i="3"/>
  <c r="CB81" i="3" s="1"/>
  <c r="CA79" i="3"/>
  <c r="CA81" i="3" s="1"/>
  <c r="BZ79" i="3"/>
  <c r="BZ81" i="3" s="1"/>
  <c r="BY79" i="3"/>
  <c r="BY81" i="3" s="1"/>
  <c r="BJ79" i="3"/>
  <c r="BJ81" i="3" s="1"/>
  <c r="BI79" i="3"/>
  <c r="BI81" i="3" s="1"/>
  <c r="BH79" i="3"/>
  <c r="BH81" i="3" s="1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DC77" i="3"/>
  <c r="DB77" i="3"/>
  <c r="DA77" i="3"/>
  <c r="CZ77" i="3"/>
  <c r="CY77" i="3"/>
  <c r="CX77" i="3"/>
  <c r="CW77" i="3"/>
  <c r="CV77" i="3"/>
  <c r="CU77" i="3"/>
  <c r="CT77" i="3"/>
  <c r="CS77" i="3"/>
  <c r="CR77" i="3"/>
  <c r="CL77" i="3"/>
  <c r="CK77" i="3"/>
  <c r="CJ77" i="3"/>
  <c r="CI77" i="3"/>
  <c r="CH77" i="3"/>
  <c r="CG77" i="3"/>
  <c r="CF77" i="3"/>
  <c r="CE77" i="3"/>
  <c r="CD77" i="3"/>
  <c r="CC77" i="3"/>
  <c r="CB77" i="3"/>
  <c r="CA77" i="3"/>
  <c r="BZ77" i="3"/>
  <c r="BY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DC75" i="3"/>
  <c r="DB75" i="3"/>
  <c r="DA75" i="3"/>
  <c r="CZ75" i="3"/>
  <c r="CY75" i="3"/>
  <c r="CX75" i="3"/>
  <c r="CW75" i="3"/>
  <c r="CV75" i="3"/>
  <c r="CU75" i="3"/>
  <c r="CT75" i="3"/>
  <c r="CS75" i="3"/>
  <c r="CR75" i="3"/>
  <c r="CL75" i="3"/>
  <c r="CK75" i="3"/>
  <c r="CJ75" i="3"/>
  <c r="CI75" i="3"/>
  <c r="CH75" i="3"/>
  <c r="CG75" i="3"/>
  <c r="CF75" i="3"/>
  <c r="CE75" i="3"/>
  <c r="CD75" i="3"/>
  <c r="CC75" i="3"/>
  <c r="CB75" i="3"/>
  <c r="CA75" i="3"/>
  <c r="BZ75" i="3"/>
  <c r="BY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B73" i="3"/>
  <c r="DC69" i="3"/>
  <c r="DB69" i="3"/>
  <c r="DA69" i="3"/>
  <c r="CZ69" i="3"/>
  <c r="CY69" i="3"/>
  <c r="CX69" i="3"/>
  <c r="CW69" i="3"/>
  <c r="CV69" i="3"/>
  <c r="CU69" i="3"/>
  <c r="CT69" i="3"/>
  <c r="CS69" i="3"/>
  <c r="CR69" i="3"/>
  <c r="CL69" i="3"/>
  <c r="CK69" i="3"/>
  <c r="CJ69" i="3"/>
  <c r="CI69" i="3"/>
  <c r="CH69" i="3"/>
  <c r="CG69" i="3"/>
  <c r="CF69" i="3"/>
  <c r="CE69" i="3"/>
  <c r="CD69" i="3"/>
  <c r="CC69" i="3"/>
  <c r="CB69" i="3"/>
  <c r="CA69" i="3"/>
  <c r="BZ69" i="3"/>
  <c r="BY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DC68" i="3"/>
  <c r="DB68" i="3"/>
  <c r="DA68" i="3"/>
  <c r="CZ68" i="3"/>
  <c r="CY68" i="3"/>
  <c r="CX68" i="3"/>
  <c r="CW68" i="3"/>
  <c r="CV68" i="3"/>
  <c r="CU68" i="3"/>
  <c r="CT68" i="3"/>
  <c r="CS68" i="3"/>
  <c r="CR68" i="3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DC66" i="3"/>
  <c r="DB66" i="3"/>
  <c r="DA66" i="3"/>
  <c r="CZ66" i="3"/>
  <c r="CY66" i="3"/>
  <c r="CX66" i="3"/>
  <c r="CW66" i="3"/>
  <c r="CV66" i="3"/>
  <c r="CU66" i="3"/>
  <c r="CT66" i="3"/>
  <c r="CS66" i="3"/>
  <c r="CR66" i="3"/>
  <c r="CL66" i="3"/>
  <c r="CK66" i="3"/>
  <c r="CJ66" i="3"/>
  <c r="CI66" i="3"/>
  <c r="CH66" i="3"/>
  <c r="CG66" i="3"/>
  <c r="CF66" i="3"/>
  <c r="CE66" i="3"/>
  <c r="CD66" i="3"/>
  <c r="CC66" i="3"/>
  <c r="CB66" i="3"/>
  <c r="CA66" i="3"/>
  <c r="BZ66" i="3"/>
  <c r="BY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DC65" i="3"/>
  <c r="DB65" i="3"/>
  <c r="DA65" i="3"/>
  <c r="CZ65" i="3"/>
  <c r="CY65" i="3"/>
  <c r="CX65" i="3"/>
  <c r="CW65" i="3"/>
  <c r="CV65" i="3"/>
  <c r="CU65" i="3"/>
  <c r="CT65" i="3"/>
  <c r="CS65" i="3"/>
  <c r="CR65" i="3"/>
  <c r="CL65" i="3"/>
  <c r="CK65" i="3"/>
  <c r="CJ65" i="3"/>
  <c r="CI65" i="3"/>
  <c r="CH65" i="3"/>
  <c r="CG65" i="3"/>
  <c r="CF65" i="3"/>
  <c r="CE65" i="3"/>
  <c r="CD65" i="3"/>
  <c r="CC65" i="3"/>
  <c r="CB65" i="3"/>
  <c r="CA65" i="3"/>
  <c r="BZ65" i="3"/>
  <c r="BY65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DC63" i="3"/>
  <c r="DB63" i="3"/>
  <c r="DA63" i="3"/>
  <c r="CZ63" i="3"/>
  <c r="CY63" i="3"/>
  <c r="CX63" i="3"/>
  <c r="CW63" i="3"/>
  <c r="CV63" i="3"/>
  <c r="CU63" i="3"/>
  <c r="CT63" i="3"/>
  <c r="CS63" i="3"/>
  <c r="CR63" i="3"/>
  <c r="CL63" i="3"/>
  <c r="CK63" i="3"/>
  <c r="CJ63" i="3"/>
  <c r="CI63" i="3"/>
  <c r="CH63" i="3"/>
  <c r="CG63" i="3"/>
  <c r="CF63" i="3"/>
  <c r="CE63" i="3"/>
  <c r="CD63" i="3"/>
  <c r="CC63" i="3"/>
  <c r="CB63" i="3"/>
  <c r="CA63" i="3"/>
  <c r="BZ63" i="3"/>
  <c r="BY63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DC60" i="3"/>
  <c r="DB60" i="3"/>
  <c r="DA60" i="3"/>
  <c r="CZ60" i="3"/>
  <c r="CY60" i="3"/>
  <c r="CX60" i="3"/>
  <c r="CW60" i="3"/>
  <c r="CV60" i="3"/>
  <c r="CU60" i="3"/>
  <c r="CT60" i="3"/>
  <c r="CS60" i="3"/>
  <c r="CR60" i="3"/>
  <c r="CL60" i="3"/>
  <c r="CK60" i="3"/>
  <c r="CJ60" i="3"/>
  <c r="CI60" i="3"/>
  <c r="CH60" i="3"/>
  <c r="CG60" i="3"/>
  <c r="CF60" i="3"/>
  <c r="CE60" i="3"/>
  <c r="CD60" i="3"/>
  <c r="CC60" i="3"/>
  <c r="CB60" i="3"/>
  <c r="CA60" i="3"/>
  <c r="BZ60" i="3"/>
  <c r="BY60" i="3"/>
  <c r="BJ60" i="3"/>
  <c r="BJ66" i="3" s="1"/>
  <c r="BJ69" i="3" s="1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DC59" i="3"/>
  <c r="DB59" i="3"/>
  <c r="DA59" i="3"/>
  <c r="CZ59" i="3"/>
  <c r="CY59" i="3"/>
  <c r="CX59" i="3"/>
  <c r="CW59" i="3"/>
  <c r="CV59" i="3"/>
  <c r="CU59" i="3"/>
  <c r="CT59" i="3"/>
  <c r="CS59" i="3"/>
  <c r="CR59" i="3"/>
  <c r="CL59" i="3"/>
  <c r="CK59" i="3"/>
  <c r="CJ59" i="3"/>
  <c r="CI59" i="3"/>
  <c r="CH59" i="3"/>
  <c r="CG59" i="3"/>
  <c r="CF59" i="3"/>
  <c r="CE59" i="3"/>
  <c r="CD59" i="3"/>
  <c r="CC59" i="3"/>
  <c r="CB59" i="3"/>
  <c r="CA59" i="3"/>
  <c r="BZ59" i="3"/>
  <c r="BY59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F58" i="3"/>
  <c r="DC57" i="3"/>
  <c r="DB57" i="3"/>
  <c r="DA57" i="3"/>
  <c r="CZ57" i="3"/>
  <c r="CY57" i="3"/>
  <c r="CX57" i="3"/>
  <c r="CW57" i="3"/>
  <c r="CV57" i="3"/>
  <c r="CU57" i="3"/>
  <c r="CT57" i="3"/>
  <c r="CS57" i="3"/>
  <c r="CR57" i="3"/>
  <c r="CL57" i="3"/>
  <c r="CK57" i="3"/>
  <c r="CJ57" i="3"/>
  <c r="CI57" i="3"/>
  <c r="CH57" i="3"/>
  <c r="CG57" i="3"/>
  <c r="CF57" i="3"/>
  <c r="CE57" i="3"/>
  <c r="CD57" i="3"/>
  <c r="CC57" i="3"/>
  <c r="CB57" i="3"/>
  <c r="CA57" i="3"/>
  <c r="BZ57" i="3"/>
  <c r="BY57" i="3"/>
  <c r="CM57" i="3"/>
  <c r="BA57" i="3"/>
  <c r="AW57" i="3"/>
  <c r="DC56" i="3"/>
  <c r="DB56" i="3"/>
  <c r="DA56" i="3"/>
  <c r="CZ56" i="3"/>
  <c r="CY56" i="3"/>
  <c r="CX56" i="3"/>
  <c r="CW56" i="3"/>
  <c r="CV56" i="3"/>
  <c r="CU56" i="3"/>
  <c r="CT56" i="3"/>
  <c r="CS56" i="3"/>
  <c r="CR56" i="3"/>
  <c r="CL56" i="3"/>
  <c r="CK56" i="3"/>
  <c r="CJ56" i="3"/>
  <c r="CI56" i="3"/>
  <c r="CH56" i="3"/>
  <c r="CG56" i="3"/>
  <c r="CF56" i="3"/>
  <c r="CE56" i="3"/>
  <c r="CD56" i="3"/>
  <c r="CC56" i="3"/>
  <c r="CB56" i="3"/>
  <c r="CA56" i="3"/>
  <c r="BZ56" i="3"/>
  <c r="BY56" i="3"/>
  <c r="CM56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N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O55" i="3"/>
  <c r="BN55" i="3"/>
  <c r="BM55" i="3"/>
  <c r="BL55" i="3"/>
  <c r="CM55" i="3"/>
  <c r="BJ55" i="3"/>
  <c r="BI55" i="3"/>
  <c r="BH55" i="3"/>
  <c r="BG55" i="3"/>
  <c r="BE55" i="3"/>
  <c r="BD55" i="3"/>
  <c r="BC55" i="3"/>
  <c r="BA55" i="3"/>
  <c r="AZ55" i="3"/>
  <c r="AY55" i="3"/>
  <c r="AW55" i="3"/>
  <c r="AV55" i="3"/>
  <c r="AU55" i="3"/>
  <c r="AS55" i="3"/>
  <c r="AR55" i="3"/>
  <c r="AQ55" i="3"/>
  <c r="AN55" i="3"/>
  <c r="AM55" i="3"/>
  <c r="AL55" i="3"/>
  <c r="DC51" i="3"/>
  <c r="DB51" i="3"/>
  <c r="DA51" i="3"/>
  <c r="CZ51" i="3"/>
  <c r="CY51" i="3"/>
  <c r="CX51" i="3"/>
  <c r="CW51" i="3"/>
  <c r="CV51" i="3"/>
  <c r="CU51" i="3"/>
  <c r="CT51" i="3"/>
  <c r="CS51" i="3"/>
  <c r="CR51" i="3"/>
  <c r="CK51" i="3"/>
  <c r="CJ51" i="3"/>
  <c r="CI51" i="3"/>
  <c r="CH51" i="3"/>
  <c r="CG51" i="3"/>
  <c r="CF51" i="3"/>
  <c r="CE51" i="3"/>
  <c r="CD51" i="3"/>
  <c r="CC51" i="3"/>
  <c r="CB51" i="3"/>
  <c r="CA51" i="3"/>
  <c r="BZ51" i="3"/>
  <c r="BY51" i="3"/>
  <c r="BI51" i="3"/>
  <c r="BH51" i="3"/>
  <c r="BG51" i="3"/>
  <c r="BF51" i="3"/>
  <c r="BF47" i="3" s="1"/>
  <c r="BE51" i="3"/>
  <c r="BD51" i="3"/>
  <c r="BD47" i="3" s="1"/>
  <c r="BC51" i="3"/>
  <c r="BB51" i="3"/>
  <c r="BB47" i="3" s="1"/>
  <c r="BA51" i="3"/>
  <c r="AZ51" i="3"/>
  <c r="AZ47" i="3" s="1"/>
  <c r="AY51" i="3"/>
  <c r="AX51" i="3"/>
  <c r="AX47" i="3" s="1"/>
  <c r="AW51" i="3"/>
  <c r="AV51" i="3"/>
  <c r="AV47" i="3" s="1"/>
  <c r="AU51" i="3"/>
  <c r="AT51" i="3"/>
  <c r="AS51" i="3"/>
  <c r="AR51" i="3"/>
  <c r="AQ51" i="3"/>
  <c r="AP51" i="3"/>
  <c r="AP47" i="3" s="1"/>
  <c r="AO51" i="3"/>
  <c r="AN51" i="3"/>
  <c r="AN47" i="3" s="1"/>
  <c r="AM51" i="3"/>
  <c r="AL51" i="3"/>
  <c r="AL47" i="3" s="1"/>
  <c r="AK51" i="3"/>
  <c r="AJ51" i="3"/>
  <c r="AI51" i="3"/>
  <c r="AH51" i="3"/>
  <c r="AG51" i="3"/>
  <c r="AF51" i="3"/>
  <c r="AF47" i="3" s="1"/>
  <c r="AE51" i="3"/>
  <c r="AD51" i="3"/>
  <c r="AD47" i="3" s="1"/>
  <c r="AC51" i="3"/>
  <c r="AB51" i="3"/>
  <c r="AB47" i="3" s="1"/>
  <c r="AA51" i="3"/>
  <c r="Z51" i="3"/>
  <c r="Z47" i="3" s="1"/>
  <c r="Y51" i="3"/>
  <c r="X51" i="3"/>
  <c r="X47" i="3" s="1"/>
  <c r="W51" i="3"/>
  <c r="V51" i="3"/>
  <c r="V47" i="3" s="1"/>
  <c r="U51" i="3"/>
  <c r="T51" i="3"/>
  <c r="T47" i="3" s="1"/>
  <c r="S51" i="3"/>
  <c r="R51" i="3"/>
  <c r="R47" i="3" s="1"/>
  <c r="Q51" i="3"/>
  <c r="P51" i="3"/>
  <c r="P47" i="3" s="1"/>
  <c r="O51" i="3"/>
  <c r="N51" i="3"/>
  <c r="N47" i="3" s="1"/>
  <c r="M51" i="3"/>
  <c r="L51" i="3"/>
  <c r="L47" i="3" s="1"/>
  <c r="K51" i="3"/>
  <c r="J51" i="3"/>
  <c r="J47" i="3" s="1"/>
  <c r="I51" i="3"/>
  <c r="H51" i="3"/>
  <c r="H47" i="3" s="1"/>
  <c r="G51" i="3"/>
  <c r="F51" i="3"/>
  <c r="F47" i="3" s="1"/>
  <c r="E51" i="3"/>
  <c r="D51" i="3"/>
  <c r="D47" i="3" s="1"/>
  <c r="BJ50" i="3"/>
  <c r="BJ44" i="3" s="1"/>
  <c r="BI50" i="3"/>
  <c r="BI44" i="3" s="1"/>
  <c r="BH50" i="3"/>
  <c r="BH44" i="3" s="1"/>
  <c r="BG50" i="3"/>
  <c r="BG44" i="3" s="1"/>
  <c r="BF50" i="3"/>
  <c r="BF44" i="3" s="1"/>
  <c r="BE50" i="3"/>
  <c r="BD50" i="3"/>
  <c r="BD44" i="3" s="1"/>
  <c r="BC50" i="3"/>
  <c r="BC44" i="3" s="1"/>
  <c r="BB50" i="3"/>
  <c r="BB44" i="3" s="1"/>
  <c r="BA50" i="3"/>
  <c r="BA44" i="3" s="1"/>
  <c r="AZ50" i="3"/>
  <c r="AZ44" i="3" s="1"/>
  <c r="AY50" i="3"/>
  <c r="AY44" i="3" s="1"/>
  <c r="AX50" i="3"/>
  <c r="AX44" i="3" s="1"/>
  <c r="AW50" i="3"/>
  <c r="AW43" i="3" s="1"/>
  <c r="AV50" i="3"/>
  <c r="AV44" i="3" s="1"/>
  <c r="AU50" i="3"/>
  <c r="AU44" i="3" s="1"/>
  <c r="AT50" i="3"/>
  <c r="AT44" i="3" s="1"/>
  <c r="AS50" i="3"/>
  <c r="AS44" i="3" s="1"/>
  <c r="AR50" i="3"/>
  <c r="AR44" i="3" s="1"/>
  <c r="AQ50" i="3"/>
  <c r="AQ44" i="3" s="1"/>
  <c r="AP50" i="3"/>
  <c r="AP44" i="3" s="1"/>
  <c r="AO50" i="3"/>
  <c r="AN50" i="3"/>
  <c r="AN44" i="3" s="1"/>
  <c r="AM50" i="3"/>
  <c r="AM44" i="3" s="1"/>
  <c r="AL50" i="3"/>
  <c r="AL44" i="3" s="1"/>
  <c r="AK50" i="3"/>
  <c r="AK44" i="3" s="1"/>
  <c r="AJ50" i="3"/>
  <c r="AJ44" i="3" s="1"/>
  <c r="AH50" i="3"/>
  <c r="AH44" i="3" s="1"/>
  <c r="AG50" i="3"/>
  <c r="AG44" i="3" s="1"/>
  <c r="AF50" i="3"/>
  <c r="AF44" i="3" s="1"/>
  <c r="AD50" i="3"/>
  <c r="AD44" i="3" s="1"/>
  <c r="AC50" i="3"/>
  <c r="AC44" i="3" s="1"/>
  <c r="AB50" i="3"/>
  <c r="AB44" i="3" s="1"/>
  <c r="Z50" i="3"/>
  <c r="Z44" i="3" s="1"/>
  <c r="Y50" i="3"/>
  <c r="Y44" i="3" s="1"/>
  <c r="X50" i="3"/>
  <c r="X44" i="3" s="1"/>
  <c r="V50" i="3"/>
  <c r="V44" i="3" s="1"/>
  <c r="U50" i="3"/>
  <c r="U44" i="3" s="1"/>
  <c r="T50" i="3"/>
  <c r="T44" i="3" s="1"/>
  <c r="R50" i="3"/>
  <c r="R44" i="3" s="1"/>
  <c r="Q50" i="3"/>
  <c r="Q44" i="3" s="1"/>
  <c r="P50" i="3"/>
  <c r="P44" i="3" s="1"/>
  <c r="N50" i="3"/>
  <c r="N44" i="3" s="1"/>
  <c r="M50" i="3"/>
  <c r="M44" i="3" s="1"/>
  <c r="L50" i="3"/>
  <c r="L44" i="3" s="1"/>
  <c r="J50" i="3"/>
  <c r="J44" i="3" s="1"/>
  <c r="I50" i="3"/>
  <c r="I44" i="3" s="1"/>
  <c r="H50" i="3"/>
  <c r="H44" i="3" s="1"/>
  <c r="F50" i="3"/>
  <c r="F44" i="3" s="1"/>
  <c r="E50" i="3"/>
  <c r="E44" i="3" s="1"/>
  <c r="D50" i="3"/>
  <c r="D44" i="3" s="1"/>
  <c r="BJ49" i="3"/>
  <c r="BJ45" i="3" s="1"/>
  <c r="BI49" i="3"/>
  <c r="BH49" i="3"/>
  <c r="BH41" i="3" s="1"/>
  <c r="BG49" i="3"/>
  <c r="BF49" i="3"/>
  <c r="BF45" i="3" s="1"/>
  <c r="BE49" i="3"/>
  <c r="BD49" i="3"/>
  <c r="BD41" i="3" s="1"/>
  <c r="BC49" i="3"/>
  <c r="BB49" i="3"/>
  <c r="BB45" i="3" s="1"/>
  <c r="BA49" i="3"/>
  <c r="AZ49" i="3"/>
  <c r="AZ41" i="3" s="1"/>
  <c r="AY49" i="3"/>
  <c r="AX49" i="3"/>
  <c r="AX45" i="3" s="1"/>
  <c r="AW49" i="3"/>
  <c r="AV49" i="3"/>
  <c r="AV41" i="3" s="1"/>
  <c r="AU49" i="3"/>
  <c r="AT49" i="3"/>
  <c r="AT45" i="3" s="1"/>
  <c r="AS49" i="3"/>
  <c r="AR49" i="3"/>
  <c r="AR41" i="3" s="1"/>
  <c r="AQ49" i="3"/>
  <c r="AP49" i="3"/>
  <c r="AP45" i="3" s="1"/>
  <c r="AO49" i="3"/>
  <c r="AN49" i="3"/>
  <c r="AN41" i="3" s="1"/>
  <c r="AM49" i="3"/>
  <c r="AL49" i="3"/>
  <c r="AL45" i="3" s="1"/>
  <c r="AK49" i="3"/>
  <c r="AJ49" i="3"/>
  <c r="AJ41" i="3" s="1"/>
  <c r="AH49" i="3"/>
  <c r="AG49" i="3"/>
  <c r="AG41" i="3" s="1"/>
  <c r="AF49" i="3"/>
  <c r="AD49" i="3"/>
  <c r="AD41" i="3" s="1"/>
  <c r="AC49" i="3"/>
  <c r="AB49" i="3"/>
  <c r="AB45" i="3" s="1"/>
  <c r="Z49" i="3"/>
  <c r="Z45" i="3" s="1"/>
  <c r="Y49" i="3"/>
  <c r="Y41" i="3" s="1"/>
  <c r="X49" i="3"/>
  <c r="V49" i="3"/>
  <c r="V45" i="3" s="1"/>
  <c r="U49" i="3"/>
  <c r="T49" i="3"/>
  <c r="T41" i="3" s="1"/>
  <c r="R49" i="3"/>
  <c r="R45" i="3" s="1"/>
  <c r="Q49" i="3"/>
  <c r="Q41" i="3" s="1"/>
  <c r="P49" i="3"/>
  <c r="N49" i="3"/>
  <c r="N45" i="3" s="1"/>
  <c r="M49" i="3"/>
  <c r="L49" i="3"/>
  <c r="L45" i="3" s="1"/>
  <c r="J49" i="3"/>
  <c r="J45" i="3" s="1"/>
  <c r="I49" i="3"/>
  <c r="I41" i="3" s="1"/>
  <c r="H49" i="3"/>
  <c r="F49" i="3"/>
  <c r="F45" i="3" s="1"/>
  <c r="E49" i="3"/>
  <c r="D49" i="3"/>
  <c r="D41" i="3" s="1"/>
  <c r="DC47" i="3"/>
  <c r="DB47" i="3"/>
  <c r="DA47" i="3"/>
  <c r="CZ47" i="3"/>
  <c r="CY47" i="3"/>
  <c r="CX47" i="3"/>
  <c r="CW47" i="3"/>
  <c r="CV47" i="3"/>
  <c r="CU47" i="3"/>
  <c r="CT47" i="3"/>
  <c r="CS47" i="3"/>
  <c r="CR47" i="3"/>
  <c r="CK47" i="3"/>
  <c r="CJ47" i="3"/>
  <c r="CI47" i="3"/>
  <c r="CH47" i="3"/>
  <c r="CG47" i="3"/>
  <c r="CF47" i="3"/>
  <c r="CE47" i="3"/>
  <c r="CD47" i="3"/>
  <c r="CC47" i="3"/>
  <c r="CB47" i="3"/>
  <c r="CA47" i="3"/>
  <c r="BZ47" i="3"/>
  <c r="BY47" i="3"/>
  <c r="BI47" i="3"/>
  <c r="BH47" i="3"/>
  <c r="BG47" i="3"/>
  <c r="BE47" i="3"/>
  <c r="BC47" i="3"/>
  <c r="BA47" i="3"/>
  <c r="AY47" i="3"/>
  <c r="AW47" i="3"/>
  <c r="AU47" i="3"/>
  <c r="AT47" i="3"/>
  <c r="AS47" i="3"/>
  <c r="AR47" i="3"/>
  <c r="AQ47" i="3"/>
  <c r="AO47" i="3"/>
  <c r="AM47" i="3"/>
  <c r="AK47" i="3"/>
  <c r="AJ47" i="3"/>
  <c r="AI47" i="3"/>
  <c r="AH47" i="3"/>
  <c r="AG47" i="3"/>
  <c r="AE47" i="3"/>
  <c r="AC47" i="3"/>
  <c r="AA47" i="3"/>
  <c r="Y47" i="3"/>
  <c r="W47" i="3"/>
  <c r="U47" i="3"/>
  <c r="S47" i="3"/>
  <c r="Q47" i="3"/>
  <c r="O47" i="3"/>
  <c r="M47" i="3"/>
  <c r="K47" i="3"/>
  <c r="I47" i="3"/>
  <c r="G47" i="3"/>
  <c r="E47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BN44" i="3"/>
  <c r="BO44" i="3" s="1"/>
  <c r="BQ44" i="3" s="1"/>
  <c r="BR44" i="3" s="1"/>
  <c r="BS44" i="3" s="1"/>
  <c r="BT44" i="3" s="1"/>
  <c r="BU44" i="3" s="1"/>
  <c r="BV44" i="3" s="1"/>
  <c r="BW44" i="3" s="1"/>
  <c r="AW44" i="3"/>
  <c r="BN43" i="3"/>
  <c r="BO43" i="3" s="1"/>
  <c r="BP43" i="3" s="1"/>
  <c r="BQ43" i="3" s="1"/>
  <c r="BR43" i="3" s="1"/>
  <c r="BS43" i="3" s="1"/>
  <c r="BP42" i="3"/>
  <c r="BO42" i="3"/>
  <c r="BN42" i="3"/>
  <c r="BM42" i="3"/>
  <c r="BS41" i="3"/>
  <c r="BR41" i="3"/>
  <c r="BQ41" i="3"/>
  <c r="BP41" i="3"/>
  <c r="BJ41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DC35" i="3"/>
  <c r="DB35" i="3"/>
  <c r="DA35" i="3"/>
  <c r="CZ35" i="3"/>
  <c r="CY35" i="3"/>
  <c r="CX35" i="3"/>
  <c r="CW35" i="3"/>
  <c r="CV35" i="3"/>
  <c r="CU35" i="3"/>
  <c r="CT35" i="3"/>
  <c r="CS35" i="3"/>
  <c r="CR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DC33" i="3"/>
  <c r="DB33" i="3"/>
  <c r="DA33" i="3"/>
  <c r="CZ33" i="3"/>
  <c r="CY33" i="3"/>
  <c r="CX33" i="3"/>
  <c r="CW33" i="3"/>
  <c r="CV33" i="3"/>
  <c r="CU33" i="3"/>
  <c r="CT33" i="3"/>
  <c r="CS33" i="3"/>
  <c r="CR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CM31" i="3"/>
  <c r="BG31" i="3"/>
  <c r="BF31" i="3"/>
  <c r="AW31" i="3"/>
  <c r="AV31" i="3"/>
  <c r="AR31" i="3"/>
  <c r="DC30" i="3"/>
  <c r="DB30" i="3"/>
  <c r="DA30" i="3"/>
  <c r="CZ30" i="3"/>
  <c r="CY30" i="3"/>
  <c r="CX30" i="3"/>
  <c r="CW30" i="3"/>
  <c r="CV30" i="3"/>
  <c r="CU30" i="3"/>
  <c r="CT30" i="3"/>
  <c r="CS30" i="3"/>
  <c r="CR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G30" i="3"/>
  <c r="BF30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I28" i="3"/>
  <c r="BI35" i="3" s="1"/>
  <c r="BH28" i="3"/>
  <c r="BH35" i="3" s="1"/>
  <c r="BG28" i="3"/>
  <c r="BG35" i="3" s="1"/>
  <c r="BF28" i="3"/>
  <c r="BF35" i="3" s="1"/>
  <c r="BE28" i="3"/>
  <c r="BE35" i="3" s="1"/>
  <c r="BD28" i="3"/>
  <c r="BD35" i="3" s="1"/>
  <c r="BC28" i="3"/>
  <c r="BC35" i="3" s="1"/>
  <c r="BB28" i="3"/>
  <c r="BB35" i="3" s="1"/>
  <c r="BA28" i="3"/>
  <c r="BA35" i="3" s="1"/>
  <c r="AZ28" i="3"/>
  <c r="AZ35" i="3" s="1"/>
  <c r="AY28" i="3"/>
  <c r="AY35" i="3" s="1"/>
  <c r="AX28" i="3"/>
  <c r="AX35" i="3" s="1"/>
  <c r="AW28" i="3"/>
  <c r="AW35" i="3" s="1"/>
  <c r="AV28" i="3"/>
  <c r="AV35" i="3" s="1"/>
  <c r="AU28" i="3"/>
  <c r="AU35" i="3" s="1"/>
  <c r="AT28" i="3"/>
  <c r="AT35" i="3" s="1"/>
  <c r="AS28" i="3"/>
  <c r="AS35" i="3" s="1"/>
  <c r="AR28" i="3"/>
  <c r="AR35" i="3" s="1"/>
  <c r="AQ28" i="3"/>
  <c r="AQ35" i="3" s="1"/>
  <c r="AP28" i="3"/>
  <c r="AP35" i="3" s="1"/>
  <c r="AO28" i="3"/>
  <c r="AO35" i="3" s="1"/>
  <c r="AN28" i="3"/>
  <c r="AN35" i="3" s="1"/>
  <c r="AM28" i="3"/>
  <c r="AM35" i="3" s="1"/>
  <c r="AL28" i="3"/>
  <c r="AL35" i="3" s="1"/>
  <c r="AK28" i="3"/>
  <c r="AK35" i="3" s="1"/>
  <c r="AJ28" i="3"/>
  <c r="AJ35" i="3" s="1"/>
  <c r="AI28" i="3"/>
  <c r="AI35" i="3" s="1"/>
  <c r="AH28" i="3"/>
  <c r="AH35" i="3" s="1"/>
  <c r="AG28" i="3"/>
  <c r="AG35" i="3" s="1"/>
  <c r="AF28" i="3"/>
  <c r="AF35" i="3" s="1"/>
  <c r="AE28" i="3"/>
  <c r="AE35" i="3" s="1"/>
  <c r="AD28" i="3"/>
  <c r="AD35" i="3" s="1"/>
  <c r="AC28" i="3"/>
  <c r="AC35" i="3" s="1"/>
  <c r="AB28" i="3"/>
  <c r="AB35" i="3" s="1"/>
  <c r="AA28" i="3"/>
  <c r="AA35" i="3" s="1"/>
  <c r="Z28" i="3"/>
  <c r="Z35" i="3" s="1"/>
  <c r="Y28" i="3"/>
  <c r="Y35" i="3" s="1"/>
  <c r="X28" i="3"/>
  <c r="X35" i="3" s="1"/>
  <c r="W28" i="3"/>
  <c r="W35" i="3" s="1"/>
  <c r="V28" i="3"/>
  <c r="V35" i="3" s="1"/>
  <c r="U28" i="3"/>
  <c r="U35" i="3" s="1"/>
  <c r="T28" i="3"/>
  <c r="T35" i="3" s="1"/>
  <c r="S28" i="3"/>
  <c r="S35" i="3" s="1"/>
  <c r="R28" i="3"/>
  <c r="R35" i="3" s="1"/>
  <c r="Q28" i="3"/>
  <c r="Q35" i="3" s="1"/>
  <c r="P28" i="3"/>
  <c r="P35" i="3" s="1"/>
  <c r="O28" i="3"/>
  <c r="O35" i="3" s="1"/>
  <c r="N28" i="3"/>
  <c r="N35" i="3" s="1"/>
  <c r="M28" i="3"/>
  <c r="M35" i="3" s="1"/>
  <c r="L28" i="3"/>
  <c r="L35" i="3" s="1"/>
  <c r="K28" i="3"/>
  <c r="K35" i="3" s="1"/>
  <c r="J28" i="3"/>
  <c r="J35" i="3" s="1"/>
  <c r="I28" i="3"/>
  <c r="I35" i="3" s="1"/>
  <c r="H28" i="3"/>
  <c r="H35" i="3" s="1"/>
  <c r="G28" i="3"/>
  <c r="G35" i="3" s="1"/>
  <c r="F28" i="3"/>
  <c r="F35" i="3" s="1"/>
  <c r="E28" i="3"/>
  <c r="E35" i="3" s="1"/>
  <c r="D28" i="3"/>
  <c r="D35" i="3" s="1"/>
  <c r="DC27" i="3"/>
  <c r="DB27" i="3"/>
  <c r="DA27" i="3"/>
  <c r="CZ27" i="3"/>
  <c r="CY27" i="3"/>
  <c r="CX27" i="3"/>
  <c r="CW27" i="3"/>
  <c r="CV27" i="3"/>
  <c r="CU27" i="3"/>
  <c r="CT27" i="3"/>
  <c r="CS27" i="3"/>
  <c r="CR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G27" i="3"/>
  <c r="BF27" i="3"/>
  <c r="BD27" i="3"/>
  <c r="DC26" i="3"/>
  <c r="DB26" i="3"/>
  <c r="DA26" i="3"/>
  <c r="CZ26" i="3"/>
  <c r="CY26" i="3"/>
  <c r="CX26" i="3"/>
  <c r="CW26" i="3"/>
  <c r="CV26" i="3"/>
  <c r="CU26" i="3"/>
  <c r="CT26" i="3"/>
  <c r="CS26" i="3"/>
  <c r="CR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G26" i="3"/>
  <c r="BF26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DC24" i="3"/>
  <c r="DB24" i="3"/>
  <c r="DA24" i="3"/>
  <c r="CZ24" i="3"/>
  <c r="CY24" i="3"/>
  <c r="CX24" i="3"/>
  <c r="CW24" i="3"/>
  <c r="CV24" i="3"/>
  <c r="CU24" i="3"/>
  <c r="CT24" i="3"/>
  <c r="CS24" i="3"/>
  <c r="CR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CM24" i="3"/>
  <c r="G24" i="3"/>
  <c r="DC21" i="3"/>
  <c r="DB21" i="3"/>
  <c r="DA21" i="3"/>
  <c r="CZ21" i="3"/>
  <c r="CY21" i="3"/>
  <c r="CX21" i="3"/>
  <c r="CW21" i="3"/>
  <c r="CV21" i="3"/>
  <c r="CU21" i="3"/>
  <c r="CT21" i="3"/>
  <c r="CS21" i="3"/>
  <c r="CR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DC20" i="3"/>
  <c r="DB20" i="3"/>
  <c r="DA20" i="3"/>
  <c r="CZ20" i="3"/>
  <c r="CY20" i="3"/>
  <c r="CX20" i="3"/>
  <c r="CW20" i="3"/>
  <c r="CV20" i="3"/>
  <c r="CU20" i="3"/>
  <c r="CT20" i="3"/>
  <c r="CS20" i="3"/>
  <c r="CR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G20" i="3"/>
  <c r="BF20" i="3"/>
  <c r="AO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G19" i="3"/>
  <c r="BF19" i="3"/>
  <c r="DC18" i="3"/>
  <c r="DB18" i="3"/>
  <c r="DA18" i="3"/>
  <c r="CZ18" i="3"/>
  <c r="CY18" i="3"/>
  <c r="CX18" i="3"/>
  <c r="CW18" i="3"/>
  <c r="CV18" i="3"/>
  <c r="CU18" i="3"/>
  <c r="CT18" i="3"/>
  <c r="CS18" i="3"/>
  <c r="CR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G18" i="3"/>
  <c r="BF18" i="3"/>
  <c r="DC17" i="3"/>
  <c r="DB17" i="3"/>
  <c r="DA17" i="3"/>
  <c r="CZ17" i="3"/>
  <c r="CY17" i="3"/>
  <c r="CX17" i="3"/>
  <c r="CW17" i="3"/>
  <c r="CV17" i="3"/>
  <c r="CU17" i="3"/>
  <c r="CT17" i="3"/>
  <c r="CS17" i="3"/>
  <c r="CR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CM17" i="3"/>
  <c r="BG17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J14" i="3"/>
  <c r="BI14" i="3"/>
  <c r="BH14" i="3"/>
  <c r="BH83" i="3" s="1"/>
  <c r="BG14" i="3"/>
  <c r="BF14" i="3"/>
  <c r="BF83" i="3" s="1"/>
  <c r="BE14" i="3"/>
  <c r="BD14" i="3"/>
  <c r="BD83" i="3" s="1"/>
  <c r="BC14" i="3"/>
  <c r="BB14" i="3"/>
  <c r="BB83" i="3" s="1"/>
  <c r="BA14" i="3"/>
  <c r="AZ14" i="3"/>
  <c r="AZ83" i="3" s="1"/>
  <c r="AY14" i="3"/>
  <c r="AX14" i="3"/>
  <c r="AX83" i="3" s="1"/>
  <c r="AW14" i="3"/>
  <c r="AV14" i="3"/>
  <c r="AV83" i="3" s="1"/>
  <c r="AU14" i="3"/>
  <c r="AT14" i="3"/>
  <c r="AT83" i="3" s="1"/>
  <c r="AS14" i="3"/>
  <c r="AR14" i="3"/>
  <c r="AR83" i="3" s="1"/>
  <c r="AQ14" i="3"/>
  <c r="AP14" i="3"/>
  <c r="AP83" i="3" s="1"/>
  <c r="AO14" i="3"/>
  <c r="AN14" i="3"/>
  <c r="AN83" i="3" s="1"/>
  <c r="AM14" i="3"/>
  <c r="AL14" i="3"/>
  <c r="AL83" i="3" s="1"/>
  <c r="AK14" i="3"/>
  <c r="AJ14" i="3"/>
  <c r="AJ83" i="3" s="1"/>
  <c r="AI14" i="3"/>
  <c r="AH14" i="3"/>
  <c r="AH83" i="3" s="1"/>
  <c r="AG14" i="3"/>
  <c r="AF14" i="3"/>
  <c r="AF83" i="3" s="1"/>
  <c r="AE14" i="3"/>
  <c r="AD14" i="3"/>
  <c r="AD83" i="3" s="1"/>
  <c r="AC14" i="3"/>
  <c r="AB14" i="3"/>
  <c r="AB83" i="3" s="1"/>
  <c r="AA14" i="3"/>
  <c r="Z14" i="3"/>
  <c r="Z83" i="3" s="1"/>
  <c r="Y14" i="3"/>
  <c r="X14" i="3"/>
  <c r="X83" i="3" s="1"/>
  <c r="W14" i="3"/>
  <c r="V14" i="3"/>
  <c r="V83" i="3" s="1"/>
  <c r="U14" i="3"/>
  <c r="T14" i="3"/>
  <c r="T83" i="3" s="1"/>
  <c r="S14" i="3"/>
  <c r="R14" i="3"/>
  <c r="R83" i="3" s="1"/>
  <c r="Q14" i="3"/>
  <c r="P14" i="3"/>
  <c r="P83" i="3" s="1"/>
  <c r="O14" i="3"/>
  <c r="N14" i="3"/>
  <c r="N83" i="3" s="1"/>
  <c r="M14" i="3"/>
  <c r="L14" i="3"/>
  <c r="L83" i="3" s="1"/>
  <c r="K14" i="3"/>
  <c r="J14" i="3"/>
  <c r="J83" i="3" s="1"/>
  <c r="I14" i="3"/>
  <c r="H14" i="3"/>
  <c r="H83" i="3" s="1"/>
  <c r="G14" i="3"/>
  <c r="F14" i="3"/>
  <c r="F83" i="3" s="1"/>
  <c r="E14" i="3"/>
  <c r="D14" i="3"/>
  <c r="D83" i="3" s="1"/>
  <c r="DC13" i="3"/>
  <c r="DB13" i="3"/>
  <c r="DA13" i="3"/>
  <c r="CZ13" i="3"/>
  <c r="CY13" i="3"/>
  <c r="CX13" i="3"/>
  <c r="CW13" i="3"/>
  <c r="CV13" i="3"/>
  <c r="CU13" i="3"/>
  <c r="CT13" i="3"/>
  <c r="CS13" i="3"/>
  <c r="CR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DC12" i="3"/>
  <c r="DB12" i="3"/>
  <c r="DA12" i="3"/>
  <c r="CZ12" i="3"/>
  <c r="CY12" i="3"/>
  <c r="CX12" i="3"/>
  <c r="CW12" i="3"/>
  <c r="CV12" i="3"/>
  <c r="CU12" i="3"/>
  <c r="CT12" i="3"/>
  <c r="CS12" i="3"/>
  <c r="CR12" i="3"/>
  <c r="CL12" i="3"/>
  <c r="CK12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DC11" i="3"/>
  <c r="DB11" i="3"/>
  <c r="DA11" i="3"/>
  <c r="CZ11" i="3"/>
  <c r="CY11" i="3"/>
  <c r="CX11" i="3"/>
  <c r="CW11" i="3"/>
  <c r="CV11" i="3"/>
  <c r="CU11" i="3"/>
  <c r="CT11" i="3"/>
  <c r="CS11" i="3"/>
  <c r="CR11" i="3"/>
  <c r="CL11" i="3"/>
  <c r="CK11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DC9" i="3"/>
  <c r="DB9" i="3"/>
  <c r="DA9" i="3"/>
  <c r="CZ9" i="3"/>
  <c r="CY9" i="3"/>
  <c r="CX9" i="3"/>
  <c r="CW9" i="3"/>
  <c r="CV9" i="3"/>
  <c r="CU9" i="3"/>
  <c r="CT9" i="3"/>
  <c r="CS9" i="3"/>
  <c r="CR9" i="3"/>
  <c r="CL9" i="3"/>
  <c r="CK9" i="3"/>
  <c r="CJ9" i="3"/>
  <c r="CI9" i="3"/>
  <c r="CH9" i="3"/>
  <c r="CG9" i="3"/>
  <c r="CF9" i="3"/>
  <c r="CE9" i="3"/>
  <c r="CD9" i="3"/>
  <c r="CC9" i="3"/>
  <c r="CB9" i="3"/>
  <c r="CA9" i="3"/>
  <c r="BZ9" i="3"/>
  <c r="BY9" i="3"/>
  <c r="CM9" i="3"/>
  <c r="AI9" i="3"/>
  <c r="DC8" i="3"/>
  <c r="DB8" i="3"/>
  <c r="DA8" i="3"/>
  <c r="CZ8" i="3"/>
  <c r="CY8" i="3"/>
  <c r="CX8" i="3"/>
  <c r="CW8" i="3"/>
  <c r="CV8" i="3"/>
  <c r="CU8" i="3"/>
  <c r="CT8" i="3"/>
  <c r="CS8" i="3"/>
  <c r="CR8" i="3"/>
  <c r="CL8" i="3"/>
  <c r="CK8" i="3"/>
  <c r="CJ8" i="3"/>
  <c r="CI8" i="3"/>
  <c r="CH8" i="3"/>
  <c r="CG8" i="3"/>
  <c r="CF8" i="3"/>
  <c r="CE8" i="3"/>
  <c r="CD8" i="3"/>
  <c r="CC8" i="3"/>
  <c r="CB8" i="3"/>
  <c r="CA8" i="3"/>
  <c r="BZ8" i="3"/>
  <c r="BY8" i="3"/>
  <c r="CU6" i="3"/>
  <c r="CT6" i="3"/>
  <c r="CS6" i="3"/>
  <c r="CR6" i="3"/>
  <c r="CP6" i="3"/>
  <c r="CP40" i="3" s="1"/>
  <c r="CP54" i="3" s="1"/>
  <c r="CP72" i="3" s="1"/>
  <c r="CO6" i="3"/>
  <c r="CO40" i="3" s="1"/>
  <c r="CO54" i="3" s="1"/>
  <c r="CO72" i="3" s="1"/>
  <c r="CN6" i="3"/>
  <c r="CN40" i="3" s="1"/>
  <c r="CN54" i="3" s="1"/>
  <c r="CN72" i="3" s="1"/>
  <c r="CM6" i="3"/>
  <c r="CL6" i="3"/>
  <c r="CK6" i="3"/>
  <c r="CJ6" i="3"/>
  <c r="CI6" i="3"/>
  <c r="BS6" i="3"/>
  <c r="BS40" i="3" s="1"/>
  <c r="BS54" i="3" s="1"/>
  <c r="BS72" i="3" s="1"/>
  <c r="BR6" i="3"/>
  <c r="BR40" i="3" s="1"/>
  <c r="BR54" i="3" s="1"/>
  <c r="BR72" i="3" s="1"/>
  <c r="BQ6" i="3"/>
  <c r="BQ40" i="3" s="1"/>
  <c r="BQ54" i="3" s="1"/>
  <c r="BQ72" i="3" s="1"/>
  <c r="BP6" i="3"/>
  <c r="BP40" i="3" s="1"/>
  <c r="BP54" i="3" s="1"/>
  <c r="BP72" i="3" s="1"/>
  <c r="BO6" i="3"/>
  <c r="BO40" i="3" s="1"/>
  <c r="BO54" i="3" s="1"/>
  <c r="BO72" i="3" s="1"/>
  <c r="BN6" i="3"/>
  <c r="BN40" i="3" s="1"/>
  <c r="BN54" i="3" s="1"/>
  <c r="BN72" i="3" s="1"/>
  <c r="BM6" i="3"/>
  <c r="BM40" i="3" s="1"/>
  <c r="BM54" i="3" s="1"/>
  <c r="BM72" i="3" s="1"/>
  <c r="BL6" i="3"/>
  <c r="BL40" i="3" s="1"/>
  <c r="BL54" i="3" s="1"/>
  <c r="BL72" i="3" s="1"/>
  <c r="BJ6" i="3"/>
  <c r="BJ40" i="3" s="1"/>
  <c r="BJ54" i="3" s="1"/>
  <c r="BJ72" i="3" s="1"/>
  <c r="BI6" i="3"/>
  <c r="BI40" i="3" s="1"/>
  <c r="BI54" i="3" s="1"/>
  <c r="BI72" i="3" s="1"/>
  <c r="BH6" i="3"/>
  <c r="BH40" i="3" s="1"/>
  <c r="BH54" i="3" s="1"/>
  <c r="BH72" i="3" s="1"/>
  <c r="BG6" i="3"/>
  <c r="BG40" i="3" s="1"/>
  <c r="BG54" i="3" s="1"/>
  <c r="BG72" i="3" s="1"/>
  <c r="BF6" i="3"/>
  <c r="BF40" i="3" s="1"/>
  <c r="BF54" i="3" s="1"/>
  <c r="BF72" i="3" s="1"/>
  <c r="BE6" i="3"/>
  <c r="BE40" i="3" s="1"/>
  <c r="BE54" i="3" s="1"/>
  <c r="BE72" i="3" s="1"/>
  <c r="BD6" i="3"/>
  <c r="BD40" i="3" s="1"/>
  <c r="BD54" i="3" s="1"/>
  <c r="BD72" i="3" s="1"/>
  <c r="BC6" i="3"/>
  <c r="BC40" i="3" s="1"/>
  <c r="BC54" i="3" s="1"/>
  <c r="BC72" i="3" s="1"/>
  <c r="BB6" i="3"/>
  <c r="BB40" i="3" s="1"/>
  <c r="BB54" i="3" s="1"/>
  <c r="BB72" i="3" s="1"/>
  <c r="BA6" i="3"/>
  <c r="BA40" i="3" s="1"/>
  <c r="BA54" i="3" s="1"/>
  <c r="BA72" i="3" s="1"/>
  <c r="AZ6" i="3"/>
  <c r="AZ40" i="3" s="1"/>
  <c r="AZ54" i="3" s="1"/>
  <c r="AZ72" i="3" s="1"/>
  <c r="AY6" i="3"/>
  <c r="AY40" i="3" s="1"/>
  <c r="AY54" i="3" s="1"/>
  <c r="AY72" i="3" s="1"/>
  <c r="AX6" i="3"/>
  <c r="AX40" i="3" s="1"/>
  <c r="AX54" i="3" s="1"/>
  <c r="AX72" i="3" s="1"/>
  <c r="AW6" i="3"/>
  <c r="AW40" i="3" s="1"/>
  <c r="AW54" i="3" s="1"/>
  <c r="AW72" i="3" s="1"/>
  <c r="AV6" i="3"/>
  <c r="AV40" i="3" s="1"/>
  <c r="AV54" i="3" s="1"/>
  <c r="AV72" i="3" s="1"/>
  <c r="AU6" i="3"/>
  <c r="AU40" i="3" s="1"/>
  <c r="AU54" i="3" s="1"/>
  <c r="AU72" i="3" s="1"/>
  <c r="AT6" i="3"/>
  <c r="AT40" i="3" s="1"/>
  <c r="AT54" i="3" s="1"/>
  <c r="AT72" i="3" s="1"/>
  <c r="AS6" i="3"/>
  <c r="AS40" i="3" s="1"/>
  <c r="AS54" i="3" s="1"/>
  <c r="AS72" i="3" s="1"/>
  <c r="AR6" i="3"/>
  <c r="AR40" i="3" s="1"/>
  <c r="AR54" i="3" s="1"/>
  <c r="AR72" i="3" s="1"/>
  <c r="AQ6" i="3"/>
  <c r="AQ40" i="3" s="1"/>
  <c r="AQ54" i="3" s="1"/>
  <c r="AQ72" i="3" s="1"/>
  <c r="AP6" i="3"/>
  <c r="AP40" i="3" s="1"/>
  <c r="AP54" i="3" s="1"/>
  <c r="AP72" i="3" s="1"/>
  <c r="AO6" i="3"/>
  <c r="AO40" i="3" s="1"/>
  <c r="AO54" i="3" s="1"/>
  <c r="AO72" i="3" s="1"/>
  <c r="AN6" i="3"/>
  <c r="AN40" i="3" s="1"/>
  <c r="AN54" i="3" s="1"/>
  <c r="AN72" i="3" s="1"/>
  <c r="AM6" i="3"/>
  <c r="AM40" i="3" s="1"/>
  <c r="AM54" i="3" s="1"/>
  <c r="AM72" i="3" s="1"/>
  <c r="AL6" i="3"/>
  <c r="AL40" i="3" s="1"/>
  <c r="AL54" i="3" s="1"/>
  <c r="AL72" i="3" s="1"/>
  <c r="AK6" i="3"/>
  <c r="AK40" i="3" s="1"/>
  <c r="AK54" i="3" s="1"/>
  <c r="AK72" i="3" s="1"/>
  <c r="AJ6" i="3"/>
  <c r="AJ40" i="3" s="1"/>
  <c r="AJ54" i="3" s="1"/>
  <c r="AJ72" i="3" s="1"/>
  <c r="AI6" i="3"/>
  <c r="AI40" i="3" s="1"/>
  <c r="AI54" i="3" s="1"/>
  <c r="AI72" i="3" s="1"/>
  <c r="AH6" i="3"/>
  <c r="AH40" i="3" s="1"/>
  <c r="AH54" i="3" s="1"/>
  <c r="AH72" i="3" s="1"/>
  <c r="AG6" i="3"/>
  <c r="AG40" i="3" s="1"/>
  <c r="AG54" i="3" s="1"/>
  <c r="AG72" i="3" s="1"/>
  <c r="AF6" i="3"/>
  <c r="AF40" i="3" s="1"/>
  <c r="AF54" i="3" s="1"/>
  <c r="AF72" i="3" s="1"/>
  <c r="AE6" i="3"/>
  <c r="AE40" i="3" s="1"/>
  <c r="AE54" i="3" s="1"/>
  <c r="AE72" i="3" s="1"/>
  <c r="AD6" i="3"/>
  <c r="AD40" i="3" s="1"/>
  <c r="AD54" i="3" s="1"/>
  <c r="AD72" i="3" s="1"/>
  <c r="AC6" i="3"/>
  <c r="AC40" i="3" s="1"/>
  <c r="AC54" i="3" s="1"/>
  <c r="AC72" i="3" s="1"/>
  <c r="AB6" i="3"/>
  <c r="AB40" i="3" s="1"/>
  <c r="AB54" i="3" s="1"/>
  <c r="AB72" i="3" s="1"/>
  <c r="AA6" i="3"/>
  <c r="AA40" i="3" s="1"/>
  <c r="AA54" i="3" s="1"/>
  <c r="AA72" i="3" s="1"/>
  <c r="Z6" i="3"/>
  <c r="Z40" i="3" s="1"/>
  <c r="Z54" i="3" s="1"/>
  <c r="Z72" i="3" s="1"/>
  <c r="Y6" i="3"/>
  <c r="Y40" i="3" s="1"/>
  <c r="Y54" i="3" s="1"/>
  <c r="Y72" i="3" s="1"/>
  <c r="X6" i="3"/>
  <c r="X40" i="3" s="1"/>
  <c r="X54" i="3" s="1"/>
  <c r="X72" i="3" s="1"/>
  <c r="W6" i="3"/>
  <c r="W40" i="3" s="1"/>
  <c r="W54" i="3" s="1"/>
  <c r="W72" i="3" s="1"/>
  <c r="V6" i="3"/>
  <c r="V40" i="3" s="1"/>
  <c r="V54" i="3" s="1"/>
  <c r="V72" i="3" s="1"/>
  <c r="U6" i="3"/>
  <c r="U40" i="3" s="1"/>
  <c r="U54" i="3" s="1"/>
  <c r="U72" i="3" s="1"/>
  <c r="T6" i="3"/>
  <c r="T40" i="3" s="1"/>
  <c r="T54" i="3" s="1"/>
  <c r="T72" i="3" s="1"/>
  <c r="S6" i="3"/>
  <c r="S40" i="3" s="1"/>
  <c r="S54" i="3" s="1"/>
  <c r="S72" i="3" s="1"/>
  <c r="R6" i="3"/>
  <c r="R40" i="3" s="1"/>
  <c r="R54" i="3" s="1"/>
  <c r="R72" i="3" s="1"/>
  <c r="Q6" i="3"/>
  <c r="Q40" i="3" s="1"/>
  <c r="Q54" i="3" s="1"/>
  <c r="Q72" i="3" s="1"/>
  <c r="P6" i="3"/>
  <c r="P40" i="3" s="1"/>
  <c r="P54" i="3" s="1"/>
  <c r="P72" i="3" s="1"/>
  <c r="O6" i="3"/>
  <c r="O40" i="3" s="1"/>
  <c r="O54" i="3" s="1"/>
  <c r="O72" i="3" s="1"/>
  <c r="N6" i="3"/>
  <c r="N40" i="3" s="1"/>
  <c r="N54" i="3" s="1"/>
  <c r="N72" i="3" s="1"/>
  <c r="M6" i="3"/>
  <c r="M40" i="3" s="1"/>
  <c r="M54" i="3" s="1"/>
  <c r="M72" i="3" s="1"/>
  <c r="L6" i="3"/>
  <c r="L40" i="3" s="1"/>
  <c r="L54" i="3" s="1"/>
  <c r="L72" i="3" s="1"/>
  <c r="K6" i="3"/>
  <c r="K40" i="3" s="1"/>
  <c r="K54" i="3" s="1"/>
  <c r="K72" i="3" s="1"/>
  <c r="J6" i="3"/>
  <c r="J40" i="3" s="1"/>
  <c r="J54" i="3" s="1"/>
  <c r="J72" i="3" s="1"/>
  <c r="I6" i="3"/>
  <c r="I40" i="3" s="1"/>
  <c r="I54" i="3" s="1"/>
  <c r="I72" i="3" s="1"/>
  <c r="H6" i="3"/>
  <c r="H40" i="3" s="1"/>
  <c r="H54" i="3" s="1"/>
  <c r="H72" i="3" s="1"/>
  <c r="G6" i="3"/>
  <c r="G40" i="3" s="1"/>
  <c r="G54" i="3" s="1"/>
  <c r="G72" i="3" s="1"/>
  <c r="F6" i="3"/>
  <c r="F40" i="3" s="1"/>
  <c r="F54" i="3" s="1"/>
  <c r="F72" i="3" s="1"/>
  <c r="E6" i="3"/>
  <c r="E40" i="3" s="1"/>
  <c r="E54" i="3" s="1"/>
  <c r="E72" i="3" s="1"/>
  <c r="D6" i="3"/>
  <c r="D40" i="3" s="1"/>
  <c r="D54" i="3" s="1"/>
  <c r="D72" i="3" s="1"/>
  <c r="BS5" i="3"/>
  <c r="BR5" i="3"/>
  <c r="BQ5" i="3"/>
  <c r="BP5" i="3"/>
  <c r="BO5" i="3"/>
  <c r="BN5" i="3"/>
  <c r="BM5" i="3"/>
  <c r="BL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BS4" i="3"/>
  <c r="BR4" i="3"/>
  <c r="BQ4" i="3"/>
  <c r="BP4" i="3"/>
  <c r="BO4" i="3"/>
  <c r="BN4" i="3"/>
  <c r="BM4" i="3"/>
  <c r="BL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BS299" i="2"/>
  <c r="BR299" i="2"/>
  <c r="BQ299" i="2"/>
  <c r="BP299" i="2"/>
  <c r="BO299" i="2"/>
  <c r="BN299" i="2"/>
  <c r="BM299" i="2"/>
  <c r="BL299" i="2"/>
  <c r="BJ299" i="2"/>
  <c r="BI299" i="2"/>
  <c r="BH299" i="2"/>
  <c r="BG299" i="2"/>
  <c r="BF299" i="2"/>
  <c r="BE299" i="2"/>
  <c r="BD299" i="2"/>
  <c r="BC299" i="2"/>
  <c r="BB299" i="2"/>
  <c r="BA299" i="2"/>
  <c r="AZ299" i="2"/>
  <c r="AY299" i="2"/>
  <c r="AX299" i="2"/>
  <c r="AW299" i="2"/>
  <c r="AV299" i="2"/>
  <c r="CZ299" i="2" s="1"/>
  <c r="AU299" i="2"/>
  <c r="AT299" i="2"/>
  <c r="AS299" i="2"/>
  <c r="AR299" i="2"/>
  <c r="CY299" i="2" s="1"/>
  <c r="CY6" i="2" s="1"/>
  <c r="AQ299" i="2"/>
  <c r="AP299" i="2"/>
  <c r="AO299" i="2"/>
  <c r="AN299" i="2"/>
  <c r="CX299" i="2" s="1"/>
  <c r="AM299" i="2"/>
  <c r="AL299" i="2"/>
  <c r="AK299" i="2"/>
  <c r="AJ299" i="2"/>
  <c r="CW299" i="2" s="1"/>
  <c r="CW6" i="2" s="1"/>
  <c r="AI299" i="2"/>
  <c r="AH299" i="2"/>
  <c r="AG299" i="2"/>
  <c r="AF299" i="2"/>
  <c r="CV299" i="2" s="1"/>
  <c r="AE299" i="2"/>
  <c r="AD299" i="2"/>
  <c r="AC299" i="2"/>
  <c r="AB299" i="2"/>
  <c r="CU299" i="2" s="1"/>
  <c r="CU6" i="2" s="1"/>
  <c r="AA299" i="2"/>
  <c r="Z299" i="2"/>
  <c r="Y299" i="2"/>
  <c r="X299" i="2"/>
  <c r="W299" i="2"/>
  <c r="V299" i="2"/>
  <c r="U299" i="2"/>
  <c r="CT299" i="2" s="1"/>
  <c r="CT6" i="2" s="1"/>
  <c r="T299" i="2"/>
  <c r="CS299" i="2" s="1"/>
  <c r="CS6" i="2" s="1"/>
  <c r="S299" i="2"/>
  <c r="R299" i="2"/>
  <c r="Q299" i="2"/>
  <c r="P299" i="2"/>
  <c r="CR299" i="2" s="1"/>
  <c r="O299" i="2"/>
  <c r="N299" i="2"/>
  <c r="M299" i="2"/>
  <c r="L299" i="2"/>
  <c r="K299" i="2"/>
  <c r="J299" i="2"/>
  <c r="I299" i="2"/>
  <c r="H299" i="2"/>
  <c r="G299" i="2"/>
  <c r="F299" i="2"/>
  <c r="E299" i="2"/>
  <c r="D299" i="2"/>
  <c r="BS298" i="2"/>
  <c r="BS300" i="2" s="1"/>
  <c r="BR298" i="2"/>
  <c r="BR300" i="2" s="1"/>
  <c r="BQ298" i="2"/>
  <c r="BQ300" i="2" s="1"/>
  <c r="BP298" i="2"/>
  <c r="BP300" i="2" s="1"/>
  <c r="BO298" i="2"/>
  <c r="BO300" i="2" s="1"/>
  <c r="BN298" i="2"/>
  <c r="BN300" i="2" s="1"/>
  <c r="BM298" i="2"/>
  <c r="BM300" i="2" s="1"/>
  <c r="BL298" i="2"/>
  <c r="BL300" i="2" s="1"/>
  <c r="BJ298" i="2"/>
  <c r="BJ300" i="2" s="1"/>
  <c r="BI298" i="2"/>
  <c r="BI300" i="2" s="1"/>
  <c r="BH298" i="2"/>
  <c r="BH300" i="2" s="1"/>
  <c r="BG298" i="2"/>
  <c r="BG300" i="2" s="1"/>
  <c r="BF298" i="2"/>
  <c r="BF300" i="2" s="1"/>
  <c r="BE298" i="2"/>
  <c r="BE300" i="2" s="1"/>
  <c r="BD298" i="2"/>
  <c r="BD300" i="2" s="1"/>
  <c r="BC298" i="2"/>
  <c r="BC300" i="2" s="1"/>
  <c r="BB298" i="2"/>
  <c r="BB300" i="2" s="1"/>
  <c r="BA298" i="2"/>
  <c r="BA300" i="2" s="1"/>
  <c r="AZ298" i="2"/>
  <c r="AZ300" i="2" s="1"/>
  <c r="AY298" i="2"/>
  <c r="AY300" i="2" s="1"/>
  <c r="AX298" i="2"/>
  <c r="AX300" i="2" s="1"/>
  <c r="AW298" i="2"/>
  <c r="AW300" i="2" s="1"/>
  <c r="AV298" i="2"/>
  <c r="AV300" i="2" s="1"/>
  <c r="AU298" i="2"/>
  <c r="AU300" i="2" s="1"/>
  <c r="AT298" i="2"/>
  <c r="AT300" i="2" s="1"/>
  <c r="AS298" i="2"/>
  <c r="AS300" i="2" s="1"/>
  <c r="AR298" i="2"/>
  <c r="AR300" i="2" s="1"/>
  <c r="AQ298" i="2"/>
  <c r="AQ300" i="2" s="1"/>
  <c r="AP298" i="2"/>
  <c r="AP300" i="2" s="1"/>
  <c r="AO298" i="2"/>
  <c r="AO300" i="2" s="1"/>
  <c r="AN298" i="2"/>
  <c r="AN300" i="2" s="1"/>
  <c r="AM298" i="2"/>
  <c r="AM300" i="2" s="1"/>
  <c r="AL298" i="2"/>
  <c r="AL300" i="2" s="1"/>
  <c r="AK298" i="2"/>
  <c r="AK300" i="2" s="1"/>
  <c r="AJ298" i="2"/>
  <c r="AJ300" i="2" s="1"/>
  <c r="AI298" i="2"/>
  <c r="AI300" i="2" s="1"/>
  <c r="AH298" i="2"/>
  <c r="AH300" i="2" s="1"/>
  <c r="AG298" i="2"/>
  <c r="AG300" i="2" s="1"/>
  <c r="AF298" i="2"/>
  <c r="AF300" i="2" s="1"/>
  <c r="AE298" i="2"/>
  <c r="AE300" i="2" s="1"/>
  <c r="AD298" i="2"/>
  <c r="AD300" i="2" s="1"/>
  <c r="AC298" i="2"/>
  <c r="AC300" i="2" s="1"/>
  <c r="AB298" i="2"/>
  <c r="AB300" i="2" s="1"/>
  <c r="AA298" i="2"/>
  <c r="AA300" i="2" s="1"/>
  <c r="Z298" i="2"/>
  <c r="Z300" i="2" s="1"/>
  <c r="Y298" i="2"/>
  <c r="Y300" i="2" s="1"/>
  <c r="X298" i="2"/>
  <c r="X300" i="2" s="1"/>
  <c r="W298" i="2"/>
  <c r="W300" i="2" s="1"/>
  <c r="V298" i="2"/>
  <c r="V300" i="2" s="1"/>
  <c r="U298" i="2"/>
  <c r="U300" i="2" s="1"/>
  <c r="T298" i="2"/>
  <c r="T300" i="2" s="1"/>
  <c r="S298" i="2"/>
  <c r="S300" i="2" s="1"/>
  <c r="R298" i="2"/>
  <c r="R300" i="2" s="1"/>
  <c r="Q298" i="2"/>
  <c r="Q300" i="2" s="1"/>
  <c r="P298" i="2"/>
  <c r="P300" i="2" s="1"/>
  <c r="O298" i="2"/>
  <c r="O300" i="2" s="1"/>
  <c r="N298" i="2"/>
  <c r="N300" i="2" s="1"/>
  <c r="M298" i="2"/>
  <c r="M300" i="2" s="1"/>
  <c r="L298" i="2"/>
  <c r="L300" i="2" s="1"/>
  <c r="K298" i="2"/>
  <c r="K300" i="2" s="1"/>
  <c r="J298" i="2"/>
  <c r="J300" i="2" s="1"/>
  <c r="I298" i="2"/>
  <c r="I300" i="2" s="1"/>
  <c r="H298" i="2"/>
  <c r="H300" i="2" s="1"/>
  <c r="G298" i="2"/>
  <c r="G300" i="2" s="1"/>
  <c r="F298" i="2"/>
  <c r="F300" i="2" s="1"/>
  <c r="E298" i="2"/>
  <c r="E300" i="2" s="1"/>
  <c r="D298" i="2"/>
  <c r="D300" i="2" s="1"/>
  <c r="BS297" i="2"/>
  <c r="BR297" i="2"/>
  <c r="BQ297" i="2"/>
  <c r="BP297" i="2"/>
  <c r="BO297" i="2"/>
  <c r="BN297" i="2"/>
  <c r="BM297" i="2"/>
  <c r="BL297" i="2"/>
  <c r="BJ297" i="2"/>
  <c r="BI297" i="2"/>
  <c r="BH297" i="2"/>
  <c r="BG297" i="2"/>
  <c r="BF297" i="2"/>
  <c r="BE297" i="2"/>
  <c r="BD297" i="2"/>
  <c r="BC297" i="2"/>
  <c r="BB297" i="2"/>
  <c r="BA297" i="2"/>
  <c r="AZ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AM297" i="2"/>
  <c r="AL297" i="2"/>
  <c r="AK297" i="2"/>
  <c r="AJ297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P296" i="2"/>
  <c r="CO296" i="2"/>
  <c r="CO293" i="4" s="1"/>
  <c r="CN296" i="2"/>
  <c r="CM296" i="2"/>
  <c r="CL296" i="2"/>
  <c r="CK296" i="2"/>
  <c r="CK293" i="4" s="1"/>
  <c r="CJ296" i="2"/>
  <c r="CI296" i="2"/>
  <c r="CH296" i="2"/>
  <c r="CH7" i="2" s="1"/>
  <c r="CG296" i="2"/>
  <c r="CG293" i="4" s="1"/>
  <c r="CF296" i="2"/>
  <c r="CF7" i="2" s="1"/>
  <c r="CE296" i="2"/>
  <c r="CE7" i="2" s="1"/>
  <c r="CE6" i="3" s="1"/>
  <c r="CD296" i="2"/>
  <c r="CD7" i="2" s="1"/>
  <c r="CC296" i="2"/>
  <c r="CC293" i="4" s="1"/>
  <c r="CB296" i="2"/>
  <c r="CB7" i="2" s="1"/>
  <c r="CA296" i="2"/>
  <c r="CA7" i="2" s="1"/>
  <c r="CA8" i="17" s="1"/>
  <c r="CA87" i="17" s="1"/>
  <c r="BZ296" i="2"/>
  <c r="BZ7" i="2" s="1"/>
  <c r="BY296" i="2"/>
  <c r="BY293" i="4" s="1"/>
  <c r="BS296" i="2"/>
  <c r="BR296" i="2"/>
  <c r="BQ296" i="2"/>
  <c r="BP296" i="2"/>
  <c r="BP293" i="4" s="1"/>
  <c r="BO296" i="2"/>
  <c r="BN296" i="2"/>
  <c r="BM296" i="2"/>
  <c r="BL296" i="2"/>
  <c r="BL293" i="4" s="1"/>
  <c r="BJ296" i="2"/>
  <c r="BI296" i="2"/>
  <c r="BH296" i="2"/>
  <c r="BH293" i="4" s="1"/>
  <c r="BG296" i="2"/>
  <c r="BF296" i="2"/>
  <c r="BE296" i="2"/>
  <c r="BD296" i="2"/>
  <c r="BD293" i="4" s="1"/>
  <c r="BC296" i="2"/>
  <c r="BB296" i="2"/>
  <c r="BA296" i="2"/>
  <c r="AZ296" i="2"/>
  <c r="AZ293" i="4" s="1"/>
  <c r="AY296" i="2"/>
  <c r="AX296" i="2"/>
  <c r="AW296" i="2"/>
  <c r="AV296" i="2"/>
  <c r="AV293" i="4" s="1"/>
  <c r="AU296" i="2"/>
  <c r="AT296" i="2"/>
  <c r="AS296" i="2"/>
  <c r="AR296" i="2"/>
  <c r="AR293" i="4" s="1"/>
  <c r="AQ296" i="2"/>
  <c r="AP296" i="2"/>
  <c r="AO296" i="2"/>
  <c r="AN296" i="2"/>
  <c r="AN293" i="4" s="1"/>
  <c r="AM296" i="2"/>
  <c r="AL296" i="2"/>
  <c r="AK296" i="2"/>
  <c r="AJ296" i="2"/>
  <c r="AJ293" i="4" s="1"/>
  <c r="AI296" i="2"/>
  <c r="AH296" i="2"/>
  <c r="AG296" i="2"/>
  <c r="AF296" i="2"/>
  <c r="AF293" i="4" s="1"/>
  <c r="AE296" i="2"/>
  <c r="AD296" i="2"/>
  <c r="AC296" i="2"/>
  <c r="AB296" i="2"/>
  <c r="AB293" i="4" s="1"/>
  <c r="AA296" i="2"/>
  <c r="Z296" i="2"/>
  <c r="Y296" i="2"/>
  <c r="X296" i="2"/>
  <c r="X293" i="4" s="1"/>
  <c r="W296" i="2"/>
  <c r="V296" i="2"/>
  <c r="U296" i="2"/>
  <c r="T296" i="2"/>
  <c r="CS296" i="2" s="1"/>
  <c r="S296" i="2"/>
  <c r="R296" i="2"/>
  <c r="Q296" i="2"/>
  <c r="P296" i="2"/>
  <c r="P293" i="4" s="1"/>
  <c r="O296" i="2"/>
  <c r="N296" i="2"/>
  <c r="M296" i="2"/>
  <c r="L296" i="2"/>
  <c r="L293" i="4" s="1"/>
  <c r="K296" i="2"/>
  <c r="J296" i="2"/>
  <c r="I296" i="2"/>
  <c r="H296" i="2"/>
  <c r="H293" i="4" s="1"/>
  <c r="G296" i="2"/>
  <c r="F296" i="2"/>
  <c r="E296" i="2"/>
  <c r="D296" i="2"/>
  <c r="D293" i="4" s="1"/>
  <c r="BI144" i="2"/>
  <c r="BI148" i="2" s="1"/>
  <c r="BH144" i="2"/>
  <c r="BH148" i="2" s="1"/>
  <c r="BE144" i="2"/>
  <c r="BE148" i="2" s="1"/>
  <c r="BD144" i="2"/>
  <c r="BD148" i="2" s="1"/>
  <c r="BA144" i="2"/>
  <c r="BA148" i="2" s="1"/>
  <c r="AZ144" i="2"/>
  <c r="AZ148" i="2" s="1"/>
  <c r="AW144" i="2"/>
  <c r="AW148" i="2" s="1"/>
  <c r="AV144" i="2"/>
  <c r="AV148" i="2" s="1"/>
  <c r="AS144" i="2"/>
  <c r="AR144" i="2"/>
  <c r="AR148" i="2" s="1"/>
  <c r="AO144" i="2"/>
  <c r="AO148" i="2" s="1"/>
  <c r="AN144" i="2"/>
  <c r="AN148" i="2" s="1"/>
  <c r="AK144" i="2"/>
  <c r="AJ144" i="2"/>
  <c r="AJ148" i="2" s="1"/>
  <c r="AH144" i="2"/>
  <c r="AH148" i="2" s="1"/>
  <c r="AG144" i="2"/>
  <c r="AG148" i="2" s="1"/>
  <c r="AF144" i="2"/>
  <c r="AF148" i="2" s="1"/>
  <c r="AC144" i="2"/>
  <c r="AB144" i="2"/>
  <c r="AB148" i="2" s="1"/>
  <c r="Y144" i="2"/>
  <c r="Y148" i="2" s="1"/>
  <c r="X144" i="2"/>
  <c r="X148" i="2" s="1"/>
  <c r="U144" i="2"/>
  <c r="T144" i="2"/>
  <c r="T148" i="2" s="1"/>
  <c r="Q144" i="2"/>
  <c r="Q148" i="2" s="1"/>
  <c r="P144" i="2"/>
  <c r="P148" i="2" s="1"/>
  <c r="M144" i="2"/>
  <c r="L144" i="2"/>
  <c r="L148" i="2" s="1"/>
  <c r="I144" i="2"/>
  <c r="I148" i="2" s="1"/>
  <c r="H144" i="2"/>
  <c r="H148" i="2" s="1"/>
  <c r="E144" i="2"/>
  <c r="E148" i="2" s="1"/>
  <c r="D144" i="2"/>
  <c r="D148" i="2" s="1"/>
  <c r="BJ138" i="2"/>
  <c r="BI138" i="2"/>
  <c r="BH138" i="2"/>
  <c r="BG138" i="2"/>
  <c r="BF138" i="2"/>
  <c r="BE138" i="2"/>
  <c r="BB138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H138" i="2"/>
  <c r="AG138" i="2"/>
  <c r="AF138" i="2"/>
  <c r="AD138" i="2"/>
  <c r="AC138" i="2"/>
  <c r="AB138" i="2"/>
  <c r="Z138" i="2"/>
  <c r="Y138" i="2"/>
  <c r="X138" i="2"/>
  <c r="V138" i="2"/>
  <c r="U138" i="2"/>
  <c r="T138" i="2"/>
  <c r="R138" i="2"/>
  <c r="Q138" i="2"/>
  <c r="P138" i="2"/>
  <c r="N138" i="2"/>
  <c r="M138" i="2"/>
  <c r="L138" i="2"/>
  <c r="J138" i="2"/>
  <c r="I138" i="2"/>
  <c r="H138" i="2"/>
  <c r="F138" i="2"/>
  <c r="E138" i="2"/>
  <c r="D138" i="2"/>
  <c r="DE132" i="2"/>
  <c r="DD132" i="2"/>
  <c r="DC132" i="2"/>
  <c r="DB132" i="2"/>
  <c r="DA132" i="2"/>
  <c r="CZ132" i="2"/>
  <c r="CY132" i="2"/>
  <c r="CX132" i="2"/>
  <c r="CW132" i="2"/>
  <c r="CV132" i="2"/>
  <c r="CU132" i="2"/>
  <c r="CT132" i="2"/>
  <c r="CS132" i="2"/>
  <c r="CR132" i="2"/>
  <c r="CJ132" i="2"/>
  <c r="CI132" i="2"/>
  <c r="CH132" i="2"/>
  <c r="CG132" i="2"/>
  <c r="CF132" i="2"/>
  <c r="CC132" i="2"/>
  <c r="CB132" i="2"/>
  <c r="CA132" i="2"/>
  <c r="DC131" i="2"/>
  <c r="DB131" i="2"/>
  <c r="DA131" i="2"/>
  <c r="CL131" i="2"/>
  <c r="CK131" i="2"/>
  <c r="CJ131" i="2"/>
  <c r="CI131" i="2"/>
  <c r="DE129" i="2"/>
  <c r="DD129" i="2"/>
  <c r="CZ129" i="2"/>
  <c r="CY129" i="2"/>
  <c r="CX129" i="2"/>
  <c r="CW129" i="2"/>
  <c r="CV129" i="2"/>
  <c r="CU129" i="2"/>
  <c r="CT129" i="2"/>
  <c r="CS129" i="2"/>
  <c r="CR129" i="2"/>
  <c r="CJ129" i="2"/>
  <c r="CK129" i="2" s="1"/>
  <c r="CL129" i="2" s="1"/>
  <c r="CM129" i="2" s="1"/>
  <c r="CN129" i="2" s="1"/>
  <c r="CO129" i="2" s="1"/>
  <c r="CP129" i="2" s="1"/>
  <c r="CI129" i="2"/>
  <c r="CH129" i="2"/>
  <c r="CG129" i="2"/>
  <c r="CF129" i="2"/>
  <c r="CE129" i="2"/>
  <c r="CD129" i="2"/>
  <c r="CC129" i="2"/>
  <c r="CB129" i="2"/>
  <c r="CA129" i="2"/>
  <c r="BZ129" i="2"/>
  <c r="BY129" i="2"/>
  <c r="BM129" i="2"/>
  <c r="BN129" i="2" s="1"/>
  <c r="BO129" i="2" s="1"/>
  <c r="BT129" i="2" s="1"/>
  <c r="BU129" i="2" s="1"/>
  <c r="BV129" i="2" s="1"/>
  <c r="BW129" i="2" s="1"/>
  <c r="BI129" i="2"/>
  <c r="BP129" i="2" s="1"/>
  <c r="BQ129" i="2" s="1"/>
  <c r="BR129" i="2" s="1"/>
  <c r="BS129" i="2" s="1"/>
  <c r="BE129" i="2"/>
  <c r="BA129" i="2"/>
  <c r="AW129" i="2"/>
  <c r="AS129" i="2"/>
  <c r="CF127" i="2"/>
  <c r="CE127" i="2"/>
  <c r="CD127" i="2"/>
  <c r="CA127" i="2"/>
  <c r="BZ127" i="2"/>
  <c r="BJ127" i="2"/>
  <c r="BI127" i="2"/>
  <c r="BH127" i="2"/>
  <c r="BG127" i="2"/>
  <c r="BF127" i="2"/>
  <c r="BE127" i="2"/>
  <c r="BD127" i="2"/>
  <c r="BC127" i="2"/>
  <c r="BB127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F126" i="2"/>
  <c r="CE126" i="2"/>
  <c r="CE78" i="3" s="1"/>
  <c r="CD126" i="2"/>
  <c r="CA126" i="2"/>
  <c r="CA78" i="3" s="1"/>
  <c r="BZ126" i="2"/>
  <c r="BL73" i="3"/>
  <c r="BJ126" i="2"/>
  <c r="BI126" i="2"/>
  <c r="BI78" i="3" s="1"/>
  <c r="BH126" i="2"/>
  <c r="BG126" i="2"/>
  <c r="BG78" i="3" s="1"/>
  <c r="BF126" i="2"/>
  <c r="BE126" i="2"/>
  <c r="BE82" i="3" s="1"/>
  <c r="BD126" i="2"/>
  <c r="BC126" i="2"/>
  <c r="BC78" i="3" s="1"/>
  <c r="BB126" i="2"/>
  <c r="BA126" i="2"/>
  <c r="BA82" i="3" s="1"/>
  <c r="AZ126" i="2"/>
  <c r="AY126" i="2"/>
  <c r="AY78" i="3" s="1"/>
  <c r="AX126" i="2"/>
  <c r="AW126" i="2"/>
  <c r="AW82" i="3" s="1"/>
  <c r="AV126" i="2"/>
  <c r="AU126" i="2"/>
  <c r="AU78" i="3" s="1"/>
  <c r="AT126" i="2"/>
  <c r="AS126" i="2"/>
  <c r="AS82" i="3" s="1"/>
  <c r="AR126" i="2"/>
  <c r="AQ126" i="2"/>
  <c r="AQ78" i="3" s="1"/>
  <c r="AP126" i="2"/>
  <c r="AO126" i="2"/>
  <c r="AO82" i="3" s="1"/>
  <c r="AN126" i="2"/>
  <c r="AM126" i="2"/>
  <c r="AM78" i="3" s="1"/>
  <c r="AL126" i="2"/>
  <c r="AK126" i="2"/>
  <c r="AK82" i="3" s="1"/>
  <c r="AJ126" i="2"/>
  <c r="AI126" i="2"/>
  <c r="AI78" i="3" s="1"/>
  <c r="AH126" i="2"/>
  <c r="AG126" i="2"/>
  <c r="AG82" i="3" s="1"/>
  <c r="AF126" i="2"/>
  <c r="AE126" i="2"/>
  <c r="AE78" i="3" s="1"/>
  <c r="AD126" i="2"/>
  <c r="AC126" i="2"/>
  <c r="AC82" i="3" s="1"/>
  <c r="AB126" i="2"/>
  <c r="AA126" i="2"/>
  <c r="AA78" i="3" s="1"/>
  <c r="Z126" i="2"/>
  <c r="Y126" i="2"/>
  <c r="Y82" i="3" s="1"/>
  <c r="X126" i="2"/>
  <c r="W126" i="2"/>
  <c r="W78" i="3" s="1"/>
  <c r="V126" i="2"/>
  <c r="U126" i="2"/>
  <c r="U82" i="3" s="1"/>
  <c r="T126" i="2"/>
  <c r="S126" i="2"/>
  <c r="S78" i="3" s="1"/>
  <c r="R126" i="2"/>
  <c r="Q126" i="2"/>
  <c r="Q82" i="3" s="1"/>
  <c r="P126" i="2"/>
  <c r="O126" i="2"/>
  <c r="O78" i="3" s="1"/>
  <c r="N126" i="2"/>
  <c r="M126" i="2"/>
  <c r="M82" i="3" s="1"/>
  <c r="L126" i="2"/>
  <c r="K126" i="2"/>
  <c r="K78" i="3" s="1"/>
  <c r="J126" i="2"/>
  <c r="I126" i="2"/>
  <c r="I82" i="3" s="1"/>
  <c r="H126" i="2"/>
  <c r="G126" i="2"/>
  <c r="G78" i="3" s="1"/>
  <c r="F126" i="2"/>
  <c r="E126" i="2"/>
  <c r="E82" i="3" s="1"/>
  <c r="D126" i="2"/>
  <c r="DC125" i="2"/>
  <c r="DB125" i="2"/>
  <c r="DA125" i="2"/>
  <c r="CZ125" i="2"/>
  <c r="CY125" i="2"/>
  <c r="CX125" i="2"/>
  <c r="CW125" i="2"/>
  <c r="CV125" i="2"/>
  <c r="CU125" i="2"/>
  <c r="CT125" i="2"/>
  <c r="CS125" i="2"/>
  <c r="CR125" i="2"/>
  <c r="CL125" i="2"/>
  <c r="CJ125" i="2"/>
  <c r="CI125" i="2"/>
  <c r="CH125" i="2"/>
  <c r="CG125" i="2"/>
  <c r="CC125" i="2"/>
  <c r="CB125" i="2"/>
  <c r="BY125" i="2"/>
  <c r="CF123" i="2"/>
  <c r="CE123" i="2"/>
  <c r="CD123" i="2"/>
  <c r="CA123" i="2"/>
  <c r="BZ123" i="2"/>
  <c r="BJ123" i="2"/>
  <c r="BI123" i="2"/>
  <c r="BH123" i="2"/>
  <c r="BG123" i="2"/>
  <c r="BF123" i="2"/>
  <c r="BE123" i="2"/>
  <c r="BD123" i="2"/>
  <c r="BC123" i="2"/>
  <c r="BB123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DC122" i="2"/>
  <c r="DB122" i="2"/>
  <c r="DA122" i="2"/>
  <c r="DA123" i="2" s="1"/>
  <c r="CZ122" i="2"/>
  <c r="CZ123" i="2" s="1"/>
  <c r="CY122" i="2"/>
  <c r="CY123" i="2" s="1"/>
  <c r="CX122" i="2"/>
  <c r="CX123" i="2" s="1"/>
  <c r="CW122" i="2"/>
  <c r="CW123" i="2" s="1"/>
  <c r="CV122" i="2"/>
  <c r="CV123" i="2" s="1"/>
  <c r="CU122" i="2"/>
  <c r="CU123" i="2" s="1"/>
  <c r="CT122" i="2"/>
  <c r="CT123" i="2" s="1"/>
  <c r="CS122" i="2"/>
  <c r="CS123" i="2" s="1"/>
  <c r="CR122" i="2"/>
  <c r="CR123" i="2" s="1"/>
  <c r="CL122" i="2"/>
  <c r="CL123" i="2" s="1"/>
  <c r="CJ122" i="2"/>
  <c r="CJ123" i="2" s="1"/>
  <c r="CI122" i="2"/>
  <c r="CI123" i="2" s="1"/>
  <c r="CH122" i="2"/>
  <c r="CH123" i="2" s="1"/>
  <c r="CG122" i="2"/>
  <c r="CG123" i="2" s="1"/>
  <c r="CC122" i="2"/>
  <c r="CC123" i="2" s="1"/>
  <c r="CB122" i="2"/>
  <c r="CB123" i="2" s="1"/>
  <c r="BY122" i="2"/>
  <c r="BY123" i="2" s="1"/>
  <c r="DC110" i="2"/>
  <c r="DB110" i="2"/>
  <c r="DA110" i="2"/>
  <c r="CZ110" i="2"/>
  <c r="CY110" i="2"/>
  <c r="CX110" i="2"/>
  <c r="CW110" i="2"/>
  <c r="CV110" i="2"/>
  <c r="CU110" i="2"/>
  <c r="CT110" i="2"/>
  <c r="CS110" i="2"/>
  <c r="CR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BZ110" i="2"/>
  <c r="BY110" i="2"/>
  <c r="BJ109" i="2"/>
  <c r="BJ111" i="2" s="1"/>
  <c r="BJ101" i="2" s="1"/>
  <c r="BI109" i="2"/>
  <c r="BI111" i="2" s="1"/>
  <c r="BI101" i="2" s="1"/>
  <c r="BH109" i="2"/>
  <c r="BH111" i="2" s="1"/>
  <c r="BH101" i="2" s="1"/>
  <c r="BG109" i="2"/>
  <c r="BG111" i="2" s="1"/>
  <c r="BG101" i="2" s="1"/>
  <c r="BF109" i="2"/>
  <c r="BF111" i="2" s="1"/>
  <c r="BF101" i="2" s="1"/>
  <c r="BE109" i="2"/>
  <c r="BE111" i="2" s="1"/>
  <c r="BE101" i="2" s="1"/>
  <c r="BD109" i="2"/>
  <c r="BD111" i="2" s="1"/>
  <c r="BD101" i="2" s="1"/>
  <c r="BC109" i="2"/>
  <c r="BC111" i="2" s="1"/>
  <c r="BC101" i="2" s="1"/>
  <c r="BB109" i="2"/>
  <c r="BB111" i="2" s="1"/>
  <c r="BB101" i="2" s="1"/>
  <c r="BA109" i="2"/>
  <c r="BA111" i="2" s="1"/>
  <c r="BA101" i="2" s="1"/>
  <c r="AZ109" i="2"/>
  <c r="AZ111" i="2" s="1"/>
  <c r="AZ101" i="2" s="1"/>
  <c r="AY109" i="2"/>
  <c r="AY111" i="2" s="1"/>
  <c r="AY101" i="2" s="1"/>
  <c r="AX109" i="2"/>
  <c r="AX111" i="2" s="1"/>
  <c r="AX101" i="2" s="1"/>
  <c r="AW109" i="2"/>
  <c r="AW111" i="2" s="1"/>
  <c r="AW101" i="2" s="1"/>
  <c r="AV109" i="2"/>
  <c r="AV111" i="2" s="1"/>
  <c r="AV101" i="2" s="1"/>
  <c r="AU109" i="2"/>
  <c r="AU111" i="2" s="1"/>
  <c r="AU101" i="2" s="1"/>
  <c r="AT109" i="2"/>
  <c r="AT111" i="2" s="1"/>
  <c r="AT101" i="2" s="1"/>
  <c r="AS109" i="2"/>
  <c r="AS111" i="2" s="1"/>
  <c r="AS101" i="2" s="1"/>
  <c r="AR109" i="2"/>
  <c r="AR111" i="2" s="1"/>
  <c r="AR101" i="2" s="1"/>
  <c r="AQ109" i="2"/>
  <c r="AQ111" i="2" s="1"/>
  <c r="AQ101" i="2" s="1"/>
  <c r="AP109" i="2"/>
  <c r="AP111" i="2" s="1"/>
  <c r="AP101" i="2" s="1"/>
  <c r="AO109" i="2"/>
  <c r="AO111" i="2" s="1"/>
  <c r="AO101" i="2" s="1"/>
  <c r="AN109" i="2"/>
  <c r="AN111" i="2" s="1"/>
  <c r="AN101" i="2" s="1"/>
  <c r="AM109" i="2"/>
  <c r="AM111" i="2" s="1"/>
  <c r="AM101" i="2" s="1"/>
  <c r="AL109" i="2"/>
  <c r="AL111" i="2" s="1"/>
  <c r="AL101" i="2" s="1"/>
  <c r="AK109" i="2"/>
  <c r="AK111" i="2" s="1"/>
  <c r="AK101" i="2" s="1"/>
  <c r="AJ109" i="2"/>
  <c r="AJ111" i="2" s="1"/>
  <c r="AJ101" i="2" s="1"/>
  <c r="AI109" i="2"/>
  <c r="AI111" i="2" s="1"/>
  <c r="AI101" i="2" s="1"/>
  <c r="AH109" i="2"/>
  <c r="AH111" i="2" s="1"/>
  <c r="AH101" i="2" s="1"/>
  <c r="AG109" i="2"/>
  <c r="AG111" i="2" s="1"/>
  <c r="AG101" i="2" s="1"/>
  <c r="AF109" i="2"/>
  <c r="AF111" i="2" s="1"/>
  <c r="AF101" i="2" s="1"/>
  <c r="AE109" i="2"/>
  <c r="AE111" i="2" s="1"/>
  <c r="AE101" i="2" s="1"/>
  <c r="AD109" i="2"/>
  <c r="AD111" i="2" s="1"/>
  <c r="AD101" i="2" s="1"/>
  <c r="AC109" i="2"/>
  <c r="AC111" i="2" s="1"/>
  <c r="AC101" i="2" s="1"/>
  <c r="AB109" i="2"/>
  <c r="AB111" i="2" s="1"/>
  <c r="AB101" i="2" s="1"/>
  <c r="AA109" i="2"/>
  <c r="AA111" i="2" s="1"/>
  <c r="AA101" i="2" s="1"/>
  <c r="Z109" i="2"/>
  <c r="Z111" i="2" s="1"/>
  <c r="Z101" i="2" s="1"/>
  <c r="Y109" i="2"/>
  <c r="Y111" i="2" s="1"/>
  <c r="Y101" i="2" s="1"/>
  <c r="X109" i="2"/>
  <c r="X111" i="2" s="1"/>
  <c r="X101" i="2" s="1"/>
  <c r="W109" i="2"/>
  <c r="W111" i="2" s="1"/>
  <c r="W101" i="2" s="1"/>
  <c r="V109" i="2"/>
  <c r="V111" i="2" s="1"/>
  <c r="V101" i="2" s="1"/>
  <c r="U109" i="2"/>
  <c r="U111" i="2" s="1"/>
  <c r="U101" i="2" s="1"/>
  <c r="T109" i="2"/>
  <c r="T111" i="2" s="1"/>
  <c r="T101" i="2" s="1"/>
  <c r="R109" i="2"/>
  <c r="R111" i="2" s="1"/>
  <c r="R101" i="2" s="1"/>
  <c r="Q109" i="2"/>
  <c r="Q111" i="2" s="1"/>
  <c r="Q101" i="2" s="1"/>
  <c r="P109" i="2"/>
  <c r="P111" i="2" s="1"/>
  <c r="P101" i="2" s="1"/>
  <c r="O109" i="2"/>
  <c r="O111" i="2" s="1"/>
  <c r="O101" i="2" s="1"/>
  <c r="N109" i="2"/>
  <c r="N111" i="2" s="1"/>
  <c r="N101" i="2" s="1"/>
  <c r="M109" i="2"/>
  <c r="M111" i="2" s="1"/>
  <c r="M101" i="2" s="1"/>
  <c r="L109" i="2"/>
  <c r="L111" i="2" s="1"/>
  <c r="L101" i="2" s="1"/>
  <c r="K109" i="2"/>
  <c r="K111" i="2" s="1"/>
  <c r="K101" i="2" s="1"/>
  <c r="J109" i="2"/>
  <c r="J111" i="2" s="1"/>
  <c r="J101" i="2" s="1"/>
  <c r="I109" i="2"/>
  <c r="I111" i="2" s="1"/>
  <c r="I101" i="2" s="1"/>
  <c r="H109" i="2"/>
  <c r="H111" i="2" s="1"/>
  <c r="H101" i="2" s="1"/>
  <c r="G109" i="2"/>
  <c r="G111" i="2" s="1"/>
  <c r="G101" i="2" s="1"/>
  <c r="F109" i="2"/>
  <c r="F111" i="2" s="1"/>
  <c r="F101" i="2" s="1"/>
  <c r="E109" i="2"/>
  <c r="E111" i="2" s="1"/>
  <c r="E101" i="2" s="1"/>
  <c r="D109" i="2"/>
  <c r="D111" i="2" s="1"/>
  <c r="D101" i="2" s="1"/>
  <c r="BJ107" i="2"/>
  <c r="BI107" i="2"/>
  <c r="BH107" i="2"/>
  <c r="BG107" i="2"/>
  <c r="BE107" i="2"/>
  <c r="BD107" i="2"/>
  <c r="BC107" i="2"/>
  <c r="BB107" i="2"/>
  <c r="BA107" i="2"/>
  <c r="AZ107" i="2"/>
  <c r="AY107" i="2"/>
  <c r="AX107" i="2"/>
  <c r="AW107" i="2"/>
  <c r="AV107" i="2"/>
  <c r="AT107" i="2"/>
  <c r="AS107" i="2"/>
  <c r="AR107" i="2"/>
  <c r="AQ107" i="2"/>
  <c r="AP107" i="2"/>
  <c r="AN107" i="2"/>
  <c r="AO34" i="2" s="1"/>
  <c r="AM107" i="2"/>
  <c r="AL107" i="2"/>
  <c r="AK107" i="2"/>
  <c r="AJ107" i="2"/>
  <c r="AH107" i="2"/>
  <c r="AG107" i="2"/>
  <c r="AF107" i="2"/>
  <c r="AE107" i="2"/>
  <c r="AD107" i="2"/>
  <c r="AC107" i="2"/>
  <c r="AB107" i="2"/>
  <c r="AA107" i="2"/>
  <c r="Z107" i="2"/>
  <c r="Y107" i="2"/>
  <c r="X107" i="2"/>
  <c r="V107" i="2"/>
  <c r="U107" i="2"/>
  <c r="T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BJ100" i="2"/>
  <c r="BI100" i="2"/>
  <c r="BF100" i="2"/>
  <c r="BE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N100" i="2"/>
  <c r="AM100" i="2"/>
  <c r="AK100" i="2"/>
  <c r="AH100" i="2"/>
  <c r="AG100" i="2"/>
  <c r="Z100" i="2"/>
  <c r="Y100" i="2"/>
  <c r="X100" i="2"/>
  <c r="V100" i="2"/>
  <c r="T100" i="2"/>
  <c r="R100" i="2"/>
  <c r="Q100" i="2"/>
  <c r="P100" i="2"/>
  <c r="N100" i="2"/>
  <c r="M100" i="2"/>
  <c r="L100" i="2"/>
  <c r="J100" i="2"/>
  <c r="I100" i="2"/>
  <c r="H100" i="2"/>
  <c r="F100" i="2"/>
  <c r="E100" i="2"/>
  <c r="D100" i="2"/>
  <c r="CQ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H95" i="2"/>
  <c r="AG95" i="2"/>
  <c r="AF95" i="2"/>
  <c r="AD95" i="2"/>
  <c r="AC95" i="2"/>
  <c r="AB95" i="2"/>
  <c r="Z95" i="2"/>
  <c r="Y95" i="2"/>
  <c r="X95" i="2"/>
  <c r="V95" i="2"/>
  <c r="T95" i="2"/>
  <c r="R95" i="2"/>
  <c r="Q95" i="2"/>
  <c r="P95" i="2"/>
  <c r="N95" i="2"/>
  <c r="M95" i="2"/>
  <c r="L95" i="2"/>
  <c r="J95" i="2"/>
  <c r="I95" i="2"/>
  <c r="H95" i="2"/>
  <c r="F95" i="2"/>
  <c r="E95" i="2"/>
  <c r="D95" i="2"/>
  <c r="BN94" i="2"/>
  <c r="BO94" i="2" s="1"/>
  <c r="BQ94" i="2" s="1"/>
  <c r="BR94" i="2" s="1"/>
  <c r="BS94" i="2" s="1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H93" i="2"/>
  <c r="AG93" i="2"/>
  <c r="AF93" i="2"/>
  <c r="AD93" i="2"/>
  <c r="AC93" i="2"/>
  <c r="AB93" i="2"/>
  <c r="Z93" i="2"/>
  <c r="Y93" i="2"/>
  <c r="X93" i="2"/>
  <c r="V93" i="2"/>
  <c r="T93" i="2"/>
  <c r="R93" i="2"/>
  <c r="Q93" i="2"/>
  <c r="P93" i="2"/>
  <c r="N93" i="2"/>
  <c r="M93" i="2"/>
  <c r="L93" i="2"/>
  <c r="J93" i="2"/>
  <c r="I93" i="2"/>
  <c r="H93" i="2"/>
  <c r="F93" i="2"/>
  <c r="E93" i="2"/>
  <c r="D93" i="2"/>
  <c r="DC92" i="2"/>
  <c r="DB92" i="2"/>
  <c r="DA92" i="2"/>
  <c r="CZ92" i="2"/>
  <c r="CY92" i="2"/>
  <c r="CX92" i="2"/>
  <c r="CW92" i="2"/>
  <c r="CV92" i="2"/>
  <c r="CU92" i="2"/>
  <c r="CT92" i="2"/>
  <c r="CS92" i="2"/>
  <c r="CR92" i="2"/>
  <c r="CL92" i="2"/>
  <c r="CK92" i="2"/>
  <c r="CJ92" i="2"/>
  <c r="CI92" i="2"/>
  <c r="CH92" i="2"/>
  <c r="CG92" i="2"/>
  <c r="CF92" i="2"/>
  <c r="CE92" i="2"/>
  <c r="CD92" i="2"/>
  <c r="CC92" i="2"/>
  <c r="CB92" i="2"/>
  <c r="CA92" i="2"/>
  <c r="BZ92" i="2"/>
  <c r="BY92" i="2"/>
  <c r="DC91" i="2"/>
  <c r="DB91" i="2"/>
  <c r="DA91" i="2"/>
  <c r="CZ91" i="2"/>
  <c r="CY91" i="2"/>
  <c r="CX91" i="2"/>
  <c r="CV91" i="2"/>
  <c r="CU91" i="2"/>
  <c r="CS91" i="2"/>
  <c r="CR91" i="2"/>
  <c r="CL91" i="2"/>
  <c r="CK91" i="2"/>
  <c r="CJ91" i="2"/>
  <c r="CI91" i="2"/>
  <c r="CH91" i="2"/>
  <c r="CG91" i="2"/>
  <c r="CE91" i="2"/>
  <c r="CD91" i="2"/>
  <c r="CB91" i="2"/>
  <c r="CA91" i="2"/>
  <c r="BZ91" i="2"/>
  <c r="BY91" i="2"/>
  <c r="BN91" i="2"/>
  <c r="BO91" i="2" s="1"/>
  <c r="BP91" i="2" s="1"/>
  <c r="BQ91" i="2" s="1"/>
  <c r="CM91" i="2"/>
  <c r="AI91" i="2"/>
  <c r="CW91" i="2" s="1"/>
  <c r="U91" i="2"/>
  <c r="CC91" i="2" s="1"/>
  <c r="DC90" i="2"/>
  <c r="DB90" i="2"/>
  <c r="DA90" i="2"/>
  <c r="CZ90" i="2"/>
  <c r="CY90" i="2"/>
  <c r="CX90" i="2"/>
  <c r="CW90" i="2"/>
  <c r="CV90" i="2"/>
  <c r="CU90" i="2"/>
  <c r="CT90" i="2"/>
  <c r="CS90" i="2"/>
  <c r="CR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CM90" i="2"/>
  <c r="DC88" i="2"/>
  <c r="DB88" i="2"/>
  <c r="DA88" i="2"/>
  <c r="CZ88" i="2"/>
  <c r="CY88" i="2"/>
  <c r="CX88" i="2"/>
  <c r="CL88" i="2"/>
  <c r="CK88" i="2"/>
  <c r="CJ88" i="2"/>
  <c r="CI88" i="2"/>
  <c r="CH88" i="2"/>
  <c r="CG88" i="2"/>
  <c r="AI88" i="2"/>
  <c r="AE88" i="2"/>
  <c r="AE93" i="2" s="1"/>
  <c r="AA88" i="2"/>
  <c r="W88" i="2"/>
  <c r="W93" i="2" s="1"/>
  <c r="S88" i="2"/>
  <c r="O88" i="2"/>
  <c r="O93" i="2" s="1"/>
  <c r="K88" i="2"/>
  <c r="G88" i="2"/>
  <c r="G93" i="2" s="1"/>
  <c r="DA78" i="2"/>
  <c r="CZ78" i="2"/>
  <c r="CT78" i="2"/>
  <c r="CS78" i="2"/>
  <c r="CR78" i="2"/>
  <c r="CK78" i="2"/>
  <c r="CJ78" i="2"/>
  <c r="CI78" i="2"/>
  <c r="CD78" i="2"/>
  <c r="CC78" i="2"/>
  <c r="CB78" i="2"/>
  <c r="CA78" i="2"/>
  <c r="BZ78" i="2"/>
  <c r="BY78" i="2"/>
  <c r="BH78" i="2"/>
  <c r="BH100" i="2" s="1"/>
  <c r="BD78" i="2"/>
  <c r="CL78" i="2" s="1"/>
  <c r="AO78" i="2"/>
  <c r="CY78" i="2" s="1"/>
  <c r="AN78" i="2"/>
  <c r="CH78" i="2" s="1"/>
  <c r="AL78" i="2"/>
  <c r="AL100" i="2" s="1"/>
  <c r="AI78" i="2"/>
  <c r="CW78" i="2" s="1"/>
  <c r="AH78" i="2"/>
  <c r="AG78" i="2"/>
  <c r="AF78" i="2"/>
  <c r="CF78" i="2" s="1"/>
  <c r="AE78" i="2"/>
  <c r="CV78" i="2" s="1"/>
  <c r="AB78" i="2"/>
  <c r="CU78" i="2" s="1"/>
  <c r="DA76" i="2"/>
  <c r="CZ76" i="2"/>
  <c r="CX76" i="2"/>
  <c r="CK76" i="2"/>
  <c r="CJ76" i="2"/>
  <c r="CI76" i="2"/>
  <c r="CG76" i="2"/>
  <c r="DD76" i="2"/>
  <c r="BH76" i="2"/>
  <c r="CM76" i="2" s="1"/>
  <c r="BD76" i="2"/>
  <c r="DB76" i="2" s="1"/>
  <c r="AO76" i="2"/>
  <c r="AO73" i="2" s="1"/>
  <c r="AN76" i="2"/>
  <c r="CH76" i="2" s="1"/>
  <c r="AI76" i="2"/>
  <c r="CW76" i="2" s="1"/>
  <c r="AE76" i="2"/>
  <c r="CV76" i="2" s="1"/>
  <c r="AA76" i="2"/>
  <c r="CU76" i="2" s="1"/>
  <c r="W76" i="2"/>
  <c r="CC76" i="2" s="1"/>
  <c r="S76" i="2"/>
  <c r="CS76" i="2" s="1"/>
  <c r="O76" i="2"/>
  <c r="K76" i="2"/>
  <c r="BZ76" i="2" s="1"/>
  <c r="G76" i="2"/>
  <c r="BY76" i="2" s="1"/>
  <c r="DC75" i="2"/>
  <c r="DB75" i="2"/>
  <c r="DA75" i="2"/>
  <c r="CZ75" i="2"/>
  <c r="CY75" i="2"/>
  <c r="CX75" i="2"/>
  <c r="CL75" i="2"/>
  <c r="CK75" i="2"/>
  <c r="CJ75" i="2"/>
  <c r="CI75" i="2"/>
  <c r="CH75" i="2"/>
  <c r="CG75" i="2"/>
  <c r="AI75" i="2"/>
  <c r="AE75" i="2"/>
  <c r="AA75" i="2"/>
  <c r="W75" i="2"/>
  <c r="CT75" i="2" s="1"/>
  <c r="S75" i="2"/>
  <c r="O75" i="2"/>
  <c r="CA75" i="2" s="1"/>
  <c r="K75" i="2"/>
  <c r="BZ75" i="2" s="1"/>
  <c r="G75" i="2"/>
  <c r="DC74" i="2"/>
  <c r="DB74" i="2"/>
  <c r="DA74" i="2"/>
  <c r="CZ74" i="2"/>
  <c r="CY74" i="2"/>
  <c r="CX74" i="2"/>
  <c r="CL74" i="2"/>
  <c r="CK74" i="2"/>
  <c r="CJ74" i="2"/>
  <c r="CJ73" i="2" s="1"/>
  <c r="CI74" i="2"/>
  <c r="CH74" i="2"/>
  <c r="CG74" i="2"/>
  <c r="CM74" i="2"/>
  <c r="AI74" i="2"/>
  <c r="AE74" i="2"/>
  <c r="CV74" i="2" s="1"/>
  <c r="AA74" i="2"/>
  <c r="W74" i="2"/>
  <c r="CT74" i="2" s="1"/>
  <c r="S74" i="2"/>
  <c r="O74" i="2"/>
  <c r="CR74" i="2" s="1"/>
  <c r="K74" i="2"/>
  <c r="G74" i="2"/>
  <c r="BY74" i="2" s="1"/>
  <c r="BJ73" i="2"/>
  <c r="BJ79" i="2" s="1"/>
  <c r="BI73" i="2"/>
  <c r="BH73" i="2"/>
  <c r="BG73" i="2"/>
  <c r="BF73" i="2"/>
  <c r="BF79" i="2" s="1"/>
  <c r="BE73" i="2"/>
  <c r="BC73" i="2"/>
  <c r="BB73" i="2"/>
  <c r="BB79" i="2" s="1"/>
  <c r="BA73" i="2"/>
  <c r="AZ73" i="2"/>
  <c r="AZ79" i="2" s="1"/>
  <c r="AY73" i="2"/>
  <c r="AX73" i="2"/>
  <c r="AX79" i="2" s="1"/>
  <c r="AW73" i="2"/>
  <c r="AV73" i="2"/>
  <c r="AV79" i="2" s="1"/>
  <c r="AU73" i="2"/>
  <c r="AT73" i="2"/>
  <c r="AT79" i="2" s="1"/>
  <c r="AS73" i="2"/>
  <c r="AR73" i="2"/>
  <c r="AR79" i="2" s="1"/>
  <c r="AQ73" i="2"/>
  <c r="AP73" i="2"/>
  <c r="AP79" i="2" s="1"/>
  <c r="AN73" i="2"/>
  <c r="AN79" i="2" s="1"/>
  <c r="AM73" i="2"/>
  <c r="AL73" i="2"/>
  <c r="AL79" i="2" s="1"/>
  <c r="AK73" i="2"/>
  <c r="AJ73" i="2"/>
  <c r="AJ79" i="2" s="1"/>
  <c r="AH73" i="2"/>
  <c r="AH79" i="2" s="1"/>
  <c r="AG73" i="2"/>
  <c r="AF73" i="2"/>
  <c r="AD73" i="2"/>
  <c r="AD79" i="2" s="1"/>
  <c r="AC73" i="2"/>
  <c r="AB73" i="2"/>
  <c r="AB79" i="2" s="1"/>
  <c r="Z73" i="2"/>
  <c r="Z79" i="2" s="1"/>
  <c r="Y73" i="2"/>
  <c r="X73" i="2"/>
  <c r="X79" i="2" s="1"/>
  <c r="V73" i="2"/>
  <c r="V79" i="2" s="1"/>
  <c r="U73" i="2"/>
  <c r="T73" i="2"/>
  <c r="T79" i="2" s="1"/>
  <c r="R73" i="2"/>
  <c r="R79" i="2" s="1"/>
  <c r="Q73" i="2"/>
  <c r="P73" i="2"/>
  <c r="P79" i="2" s="1"/>
  <c r="N73" i="2"/>
  <c r="N79" i="2" s="1"/>
  <c r="M73" i="2"/>
  <c r="L73" i="2"/>
  <c r="L79" i="2" s="1"/>
  <c r="J73" i="2"/>
  <c r="J79" i="2" s="1"/>
  <c r="I73" i="2"/>
  <c r="H73" i="2"/>
  <c r="H79" i="2" s="1"/>
  <c r="F73" i="2"/>
  <c r="F79" i="2" s="1"/>
  <c r="E73" i="2"/>
  <c r="D73" i="2"/>
  <c r="D79" i="2" s="1"/>
  <c r="DE59" i="2"/>
  <c r="DD59" i="2"/>
  <c r="DC59" i="2"/>
  <c r="DB59" i="2"/>
  <c r="DA59" i="2"/>
  <c r="CZ59" i="2"/>
  <c r="CY59" i="2"/>
  <c r="CX59" i="2"/>
  <c r="CW59" i="2"/>
  <c r="CV59" i="2"/>
  <c r="CU59" i="2"/>
  <c r="CT59" i="2"/>
  <c r="CR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A59" i="2"/>
  <c r="BZ59" i="2"/>
  <c r="BY59" i="2"/>
  <c r="S59" i="2"/>
  <c r="CB59" i="2" s="1"/>
  <c r="DC58" i="2"/>
  <c r="DB58" i="2"/>
  <c r="DA58" i="2"/>
  <c r="CZ58" i="2"/>
  <c r="CY58" i="2"/>
  <c r="CX58" i="2"/>
  <c r="CW58" i="2"/>
  <c r="CV58" i="2"/>
  <c r="CU58" i="2"/>
  <c r="CT58" i="2"/>
  <c r="CR58" i="2"/>
  <c r="CL58" i="2"/>
  <c r="CK58" i="2"/>
  <c r="CJ58" i="2"/>
  <c r="CI58" i="2"/>
  <c r="CH58" i="2"/>
  <c r="CG58" i="2"/>
  <c r="CF58" i="2"/>
  <c r="CE58" i="2"/>
  <c r="CD58" i="2"/>
  <c r="CC58" i="2"/>
  <c r="CA58" i="2"/>
  <c r="BZ58" i="2"/>
  <c r="BY58" i="2"/>
  <c r="S58" i="2"/>
  <c r="CW57" i="2"/>
  <c r="CV57" i="2"/>
  <c r="CU57" i="2"/>
  <c r="CT57" i="2"/>
  <c r="CR57" i="2"/>
  <c r="CM57" i="2"/>
  <c r="CF57" i="2"/>
  <c r="CE57" i="2"/>
  <c r="CD57" i="2"/>
  <c r="CC57" i="2"/>
  <c r="BZ57" i="2"/>
  <c r="BY57" i="2"/>
  <c r="DD57" i="2"/>
  <c r="BG57" i="2"/>
  <c r="BE57" i="2"/>
  <c r="DC57" i="2" s="1"/>
  <c r="BC57" i="2"/>
  <c r="DB57" i="2" s="1"/>
  <c r="BB57" i="2"/>
  <c r="BA57" i="2"/>
  <c r="AZ57" i="2"/>
  <c r="CK57" i="2" s="1"/>
  <c r="AX57" i="2"/>
  <c r="CJ57" i="2" s="1"/>
  <c r="AW57" i="2"/>
  <c r="DA57" i="2" s="1"/>
  <c r="AU57" i="2"/>
  <c r="AT57" i="2"/>
  <c r="AS57" i="2"/>
  <c r="AR57" i="2"/>
  <c r="AQ57" i="2"/>
  <c r="AP57" i="2"/>
  <c r="AO57" i="2"/>
  <c r="AN57" i="2"/>
  <c r="CH57" i="2" s="1"/>
  <c r="AM57" i="2"/>
  <c r="AL57" i="2"/>
  <c r="AK57" i="2"/>
  <c r="CX57" i="2" s="1"/>
  <c r="AJ57" i="2"/>
  <c r="CG57" i="2" s="1"/>
  <c r="S57" i="2"/>
  <c r="DC56" i="2"/>
  <c r="DB56" i="2"/>
  <c r="DA56" i="2"/>
  <c r="CZ56" i="2"/>
  <c r="CY56" i="2"/>
  <c r="CX56" i="2"/>
  <c r="CW56" i="2"/>
  <c r="CV56" i="2"/>
  <c r="CU56" i="2"/>
  <c r="CT56" i="2"/>
  <c r="CR56" i="2"/>
  <c r="CM56" i="2"/>
  <c r="CL56" i="2"/>
  <c r="CK56" i="2"/>
  <c r="CJ56" i="2"/>
  <c r="CI56" i="2"/>
  <c r="CH56" i="2"/>
  <c r="CG56" i="2"/>
  <c r="CF56" i="2"/>
  <c r="CE56" i="2"/>
  <c r="CD56" i="2"/>
  <c r="CC56" i="2"/>
  <c r="CA56" i="2"/>
  <c r="BZ56" i="2"/>
  <c r="BY56" i="2"/>
  <c r="S56" i="2"/>
  <c r="DC55" i="2"/>
  <c r="DA55" i="2"/>
  <c r="CZ55" i="2"/>
  <c r="CY55" i="2"/>
  <c r="CX55" i="2"/>
  <c r="CM55" i="2"/>
  <c r="CL55" i="2"/>
  <c r="CJ55" i="2"/>
  <c r="CI55" i="2"/>
  <c r="CH55" i="2"/>
  <c r="BC55" i="2"/>
  <c r="DB55" i="2" s="1"/>
  <c r="AI55" i="2"/>
  <c r="AJ55" i="2" s="1"/>
  <c r="AJ100" i="2" s="1"/>
  <c r="AE55" i="2"/>
  <c r="AA55" i="2"/>
  <c r="CU55" i="2" s="1"/>
  <c r="W55" i="2"/>
  <c r="W53" i="2" s="1"/>
  <c r="S55" i="2"/>
  <c r="CS55" i="2" s="1"/>
  <c r="O55" i="2"/>
  <c r="CA55" i="2" s="1"/>
  <c r="K55" i="2"/>
  <c r="G55" i="2"/>
  <c r="BY55" i="2" s="1"/>
  <c r="DD54" i="2"/>
  <c r="DC54" i="2"/>
  <c r="DA54" i="2"/>
  <c r="CZ54" i="2"/>
  <c r="CY54" i="2"/>
  <c r="CY53" i="2" s="1"/>
  <c r="CX54" i="2"/>
  <c r="CT54" i="2"/>
  <c r="CM54" i="2"/>
  <c r="CL54" i="2"/>
  <c r="CJ54" i="2"/>
  <c r="CI54" i="2"/>
  <c r="CH54" i="2"/>
  <c r="CG54" i="2"/>
  <c r="CC54" i="2"/>
  <c r="BQ54" i="2"/>
  <c r="BC54" i="2"/>
  <c r="DB54" i="2" s="1"/>
  <c r="AI54" i="2"/>
  <c r="AE54" i="2"/>
  <c r="CV54" i="2" s="1"/>
  <c r="AA54" i="2"/>
  <c r="S54" i="2"/>
  <c r="CS54" i="2" s="1"/>
  <c r="O54" i="2"/>
  <c r="K54" i="2"/>
  <c r="G54" i="2"/>
  <c r="BJ53" i="2"/>
  <c r="BJ137" i="2" s="1"/>
  <c r="BI53" i="2"/>
  <c r="BH53" i="2"/>
  <c r="BH137" i="2" s="1"/>
  <c r="BG53" i="2"/>
  <c r="BG137" i="2" s="1"/>
  <c r="BF53" i="2"/>
  <c r="BF137" i="2" s="1"/>
  <c r="BE53" i="2"/>
  <c r="BD53" i="2"/>
  <c r="BB53" i="2"/>
  <c r="BB137" i="2" s="1"/>
  <c r="BA53" i="2"/>
  <c r="AZ53" i="2"/>
  <c r="AZ137" i="2" s="1"/>
  <c r="AY53" i="2"/>
  <c r="AY137" i="2" s="1"/>
  <c r="AX53" i="2"/>
  <c r="AX137" i="2" s="1"/>
  <c r="AW53" i="2"/>
  <c r="AV53" i="2"/>
  <c r="AV137" i="2" s="1"/>
  <c r="AU53" i="2"/>
  <c r="AU137" i="2" s="1"/>
  <c r="AT53" i="2"/>
  <c r="AT137" i="2" s="1"/>
  <c r="AS53" i="2"/>
  <c r="AR53" i="2"/>
  <c r="AR137" i="2" s="1"/>
  <c r="AQ53" i="2"/>
  <c r="AQ137" i="2" s="1"/>
  <c r="AP53" i="2"/>
  <c r="AP137" i="2" s="1"/>
  <c r="AO53" i="2"/>
  <c r="AN53" i="2"/>
  <c r="AN137" i="2" s="1"/>
  <c r="AM53" i="2"/>
  <c r="AM137" i="2" s="1"/>
  <c r="AL53" i="2"/>
  <c r="AL137" i="2" s="1"/>
  <c r="AK53" i="2"/>
  <c r="AH53" i="2"/>
  <c r="AH137" i="2" s="1"/>
  <c r="AG53" i="2"/>
  <c r="AF53" i="2"/>
  <c r="AF137" i="2" s="1"/>
  <c r="AD53" i="2"/>
  <c r="AD137" i="2" s="1"/>
  <c r="AC53" i="2"/>
  <c r="AB53" i="2"/>
  <c r="AB137" i="2" s="1"/>
  <c r="Z53" i="2"/>
  <c r="Z137" i="2" s="1"/>
  <c r="Y53" i="2"/>
  <c r="X53" i="2"/>
  <c r="X137" i="2" s="1"/>
  <c r="V53" i="2"/>
  <c r="V137" i="2" s="1"/>
  <c r="U53" i="2"/>
  <c r="T53" i="2"/>
  <c r="T137" i="2" s="1"/>
  <c r="R53" i="2"/>
  <c r="R137" i="2" s="1"/>
  <c r="Q53" i="2"/>
  <c r="P53" i="2"/>
  <c r="P137" i="2" s="1"/>
  <c r="N53" i="2"/>
  <c r="N137" i="2" s="1"/>
  <c r="M53" i="2"/>
  <c r="L53" i="2"/>
  <c r="L137" i="2" s="1"/>
  <c r="J53" i="2"/>
  <c r="J137" i="2" s="1"/>
  <c r="I53" i="2"/>
  <c r="H53" i="2"/>
  <c r="H137" i="2" s="1"/>
  <c r="F53" i="2"/>
  <c r="F137" i="2" s="1"/>
  <c r="E53" i="2"/>
  <c r="D53" i="2"/>
  <c r="D137" i="2" s="1"/>
  <c r="BJ50" i="2"/>
  <c r="BI50" i="2"/>
  <c r="BF50" i="2"/>
  <c r="BE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H50" i="2"/>
  <c r="AG50" i="2"/>
  <c r="AF50" i="2"/>
  <c r="Z50" i="2"/>
  <c r="Y50" i="2"/>
  <c r="X50" i="2"/>
  <c r="V50" i="2"/>
  <c r="U50" i="2"/>
  <c r="T50" i="2"/>
  <c r="R50" i="2"/>
  <c r="Q50" i="2"/>
  <c r="P50" i="2"/>
  <c r="N50" i="2"/>
  <c r="M50" i="2"/>
  <c r="L50" i="2"/>
  <c r="J50" i="2"/>
  <c r="I50" i="2"/>
  <c r="H50" i="2"/>
  <c r="F50" i="2"/>
  <c r="E50" i="2"/>
  <c r="D50" i="2"/>
  <c r="BJ48" i="2"/>
  <c r="BI48" i="2"/>
  <c r="BH48" i="2"/>
  <c r="BE48" i="2"/>
  <c r="BB48" i="2"/>
  <c r="BA48" i="2"/>
  <c r="AZ48" i="2"/>
  <c r="AY48" i="2"/>
  <c r="AX48" i="2"/>
  <c r="AW48" i="2"/>
  <c r="AV48" i="2"/>
  <c r="AT48" i="2"/>
  <c r="AS48" i="2"/>
  <c r="AR48" i="2"/>
  <c r="AQ48" i="2"/>
  <c r="AP48" i="2"/>
  <c r="AN48" i="2"/>
  <c r="AM48" i="2"/>
  <c r="AL48" i="2"/>
  <c r="AK48" i="2"/>
  <c r="AJ48" i="2"/>
  <c r="AH48" i="2"/>
  <c r="AG48" i="2"/>
  <c r="AF48" i="2"/>
  <c r="AD48" i="2"/>
  <c r="Z48" i="2"/>
  <c r="Y48" i="2"/>
  <c r="X48" i="2"/>
  <c r="V48" i="2"/>
  <c r="U48" i="2"/>
  <c r="T48" i="2"/>
  <c r="R48" i="2"/>
  <c r="Q48" i="2"/>
  <c r="P48" i="2"/>
  <c r="N48" i="2"/>
  <c r="M48" i="2"/>
  <c r="L48" i="2"/>
  <c r="J48" i="2"/>
  <c r="I48" i="2"/>
  <c r="H48" i="2"/>
  <c r="F48" i="2"/>
  <c r="E48" i="2"/>
  <c r="D48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CM47" i="2"/>
  <c r="DC46" i="2"/>
  <c r="DA46" i="2"/>
  <c r="CZ46" i="2"/>
  <c r="CY46" i="2"/>
  <c r="CX46" i="2"/>
  <c r="CW46" i="2"/>
  <c r="CT46" i="2"/>
  <c r="CS46" i="2"/>
  <c r="CR46" i="2"/>
  <c r="CJ46" i="2"/>
  <c r="CI46" i="2"/>
  <c r="CH46" i="2"/>
  <c r="CG46" i="2"/>
  <c r="CF46" i="2"/>
  <c r="CD46" i="2"/>
  <c r="CC46" i="2"/>
  <c r="CB46" i="2"/>
  <c r="CA46" i="2"/>
  <c r="BZ46" i="2"/>
  <c r="BH46" i="2"/>
  <c r="BH50" i="2" s="1"/>
  <c r="BG46" i="2"/>
  <c r="BG50" i="2" s="1"/>
  <c r="BD46" i="2"/>
  <c r="BD100" i="2" s="1"/>
  <c r="BC46" i="2"/>
  <c r="DB46" i="2" s="1"/>
  <c r="AD46" i="2"/>
  <c r="AD50" i="2" s="1"/>
  <c r="AC46" i="2"/>
  <c r="AC100" i="2" s="1"/>
  <c r="AB46" i="2"/>
  <c r="AB100" i="2" s="1"/>
  <c r="AA46" i="2"/>
  <c r="G46" i="2"/>
  <c r="BY46" i="2" s="1"/>
  <c r="DB45" i="2"/>
  <c r="DA45" i="2"/>
  <c r="CX45" i="2"/>
  <c r="CV45" i="2"/>
  <c r="CU45" i="2"/>
  <c r="CS45" i="2"/>
  <c r="CR45" i="2"/>
  <c r="CM45" i="2"/>
  <c r="CK45" i="2"/>
  <c r="CJ45" i="2"/>
  <c r="CG45" i="2"/>
  <c r="CE45" i="2"/>
  <c r="CD45" i="2"/>
  <c r="CB45" i="2"/>
  <c r="CA45" i="2"/>
  <c r="BZ45" i="2"/>
  <c r="BY45" i="2"/>
  <c r="DD45" i="2"/>
  <c r="BF45" i="2"/>
  <c r="CL45" i="2" s="1"/>
  <c r="AU45" i="2"/>
  <c r="AU48" i="2" s="1"/>
  <c r="AI45" i="2"/>
  <c r="CW45" i="2" s="1"/>
  <c r="W45" i="2"/>
  <c r="BJ43" i="2"/>
  <c r="BI43" i="2"/>
  <c r="BH43" i="2"/>
  <c r="BG43" i="2"/>
  <c r="BF43" i="2"/>
  <c r="BE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H43" i="2"/>
  <c r="AG43" i="2"/>
  <c r="AF43" i="2"/>
  <c r="AD43" i="2"/>
  <c r="AC43" i="2"/>
  <c r="AB43" i="2"/>
  <c r="Z43" i="2"/>
  <c r="Y43" i="2"/>
  <c r="X43" i="2"/>
  <c r="V43" i="2"/>
  <c r="U43" i="2"/>
  <c r="T43" i="2"/>
  <c r="R43" i="2"/>
  <c r="Q43" i="2"/>
  <c r="P43" i="2"/>
  <c r="N43" i="2"/>
  <c r="M43" i="2"/>
  <c r="L43" i="2"/>
  <c r="J43" i="2"/>
  <c r="I43" i="2"/>
  <c r="H43" i="2"/>
  <c r="F43" i="2"/>
  <c r="E43" i="2"/>
  <c r="D43" i="2"/>
  <c r="DC42" i="2"/>
  <c r="DA42" i="2"/>
  <c r="CZ42" i="2"/>
  <c r="CY42" i="2"/>
  <c r="CX42" i="2"/>
  <c r="CL42" i="2"/>
  <c r="CJ42" i="2"/>
  <c r="CI42" i="2"/>
  <c r="CH42" i="2"/>
  <c r="CG42" i="2"/>
  <c r="BD42" i="2"/>
  <c r="BD138" i="2" s="1"/>
  <c r="BC42" i="2"/>
  <c r="BC138" i="2" s="1"/>
  <c r="AI42" i="2"/>
  <c r="AE42" i="2"/>
  <c r="AE50" i="2" s="1"/>
  <c r="AA42" i="2"/>
  <c r="W42" i="2"/>
  <c r="W50" i="2" s="1"/>
  <c r="S42" i="2"/>
  <c r="O42" i="2"/>
  <c r="O50" i="2" s="1"/>
  <c r="K42" i="2"/>
  <c r="G42" i="2"/>
  <c r="G50" i="2" s="1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H39" i="2"/>
  <c r="AG39" i="2"/>
  <c r="AF39" i="2"/>
  <c r="AD39" i="2"/>
  <c r="AC39" i="2"/>
  <c r="AB39" i="2"/>
  <c r="Z39" i="2"/>
  <c r="Y39" i="2"/>
  <c r="X39" i="2"/>
  <c r="V39" i="2"/>
  <c r="U39" i="2"/>
  <c r="T39" i="2"/>
  <c r="R39" i="2"/>
  <c r="Q39" i="2"/>
  <c r="P39" i="2"/>
  <c r="N39" i="2"/>
  <c r="M39" i="2"/>
  <c r="L39" i="2"/>
  <c r="J39" i="2"/>
  <c r="I39" i="2"/>
  <c r="H39" i="2"/>
  <c r="F39" i="2"/>
  <c r="E39" i="2"/>
  <c r="D39" i="2"/>
  <c r="BJ37" i="2"/>
  <c r="BI37" i="2"/>
  <c r="BH37" i="2"/>
  <c r="BG37" i="2"/>
  <c r="BE37" i="2"/>
  <c r="BD37" i="2"/>
  <c r="BC37" i="2"/>
  <c r="BB37" i="2"/>
  <c r="BA37" i="2"/>
  <c r="AZ37" i="2"/>
  <c r="AY37" i="2"/>
  <c r="AX37" i="2"/>
  <c r="AW37" i="2"/>
  <c r="AV37" i="2"/>
  <c r="AT37" i="2"/>
  <c r="AS37" i="2"/>
  <c r="AR37" i="2"/>
  <c r="AQ37" i="2"/>
  <c r="AP37" i="2"/>
  <c r="AN37" i="2"/>
  <c r="AM37" i="2"/>
  <c r="AL37" i="2"/>
  <c r="AK37" i="2"/>
  <c r="AJ37" i="2"/>
  <c r="AH37" i="2"/>
  <c r="AG37" i="2"/>
  <c r="AF37" i="2"/>
  <c r="AD37" i="2"/>
  <c r="AC37" i="2"/>
  <c r="AB37" i="2"/>
  <c r="Z37" i="2"/>
  <c r="Y37" i="2"/>
  <c r="X37" i="2"/>
  <c r="V37" i="2"/>
  <c r="U37" i="2"/>
  <c r="T37" i="2"/>
  <c r="R37" i="2"/>
  <c r="Q37" i="2"/>
  <c r="P37" i="2"/>
  <c r="N37" i="2"/>
  <c r="M37" i="2"/>
  <c r="L37" i="2"/>
  <c r="J37" i="2"/>
  <c r="I37" i="2"/>
  <c r="H37" i="2"/>
  <c r="F37" i="2"/>
  <c r="E37" i="2"/>
  <c r="D37" i="2"/>
  <c r="DC36" i="2"/>
  <c r="DB36" i="2"/>
  <c r="DA36" i="2"/>
  <c r="CZ36" i="2"/>
  <c r="CY36" i="2"/>
  <c r="CX36" i="2"/>
  <c r="CW36" i="2"/>
  <c r="CV36" i="2"/>
  <c r="CU36" i="2"/>
  <c r="CT36" i="2"/>
  <c r="CS36" i="2"/>
  <c r="CR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DB34" i="2"/>
  <c r="DA34" i="2"/>
  <c r="CX34" i="2"/>
  <c r="CV34" i="2"/>
  <c r="CU34" i="2"/>
  <c r="CS34" i="2"/>
  <c r="CR34" i="2"/>
  <c r="CM34" i="2"/>
  <c r="CK34" i="2"/>
  <c r="CJ34" i="2"/>
  <c r="CG34" i="2"/>
  <c r="CE34" i="2"/>
  <c r="CD34" i="2"/>
  <c r="CB34" i="2"/>
  <c r="CA34" i="2"/>
  <c r="BZ34" i="2"/>
  <c r="BY34" i="2"/>
  <c r="DD34" i="2"/>
  <c r="BF34" i="2"/>
  <c r="BF37" i="2" s="1"/>
  <c r="AU34" i="2"/>
  <c r="AI34" i="2"/>
  <c r="CF34" i="2" s="1"/>
  <c r="W34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H32" i="2"/>
  <c r="AG32" i="2"/>
  <c r="AF32" i="2"/>
  <c r="AD32" i="2"/>
  <c r="AC32" i="2"/>
  <c r="AB32" i="2"/>
  <c r="Z32" i="2"/>
  <c r="Y32" i="2"/>
  <c r="X32" i="2"/>
  <c r="V32" i="2"/>
  <c r="U32" i="2"/>
  <c r="T32" i="2"/>
  <c r="R32" i="2"/>
  <c r="Q32" i="2"/>
  <c r="P32" i="2"/>
  <c r="N32" i="2"/>
  <c r="M32" i="2"/>
  <c r="L32" i="2"/>
  <c r="J32" i="2"/>
  <c r="I32" i="2"/>
  <c r="H32" i="2"/>
  <c r="F32" i="2"/>
  <c r="E32" i="2"/>
  <c r="D32" i="2"/>
  <c r="DC31" i="2"/>
  <c r="DB31" i="2"/>
  <c r="DA31" i="2"/>
  <c r="CZ31" i="2"/>
  <c r="CY31" i="2"/>
  <c r="CX31" i="2"/>
  <c r="CL31" i="2"/>
  <c r="CK31" i="2"/>
  <c r="CJ31" i="2"/>
  <c r="CI31" i="2"/>
  <c r="CH31" i="2"/>
  <c r="CG31" i="2"/>
  <c r="AI31" i="2"/>
  <c r="AE31" i="2"/>
  <c r="AE37" i="2" s="1"/>
  <c r="AA31" i="2"/>
  <c r="W31" i="2"/>
  <c r="W39" i="2" s="1"/>
  <c r="S31" i="2"/>
  <c r="O31" i="2"/>
  <c r="O37" i="2" s="1"/>
  <c r="K31" i="2"/>
  <c r="G31" i="2"/>
  <c r="BJ24" i="2"/>
  <c r="BJ84" i="17" s="1"/>
  <c r="BI24" i="2"/>
  <c r="BH24" i="2"/>
  <c r="BH84" i="17" s="1"/>
  <c r="BH58" i="17" s="1"/>
  <c r="BG24" i="2"/>
  <c r="BF24" i="2"/>
  <c r="BF84" i="17" s="1"/>
  <c r="BE24" i="2"/>
  <c r="BD24" i="2"/>
  <c r="BD84" i="17" s="1"/>
  <c r="BC24" i="2"/>
  <c r="BB24" i="2"/>
  <c r="BB84" i="17" s="1"/>
  <c r="BA24" i="2"/>
  <c r="AZ24" i="2"/>
  <c r="AZ84" i="17" s="1"/>
  <c r="AY24" i="2"/>
  <c r="AX24" i="2"/>
  <c r="AX84" i="17" s="1"/>
  <c r="AW24" i="2"/>
  <c r="AV24" i="2"/>
  <c r="AV84" i="17" s="1"/>
  <c r="AU24" i="2"/>
  <c r="AU25" i="2" s="1"/>
  <c r="AT24" i="2"/>
  <c r="AT25" i="2" s="1"/>
  <c r="AS24" i="2"/>
  <c r="AS25" i="2" s="1"/>
  <c r="AR24" i="2"/>
  <c r="AR25" i="2" s="1"/>
  <c r="AQ24" i="2"/>
  <c r="AQ25" i="2" s="1"/>
  <c r="AP24" i="2"/>
  <c r="AP25" i="2" s="1"/>
  <c r="AO24" i="2"/>
  <c r="AO25" i="2" s="1"/>
  <c r="AN24" i="2"/>
  <c r="AN25" i="2" s="1"/>
  <c r="AM24" i="2"/>
  <c r="AM25" i="2" s="1"/>
  <c r="AL24" i="2"/>
  <c r="AL25" i="2" s="1"/>
  <c r="AK24" i="2"/>
  <c r="AK25" i="2" s="1"/>
  <c r="AJ24" i="2"/>
  <c r="AJ25" i="2" s="1"/>
  <c r="AH24" i="2"/>
  <c r="AH25" i="2" s="1"/>
  <c r="AG24" i="2"/>
  <c r="AG25" i="2" s="1"/>
  <c r="AF24" i="2"/>
  <c r="AD24" i="2"/>
  <c r="AD25" i="2" s="1"/>
  <c r="AC24" i="2"/>
  <c r="AC25" i="2" s="1"/>
  <c r="AB24" i="2"/>
  <c r="AB25" i="2" s="1"/>
  <c r="Z24" i="2"/>
  <c r="Z25" i="2" s="1"/>
  <c r="Y24" i="2"/>
  <c r="Y25" i="2" s="1"/>
  <c r="X24" i="2"/>
  <c r="V24" i="2"/>
  <c r="V25" i="2" s="1"/>
  <c r="U24" i="2"/>
  <c r="U25" i="2" s="1"/>
  <c r="T24" i="2"/>
  <c r="T25" i="2" s="1"/>
  <c r="R24" i="2"/>
  <c r="R25" i="2" s="1"/>
  <c r="Q24" i="2"/>
  <c r="Q25" i="2" s="1"/>
  <c r="P24" i="2"/>
  <c r="N24" i="2"/>
  <c r="N25" i="2" s="1"/>
  <c r="M24" i="2"/>
  <c r="M25" i="2" s="1"/>
  <c r="L24" i="2"/>
  <c r="L25" i="2" s="1"/>
  <c r="J24" i="2"/>
  <c r="J25" i="2" s="1"/>
  <c r="I24" i="2"/>
  <c r="I25" i="2" s="1"/>
  <c r="H24" i="2"/>
  <c r="H25" i="2" s="1"/>
  <c r="F24" i="2"/>
  <c r="F25" i="2" s="1"/>
  <c r="E24" i="2"/>
  <c r="E25" i="2" s="1"/>
  <c r="D24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H21" i="2"/>
  <c r="AG21" i="2"/>
  <c r="AF21" i="2"/>
  <c r="AD21" i="2"/>
  <c r="AC21" i="2"/>
  <c r="AB21" i="2"/>
  <c r="Z21" i="2"/>
  <c r="Y21" i="2"/>
  <c r="X21" i="2"/>
  <c r="V21" i="2"/>
  <c r="U21" i="2"/>
  <c r="T21" i="2"/>
  <c r="R21" i="2"/>
  <c r="Q21" i="2"/>
  <c r="P21" i="2"/>
  <c r="N21" i="2"/>
  <c r="M21" i="2"/>
  <c r="L21" i="2"/>
  <c r="J21" i="2"/>
  <c r="I21" i="2"/>
  <c r="H21" i="2"/>
  <c r="F21" i="2"/>
  <c r="E21" i="2"/>
  <c r="D21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H19" i="2"/>
  <c r="AG19" i="2"/>
  <c r="AF19" i="2"/>
  <c r="AD19" i="2"/>
  <c r="AC19" i="2"/>
  <c r="AB19" i="2"/>
  <c r="Z19" i="2"/>
  <c r="Y19" i="2"/>
  <c r="X19" i="2"/>
  <c r="V19" i="2"/>
  <c r="U19" i="2"/>
  <c r="T19" i="2"/>
  <c r="R19" i="2"/>
  <c r="Q19" i="2"/>
  <c r="P19" i="2"/>
  <c r="N19" i="2"/>
  <c r="M19" i="2"/>
  <c r="L19" i="2"/>
  <c r="J19" i="2"/>
  <c r="I19" i="2"/>
  <c r="H19" i="2"/>
  <c r="F19" i="2"/>
  <c r="E19" i="2"/>
  <c r="D19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CM17" i="2"/>
  <c r="DC16" i="2"/>
  <c r="DB16" i="2"/>
  <c r="DA16" i="2"/>
  <c r="CZ16" i="2"/>
  <c r="CY16" i="2"/>
  <c r="CX16" i="2"/>
  <c r="CV16" i="2"/>
  <c r="CU16" i="2"/>
  <c r="CS16" i="2"/>
  <c r="CR16" i="2"/>
  <c r="CM16" i="2"/>
  <c r="CL16" i="2"/>
  <c r="CK16" i="2"/>
  <c r="CJ16" i="2"/>
  <c r="CI16" i="2"/>
  <c r="CH16" i="2"/>
  <c r="CG16" i="2"/>
  <c r="CE16" i="2"/>
  <c r="CD16" i="2"/>
  <c r="CB16" i="2"/>
  <c r="CA16" i="2"/>
  <c r="BZ16" i="2"/>
  <c r="BY16" i="2"/>
  <c r="BX16" i="2"/>
  <c r="AI16" i="2"/>
  <c r="W16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H15" i="2"/>
  <c r="AG15" i="2"/>
  <c r="AF15" i="2"/>
  <c r="AD15" i="2"/>
  <c r="AC15" i="2"/>
  <c r="AB15" i="2"/>
  <c r="Z15" i="2"/>
  <c r="Y15" i="2"/>
  <c r="X15" i="2"/>
  <c r="V15" i="2"/>
  <c r="U15" i="2"/>
  <c r="T15" i="2"/>
  <c r="R15" i="2"/>
  <c r="Q15" i="2"/>
  <c r="P15" i="2"/>
  <c r="N15" i="2"/>
  <c r="M15" i="2"/>
  <c r="L15" i="2"/>
  <c r="J15" i="2"/>
  <c r="I15" i="2"/>
  <c r="H15" i="2"/>
  <c r="F15" i="2"/>
  <c r="E15" i="2"/>
  <c r="D15" i="2"/>
  <c r="DC14" i="2"/>
  <c r="DB14" i="2"/>
  <c r="DA14" i="2"/>
  <c r="CZ14" i="2"/>
  <c r="CY14" i="2"/>
  <c r="CX14" i="2"/>
  <c r="CL14" i="2"/>
  <c r="CL50" i="3" s="1"/>
  <c r="CK14" i="2"/>
  <c r="CJ14" i="2"/>
  <c r="CJ50" i="3" s="1"/>
  <c r="CI14" i="2"/>
  <c r="CH14" i="2"/>
  <c r="CG14" i="2"/>
  <c r="AI14" i="2"/>
  <c r="AI21" i="2" s="1"/>
  <c r="AE14" i="2"/>
  <c r="AA14" i="2"/>
  <c r="AA21" i="2" s="1"/>
  <c r="W14" i="2"/>
  <c r="S14" i="2"/>
  <c r="S21" i="2" s="1"/>
  <c r="O14" i="2"/>
  <c r="O21" i="2" s="1"/>
  <c r="K14" i="2"/>
  <c r="K21" i="2" s="1"/>
  <c r="G14" i="2"/>
  <c r="BJ10" i="2"/>
  <c r="BK11" i="2" s="1"/>
  <c r="BI10" i="2"/>
  <c r="BI60" i="2" s="1"/>
  <c r="BH10" i="2"/>
  <c r="BL12" i="2" s="1"/>
  <c r="BG10" i="2"/>
  <c r="BK12" i="2" s="1"/>
  <c r="BF10" i="2"/>
  <c r="BE10" i="2"/>
  <c r="BD10" i="2"/>
  <c r="BC10" i="2"/>
  <c r="BB10" i="2"/>
  <c r="BA10" i="2"/>
  <c r="BA60" i="2" s="1"/>
  <c r="AZ10" i="2"/>
  <c r="AY10" i="2"/>
  <c r="AX10" i="2"/>
  <c r="AW10" i="2"/>
  <c r="AV10" i="2"/>
  <c r="AU10" i="2"/>
  <c r="AU60" i="2" s="1"/>
  <c r="AT10" i="2"/>
  <c r="AS10" i="2"/>
  <c r="AR10" i="2"/>
  <c r="AQ10" i="2"/>
  <c r="AQ60" i="2" s="1"/>
  <c r="AP10" i="2"/>
  <c r="AO10" i="2"/>
  <c r="AO51" i="2" s="1"/>
  <c r="AN10" i="2"/>
  <c r="AM10" i="2"/>
  <c r="AM60" i="2" s="1"/>
  <c r="AL10" i="2"/>
  <c r="AK10" i="2"/>
  <c r="AK51" i="2" s="1"/>
  <c r="AJ10" i="2"/>
  <c r="AH10" i="2"/>
  <c r="AG10" i="2"/>
  <c r="AF10" i="2"/>
  <c r="AD10" i="2"/>
  <c r="AC10" i="2"/>
  <c r="AB10" i="2"/>
  <c r="Z10" i="2"/>
  <c r="Y10" i="2"/>
  <c r="X10" i="2"/>
  <c r="V10" i="2"/>
  <c r="U10" i="2"/>
  <c r="T10" i="2"/>
  <c r="R10" i="2"/>
  <c r="Q10" i="2"/>
  <c r="P10" i="2"/>
  <c r="N10" i="2"/>
  <c r="M10" i="2"/>
  <c r="L10" i="2"/>
  <c r="J10" i="2"/>
  <c r="I10" i="2"/>
  <c r="H10" i="2"/>
  <c r="F10" i="2"/>
  <c r="E10" i="2"/>
  <c r="D10" i="2"/>
  <c r="DC9" i="2"/>
  <c r="DB9" i="2"/>
  <c r="DA9" i="2"/>
  <c r="CZ9" i="2"/>
  <c r="CY9" i="2"/>
  <c r="CX9" i="2"/>
  <c r="CW9" i="2"/>
  <c r="CV9" i="2"/>
  <c r="CU9" i="2"/>
  <c r="CT9" i="2"/>
  <c r="CS9" i="2"/>
  <c r="CR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DC8" i="2"/>
  <c r="DB8" i="2"/>
  <c r="DA8" i="2"/>
  <c r="CZ8" i="2"/>
  <c r="CY8" i="2"/>
  <c r="CX8" i="2"/>
  <c r="CL8" i="2"/>
  <c r="CL49" i="3" s="1"/>
  <c r="CK8" i="2"/>
  <c r="CJ8" i="2"/>
  <c r="CI8" i="2"/>
  <c r="CH8" i="2"/>
  <c r="CG8" i="2"/>
  <c r="AI8" i="2"/>
  <c r="AE8" i="2"/>
  <c r="AA8" i="2"/>
  <c r="W8" i="2"/>
  <c r="S8" i="2"/>
  <c r="O8" i="2"/>
  <c r="K8" i="2"/>
  <c r="G8" i="2"/>
  <c r="CV7" i="2"/>
  <c r="CG7" i="2"/>
  <c r="BY7" i="2"/>
  <c r="DE6" i="2"/>
  <c r="DD6" i="2"/>
  <c r="DD5" i="3" s="1"/>
  <c r="DD40" i="3" s="1"/>
  <c r="DD54" i="3" s="1"/>
  <c r="DD72" i="3" s="1"/>
  <c r="DC6" i="2"/>
  <c r="DB6" i="2"/>
  <c r="DB5" i="4" s="1"/>
  <c r="DB56" i="4" s="1"/>
  <c r="DB68" i="4" s="1"/>
  <c r="DB75" i="4" s="1"/>
  <c r="DA6" i="2"/>
  <c r="CZ6" i="2"/>
  <c r="CZ5" i="4" s="1"/>
  <c r="CZ56" i="4" s="1"/>
  <c r="CZ68" i="4" s="1"/>
  <c r="CZ75" i="4" s="1"/>
  <c r="CX6" i="2"/>
  <c r="CV6" i="2"/>
  <c r="CV5" i="3" s="1"/>
  <c r="CV40" i="3" s="1"/>
  <c r="CV54" i="3" s="1"/>
  <c r="CV72" i="3" s="1"/>
  <c r="CR6" i="2"/>
  <c r="G53" i="2" l="1"/>
  <c r="BT94" i="2"/>
  <c r="BU94" i="2" s="1"/>
  <c r="BV94" i="2" s="1"/>
  <c r="BW94" i="2" s="1"/>
  <c r="BI46" i="4"/>
  <c r="BK43" i="4"/>
  <c r="DD43" i="4" s="1"/>
  <c r="BS42" i="3"/>
  <c r="BT43" i="3"/>
  <c r="CI43" i="2"/>
  <c r="CH53" i="2"/>
  <c r="I51" i="2"/>
  <c r="Q51" i="2"/>
  <c r="Y51" i="2"/>
  <c r="CF109" i="2"/>
  <c r="CF111" i="2" s="1"/>
  <c r="CF101" i="2" s="1"/>
  <c r="CJ109" i="2"/>
  <c r="CJ111" i="2" s="1"/>
  <c r="CJ101" i="2" s="1"/>
  <c r="BC43" i="2"/>
  <c r="CG73" i="2"/>
  <c r="DA127" i="2"/>
  <c r="AG51" i="2"/>
  <c r="F63" i="2"/>
  <c r="M51" i="2"/>
  <c r="CE76" i="2"/>
  <c r="AS60" i="2"/>
  <c r="CS127" i="2"/>
  <c r="CW127" i="2"/>
  <c r="DA126" i="2"/>
  <c r="CZ32" i="2"/>
  <c r="AS51" i="2"/>
  <c r="AW51" i="2"/>
  <c r="CZ19" i="2"/>
  <c r="H63" i="2"/>
  <c r="R63" i="2"/>
  <c r="X63" i="2"/>
  <c r="AH63" i="2"/>
  <c r="AM63" i="2"/>
  <c r="AR63" i="2"/>
  <c r="CL53" i="2"/>
  <c r="CL137" i="2" s="1"/>
  <c r="CC74" i="2"/>
  <c r="CE88" i="2"/>
  <c r="CE95" i="2" s="1"/>
  <c r="CJ127" i="2"/>
  <c r="CC7" i="2"/>
  <c r="CC8" i="17" s="1"/>
  <c r="CK73" i="2"/>
  <c r="CK77" i="2" s="1"/>
  <c r="CT76" i="2"/>
  <c r="DA53" i="2"/>
  <c r="DA137" i="2" s="1"/>
  <c r="CW109" i="2"/>
  <c r="CW111" i="2" s="1"/>
  <c r="CW101" i="2" s="1"/>
  <c r="DA109" i="2"/>
  <c r="DA111" i="2" s="1"/>
  <c r="DA101" i="2" s="1"/>
  <c r="CJ53" i="2"/>
  <c r="CJ137" i="2" s="1"/>
  <c r="DC53" i="2"/>
  <c r="DC62" i="2" s="1"/>
  <c r="E51" i="2"/>
  <c r="Z64" i="2"/>
  <c r="CX37" i="2"/>
  <c r="AO45" i="2"/>
  <c r="AO48" i="2" s="1"/>
  <c r="AO49" i="2" s="1"/>
  <c r="BQ42" i="3"/>
  <c r="AP18" i="4"/>
  <c r="AP60" i="4" s="1"/>
  <c r="F30" i="4"/>
  <c r="BB37" i="4"/>
  <c r="CS14" i="2"/>
  <c r="CS21" i="2" s="1"/>
  <c r="CE46" i="2"/>
  <c r="CV46" i="2"/>
  <c r="BD48" i="2"/>
  <c r="BD49" i="2" s="1"/>
  <c r="AB50" i="2"/>
  <c r="AB64" i="2" s="1"/>
  <c r="CL45" i="3"/>
  <c r="CL41" i="3"/>
  <c r="BZ14" i="2"/>
  <c r="DB15" i="2"/>
  <c r="CZ39" i="2"/>
  <c r="D63" i="2"/>
  <c r="BD43" i="2"/>
  <c r="CF45" i="2"/>
  <c r="AB48" i="2"/>
  <c r="AB63" i="2" s="1"/>
  <c r="AC50" i="2"/>
  <c r="AC51" i="2" s="1"/>
  <c r="BD50" i="2"/>
  <c r="BD51" i="2" s="1"/>
  <c r="CE107" i="2"/>
  <c r="CI53" i="2"/>
  <c r="CI137" i="2" s="1"/>
  <c r="CL57" i="2"/>
  <c r="CZ57" i="2"/>
  <c r="BD73" i="2"/>
  <c r="BD79" i="2" s="1"/>
  <c r="BH79" i="2"/>
  <c r="CL76" i="2"/>
  <c r="CY76" i="2"/>
  <c r="CY73" i="2" s="1"/>
  <c r="DC76" i="2"/>
  <c r="CG78" i="2"/>
  <c r="CG77" i="2" s="1"/>
  <c r="CX78" i="2"/>
  <c r="DB78" i="2"/>
  <c r="DB100" i="2" s="1"/>
  <c r="AD100" i="2"/>
  <c r="AO100" i="2"/>
  <c r="CK122" i="2"/>
  <c r="CK123" i="2" s="1"/>
  <c r="CK125" i="2"/>
  <c r="CK126" i="2" s="1"/>
  <c r="DB127" i="2"/>
  <c r="CS126" i="2"/>
  <c r="CS73" i="3" s="1"/>
  <c r="CS76" i="3" s="1"/>
  <c r="W80" i="3"/>
  <c r="CL44" i="3"/>
  <c r="CL43" i="3"/>
  <c r="CL42" i="3" s="1"/>
  <c r="CI19" i="2"/>
  <c r="BJ64" i="2"/>
  <c r="DC50" i="2"/>
  <c r="CK21" i="2"/>
  <c r="BZ109" i="2"/>
  <c r="BZ111" i="2" s="1"/>
  <c r="BZ101" i="2" s="1"/>
  <c r="CD109" i="2"/>
  <c r="CD111" i="2" s="1"/>
  <c r="CD101" i="2" s="1"/>
  <c r="CH109" i="2"/>
  <c r="CH111" i="2" s="1"/>
  <c r="CH101" i="2" s="1"/>
  <c r="CL109" i="2"/>
  <c r="CL111" i="2" s="1"/>
  <c r="CL101" i="2" s="1"/>
  <c r="CU109" i="2"/>
  <c r="CU111" i="2" s="1"/>
  <c r="CU101" i="2" s="1"/>
  <c r="CY109" i="2"/>
  <c r="CY111" i="2" s="1"/>
  <c r="CY101" i="2" s="1"/>
  <c r="DC109" i="2"/>
  <c r="DC111" i="2" s="1"/>
  <c r="DC101" i="2" s="1"/>
  <c r="DB21" i="2"/>
  <c r="CG37" i="2"/>
  <c r="CH100" i="2"/>
  <c r="J63" i="2"/>
  <c r="P63" i="2"/>
  <c r="Z63" i="2"/>
  <c r="AF63" i="2"/>
  <c r="AP63" i="2"/>
  <c r="AT63" i="2"/>
  <c r="AY63" i="2"/>
  <c r="J64" i="2"/>
  <c r="O39" i="2"/>
  <c r="O64" i="2" s="1"/>
  <c r="CZ43" i="2"/>
  <c r="CK46" i="2"/>
  <c r="AC48" i="2"/>
  <c r="BG48" i="2"/>
  <c r="BG63" i="2" s="1"/>
  <c r="BD137" i="2"/>
  <c r="CE54" i="2"/>
  <c r="CY57" i="2"/>
  <c r="AF79" i="2"/>
  <c r="CI73" i="2"/>
  <c r="CI79" i="2" s="1"/>
  <c r="DC78" i="2"/>
  <c r="DC100" i="2" s="1"/>
  <c r="BR91" i="2"/>
  <c r="BS91" i="2" s="1"/>
  <c r="BT91" i="2" s="1"/>
  <c r="CT91" i="2"/>
  <c r="U93" i="2"/>
  <c r="U95" i="2"/>
  <c r="U100" i="2"/>
  <c r="AF100" i="2"/>
  <c r="BG100" i="2"/>
  <c r="CH127" i="2"/>
  <c r="CL127" i="2"/>
  <c r="CU127" i="2"/>
  <c r="CY127" i="2"/>
  <c r="DC127" i="2"/>
  <c r="CW126" i="2"/>
  <c r="U78" i="3"/>
  <c r="CL46" i="2"/>
  <c r="CL50" i="2" s="1"/>
  <c r="CU46" i="2"/>
  <c r="AS49" i="2"/>
  <c r="DA73" i="2"/>
  <c r="DA77" i="2" s="1"/>
  <c r="CE78" i="2"/>
  <c r="O15" i="2"/>
  <c r="O19" i="2"/>
  <c r="BF64" i="2"/>
  <c r="O53" i="2"/>
  <c r="O137" i="2" s="1"/>
  <c r="BR54" i="2"/>
  <c r="BS54" i="2" s="1"/>
  <c r="CJ126" i="2"/>
  <c r="CJ78" i="3" s="1"/>
  <c r="W73" i="3"/>
  <c r="W76" i="3" s="1"/>
  <c r="R41" i="3"/>
  <c r="AR43" i="3"/>
  <c r="AQ9" i="17"/>
  <c r="AQ63" i="17" s="1"/>
  <c r="CL40" i="3"/>
  <c r="BK44" i="17"/>
  <c r="BM57" i="2"/>
  <c r="BN57" i="2" s="1"/>
  <c r="BO57" i="2" s="1"/>
  <c r="BP57" i="2" s="1"/>
  <c r="BQ57" i="2" s="1"/>
  <c r="AY11" i="4"/>
  <c r="AY144" i="2" s="1"/>
  <c r="AY148" i="2" s="1"/>
  <c r="AX144" i="2"/>
  <c r="AX148" i="2" s="1"/>
  <c r="R11" i="4"/>
  <c r="BF18" i="4"/>
  <c r="BF60" i="4" s="1"/>
  <c r="V30" i="4"/>
  <c r="BB30" i="4"/>
  <c r="F37" i="4"/>
  <c r="M46" i="4"/>
  <c r="U46" i="4"/>
  <c r="AG46" i="4"/>
  <c r="AL37" i="4"/>
  <c r="BY63" i="4"/>
  <c r="BY66" i="4" s="1"/>
  <c r="CW296" i="2"/>
  <c r="CP137" i="17"/>
  <c r="CP293" i="4"/>
  <c r="CV6" i="4"/>
  <c r="CW7" i="2"/>
  <c r="CW6" i="3" s="1"/>
  <c r="CG21" i="2"/>
  <c r="CG15" i="2"/>
  <c r="CK15" i="2"/>
  <c r="CI24" i="2"/>
  <c r="CI84" i="17" s="1"/>
  <c r="CW34" i="2"/>
  <c r="CA109" i="2"/>
  <c r="CA111" i="2" s="1"/>
  <c r="CA101" i="2" s="1"/>
  <c r="CE109" i="2"/>
  <c r="CE111" i="2" s="1"/>
  <c r="CE101" i="2" s="1"/>
  <c r="CI109" i="2"/>
  <c r="CI111" i="2" s="1"/>
  <c r="CI101" i="2" s="1"/>
  <c r="CR109" i="2"/>
  <c r="CR111" i="2" s="1"/>
  <c r="CR101" i="2" s="1"/>
  <c r="CV109" i="2"/>
  <c r="CV111" i="2" s="1"/>
  <c r="CV101" i="2" s="1"/>
  <c r="CZ109" i="2"/>
  <c r="CZ111" i="2" s="1"/>
  <c r="CZ101" i="2" s="1"/>
  <c r="BZ55" i="2"/>
  <c r="K53" i="2"/>
  <c r="K62" i="2" s="1"/>
  <c r="CM107" i="2"/>
  <c r="CX53" i="2"/>
  <c r="CX137" i="2" s="1"/>
  <c r="CZ53" i="2"/>
  <c r="CZ137" i="2" s="1"/>
  <c r="DB53" i="2"/>
  <c r="CB57" i="2"/>
  <c r="CS57" i="2"/>
  <c r="K95" i="2"/>
  <c r="K93" i="2"/>
  <c r="S95" i="2"/>
  <c r="S93" i="2"/>
  <c r="AA95" i="2"/>
  <c r="AA93" i="2"/>
  <c r="AI95" i="2"/>
  <c r="AI93" i="2"/>
  <c r="S100" i="2"/>
  <c r="CZ67" i="17"/>
  <c r="CZ49" i="3"/>
  <c r="CZ41" i="3" s="1"/>
  <c r="CZ24" i="2"/>
  <c r="CZ25" i="2" s="1"/>
  <c r="CJ100" i="2"/>
  <c r="CY100" i="2"/>
  <c r="DA100" i="2"/>
  <c r="U51" i="2"/>
  <c r="U60" i="2"/>
  <c r="G21" i="2"/>
  <c r="G19" i="2"/>
  <c r="G15" i="2"/>
  <c r="W21" i="2"/>
  <c r="W15" i="2"/>
  <c r="AE21" i="2"/>
  <c r="AE19" i="2"/>
  <c r="CX21" i="2"/>
  <c r="CX15" i="2"/>
  <c r="AE15" i="2"/>
  <c r="AI107" i="2"/>
  <c r="CW16" i="2"/>
  <c r="CF16" i="2"/>
  <c r="CF107" i="2" s="1"/>
  <c r="BZ107" i="2"/>
  <c r="G39" i="2"/>
  <c r="G64" i="2" s="1"/>
  <c r="G37" i="2"/>
  <c r="CI39" i="2"/>
  <c r="CI32" i="2"/>
  <c r="CK37" i="2"/>
  <c r="DB37" i="2"/>
  <c r="AU107" i="2"/>
  <c r="AU37" i="2"/>
  <c r="AU63" i="2" s="1"/>
  <c r="T63" i="2"/>
  <c r="V63" i="2"/>
  <c r="AD63" i="2"/>
  <c r="AV63" i="2"/>
  <c r="AX63" i="2"/>
  <c r="AZ63" i="2"/>
  <c r="BB63" i="2"/>
  <c r="AE39" i="2"/>
  <c r="AE64" i="2" s="1"/>
  <c r="U49" i="2"/>
  <c r="AJ53" i="2"/>
  <c r="AJ137" i="2" s="1"/>
  <c r="CK55" i="2"/>
  <c r="BC53" i="2"/>
  <c r="BC62" i="2" s="1"/>
  <c r="BC66" i="2" s="1"/>
  <c r="S109" i="2"/>
  <c r="S111" i="2" s="1"/>
  <c r="S101" i="2" s="1"/>
  <c r="CS58" i="2"/>
  <c r="CS100" i="2" s="1"/>
  <c r="CB58" i="2"/>
  <c r="CB109" i="2" s="1"/>
  <c r="CB111" i="2" s="1"/>
  <c r="CB101" i="2" s="1"/>
  <c r="CS59" i="2"/>
  <c r="BZ74" i="2"/>
  <c r="BZ73" i="2" s="1"/>
  <c r="BZ77" i="2" s="1"/>
  <c r="K73" i="2"/>
  <c r="K77" i="2" s="1"/>
  <c r="CB74" i="2"/>
  <c r="S73" i="2"/>
  <c r="S77" i="2" s="1"/>
  <c r="CD74" i="2"/>
  <c r="AA73" i="2"/>
  <c r="AA77" i="2" s="1"/>
  <c r="CF74" i="2"/>
  <c r="AI73" i="2"/>
  <c r="AI77" i="2" s="1"/>
  <c r="BY75" i="2"/>
  <c r="BY73" i="2" s="1"/>
  <c r="G73" i="2"/>
  <c r="G77" i="2" s="1"/>
  <c r="CR75" i="2"/>
  <c r="O73" i="2"/>
  <c r="O77" i="2" s="1"/>
  <c r="CC75" i="2"/>
  <c r="CC73" i="2" s="1"/>
  <c r="W73" i="2"/>
  <c r="W77" i="2" s="1"/>
  <c r="CV75" i="2"/>
  <c r="CV73" i="2" s="1"/>
  <c r="AE73" i="2"/>
  <c r="AE77" i="2" s="1"/>
  <c r="CE75" i="2"/>
  <c r="CH73" i="2"/>
  <c r="CH77" i="2" s="1"/>
  <c r="CL73" i="2"/>
  <c r="CL77" i="2" s="1"/>
  <c r="CX73" i="2"/>
  <c r="CX77" i="2" s="1"/>
  <c r="CZ73" i="2"/>
  <c r="CZ79" i="2" s="1"/>
  <c r="DB73" i="2"/>
  <c r="CR76" i="2"/>
  <c r="CA76" i="2"/>
  <c r="CH93" i="2"/>
  <c r="CJ93" i="2"/>
  <c r="CJ95" i="2"/>
  <c r="CL93" i="2"/>
  <c r="AM27" i="17"/>
  <c r="AM28" i="17" s="1"/>
  <c r="AM9" i="17"/>
  <c r="AM14" i="17" s="1"/>
  <c r="AU27" i="17"/>
  <c r="AU28" i="17" s="1"/>
  <c r="AU9" i="17"/>
  <c r="AU11" i="17" s="1"/>
  <c r="BA43" i="17"/>
  <c r="BA53" i="17"/>
  <c r="BC53" i="17"/>
  <c r="BG55" i="17" s="1"/>
  <c r="BC43" i="17"/>
  <c r="BC44" i="17" s="1"/>
  <c r="CI100" i="2"/>
  <c r="CX100" i="2"/>
  <c r="CZ100" i="2"/>
  <c r="CD14" i="2"/>
  <c r="CW14" i="2"/>
  <c r="CW21" i="2" s="1"/>
  <c r="BY107" i="2"/>
  <c r="CD107" i="2"/>
  <c r="CJ107" i="2"/>
  <c r="CU107" i="2"/>
  <c r="DA107" i="2"/>
  <c r="CG19" i="2"/>
  <c r="CI21" i="2"/>
  <c r="CK19" i="2"/>
  <c r="CX19" i="2"/>
  <c r="CZ21" i="2"/>
  <c r="DB19" i="2"/>
  <c r="U22" i="2"/>
  <c r="AS22" i="2"/>
  <c r="CG39" i="2"/>
  <c r="CK39" i="2"/>
  <c r="CX39" i="2"/>
  <c r="DB39" i="2"/>
  <c r="L63" i="2"/>
  <c r="N63" i="2"/>
  <c r="AJ63" i="2"/>
  <c r="AL63" i="2"/>
  <c r="AN63" i="2"/>
  <c r="AQ63" i="2"/>
  <c r="R64" i="2"/>
  <c r="AH64" i="2"/>
  <c r="BZ54" i="2"/>
  <c r="K100" i="2"/>
  <c r="BC100" i="2"/>
  <c r="CK54" i="2"/>
  <c r="AE53" i="2"/>
  <c r="AE137" i="2" s="1"/>
  <c r="CM10" i="4"/>
  <c r="CA107" i="2"/>
  <c r="CI57" i="2"/>
  <c r="CA74" i="2"/>
  <c r="CE74" i="2"/>
  <c r="DC73" i="2"/>
  <c r="DC77" i="2" s="1"/>
  <c r="CA88" i="2"/>
  <c r="CT88" i="2"/>
  <c r="CT93" i="2" s="1"/>
  <c r="CY95" i="2"/>
  <c r="DA95" i="2"/>
  <c r="DC95" i="2"/>
  <c r="CG93" i="2"/>
  <c r="CK93" i="2"/>
  <c r="CR107" i="2"/>
  <c r="CV107" i="2"/>
  <c r="CH95" i="2"/>
  <c r="AH45" i="3"/>
  <c r="AH41" i="3"/>
  <c r="AO43" i="3"/>
  <c r="AO44" i="3"/>
  <c r="BE43" i="3"/>
  <c r="BE44" i="3"/>
  <c r="M9" i="17"/>
  <c r="CL95" i="2"/>
  <c r="DB123" i="2"/>
  <c r="BY127" i="2"/>
  <c r="CC127" i="2"/>
  <c r="CH126" i="2"/>
  <c r="CH82" i="3" s="1"/>
  <c r="CL126" i="2"/>
  <c r="CL80" i="3" s="1"/>
  <c r="CU126" i="2"/>
  <c r="CU82" i="3" s="1"/>
  <c r="CY126" i="2"/>
  <c r="CY80" i="3" s="1"/>
  <c r="CU296" i="2"/>
  <c r="CU137" i="17" s="1"/>
  <c r="CY296" i="2"/>
  <c r="CY137" i="17" s="1"/>
  <c r="U73" i="3"/>
  <c r="U74" i="3" s="1"/>
  <c r="BZ82" i="3"/>
  <c r="W82" i="3"/>
  <c r="CP87" i="17"/>
  <c r="CP109" i="17"/>
  <c r="AK9" i="17"/>
  <c r="AO9" i="17"/>
  <c r="AO63" i="17" s="1"/>
  <c r="AS9" i="17"/>
  <c r="AY43" i="17"/>
  <c r="AY33" i="17" s="1"/>
  <c r="BG43" i="17"/>
  <c r="BK45" i="17" s="1"/>
  <c r="BZ122" i="17"/>
  <c r="CB122" i="17"/>
  <c r="CD122" i="17"/>
  <c r="CF122" i="17"/>
  <c r="CH122" i="17"/>
  <c r="CJ122" i="17"/>
  <c r="E83" i="3"/>
  <c r="G83" i="3"/>
  <c r="I83" i="3"/>
  <c r="K83" i="3"/>
  <c r="M83" i="3"/>
  <c r="O83" i="3"/>
  <c r="Q83" i="3"/>
  <c r="S83" i="3"/>
  <c r="U83" i="3"/>
  <c r="W83" i="3"/>
  <c r="Y83" i="3"/>
  <c r="AA83" i="3"/>
  <c r="AC83" i="3"/>
  <c r="AE83" i="3"/>
  <c r="AG83" i="3"/>
  <c r="AI83" i="3"/>
  <c r="AK83" i="3"/>
  <c r="AM83" i="3"/>
  <c r="AO83" i="3"/>
  <c r="AQ83" i="3"/>
  <c r="AS83" i="3"/>
  <c r="AU83" i="3"/>
  <c r="AW83" i="3"/>
  <c r="AY83" i="3"/>
  <c r="BA83" i="3"/>
  <c r="BC83" i="3"/>
  <c r="BE83" i="3"/>
  <c r="BG83" i="3"/>
  <c r="BI83" i="3"/>
  <c r="BR42" i="3"/>
  <c r="D43" i="3"/>
  <c r="D42" i="3" s="1"/>
  <c r="BH43" i="3"/>
  <c r="BZ66" i="4"/>
  <c r="BM10" i="3"/>
  <c r="D21" i="3"/>
  <c r="D37" i="3" s="1"/>
  <c r="F21" i="3"/>
  <c r="F37" i="3" s="1"/>
  <c r="H21" i="3"/>
  <c r="H37" i="3" s="1"/>
  <c r="J21" i="3"/>
  <c r="J37" i="3" s="1"/>
  <c r="L21" i="3"/>
  <c r="L37" i="3" s="1"/>
  <c r="N21" i="3"/>
  <c r="N37" i="3" s="1"/>
  <c r="P21" i="3"/>
  <c r="P37" i="3" s="1"/>
  <c r="R21" i="3"/>
  <c r="R37" i="3" s="1"/>
  <c r="T21" i="3"/>
  <c r="T37" i="3" s="1"/>
  <c r="V21" i="3"/>
  <c r="V37" i="3" s="1"/>
  <c r="X21" i="3"/>
  <c r="X37" i="3" s="1"/>
  <c r="Z21" i="3"/>
  <c r="Z37" i="3" s="1"/>
  <c r="AB21" i="3"/>
  <c r="AB37" i="3" s="1"/>
  <c r="AD21" i="3"/>
  <c r="AD37" i="3" s="1"/>
  <c r="AF21" i="3"/>
  <c r="AF37" i="3" s="1"/>
  <c r="AH21" i="3"/>
  <c r="AH37" i="3" s="1"/>
  <c r="AJ21" i="3"/>
  <c r="AJ37" i="3" s="1"/>
  <c r="AL21" i="3"/>
  <c r="AL37" i="3" s="1"/>
  <c r="AN21" i="3"/>
  <c r="AN37" i="3" s="1"/>
  <c r="AP21" i="3"/>
  <c r="AP37" i="3" s="1"/>
  <c r="AR21" i="3"/>
  <c r="AT21" i="3"/>
  <c r="AT37" i="3" s="1"/>
  <c r="AV21" i="3"/>
  <c r="AV37" i="3" s="1"/>
  <c r="AX21" i="3"/>
  <c r="AX37" i="3" s="1"/>
  <c r="AZ21" i="3"/>
  <c r="AZ37" i="3" s="1"/>
  <c r="BB21" i="3"/>
  <c r="BB37" i="3" s="1"/>
  <c r="BD21" i="3"/>
  <c r="BD37" i="3" s="1"/>
  <c r="BF21" i="3"/>
  <c r="BF37" i="3" s="1"/>
  <c r="BH21" i="3"/>
  <c r="BH37" i="3" s="1"/>
  <c r="CM10" i="3"/>
  <c r="E21" i="3"/>
  <c r="E37" i="3" s="1"/>
  <c r="G21" i="3"/>
  <c r="G37" i="3" s="1"/>
  <c r="I21" i="3"/>
  <c r="I37" i="3" s="1"/>
  <c r="K21" i="3"/>
  <c r="K37" i="3" s="1"/>
  <c r="M21" i="3"/>
  <c r="M37" i="3" s="1"/>
  <c r="O21" i="3"/>
  <c r="O37" i="3" s="1"/>
  <c r="Q21" i="3"/>
  <c r="Q37" i="3" s="1"/>
  <c r="S21" i="3"/>
  <c r="S37" i="3" s="1"/>
  <c r="U21" i="3"/>
  <c r="U37" i="3" s="1"/>
  <c r="W21" i="3"/>
  <c r="W37" i="3" s="1"/>
  <c r="Y21" i="3"/>
  <c r="Y37" i="3" s="1"/>
  <c r="AA21" i="3"/>
  <c r="AA37" i="3" s="1"/>
  <c r="AC21" i="3"/>
  <c r="AC37" i="3" s="1"/>
  <c r="AE21" i="3"/>
  <c r="AE37" i="3" s="1"/>
  <c r="AG21" i="3"/>
  <c r="AG37" i="3" s="1"/>
  <c r="AI21" i="3"/>
  <c r="AI37" i="3" s="1"/>
  <c r="AK21" i="3"/>
  <c r="AK37" i="3" s="1"/>
  <c r="AM21" i="3"/>
  <c r="AM37" i="3" s="1"/>
  <c r="AO21" i="3"/>
  <c r="AO37" i="3" s="1"/>
  <c r="AQ21" i="3"/>
  <c r="AQ37" i="3" s="1"/>
  <c r="AS21" i="3"/>
  <c r="AS37" i="3" s="1"/>
  <c r="AU21" i="3"/>
  <c r="AU37" i="3" s="1"/>
  <c r="AW21" i="3"/>
  <c r="AW37" i="3" s="1"/>
  <c r="AY21" i="3"/>
  <c r="AY37" i="3" s="1"/>
  <c r="BA21" i="3"/>
  <c r="BA37" i="3" s="1"/>
  <c r="BC21" i="3"/>
  <c r="BC37" i="3" s="1"/>
  <c r="BE21" i="3"/>
  <c r="BE37" i="3" s="1"/>
  <c r="BG21" i="3"/>
  <c r="BG37" i="3" s="1"/>
  <c r="BI21" i="3"/>
  <c r="BI37" i="3" s="1"/>
  <c r="AR37" i="3"/>
  <c r="BL56" i="3"/>
  <c r="DD56" i="3" s="1"/>
  <c r="AD45" i="3"/>
  <c r="AW53" i="17"/>
  <c r="BM17" i="2"/>
  <c r="AT41" i="3"/>
  <c r="Y43" i="3"/>
  <c r="Y42" i="3" s="1"/>
  <c r="AV45" i="3"/>
  <c r="BM47" i="2"/>
  <c r="E49" i="2"/>
  <c r="M49" i="2"/>
  <c r="AC49" i="2"/>
  <c r="AK49" i="2"/>
  <c r="AW49" i="2"/>
  <c r="BG51" i="2"/>
  <c r="J77" i="2"/>
  <c r="R77" i="2"/>
  <c r="Z77" i="2"/>
  <c r="AH77" i="2"/>
  <c r="AP77" i="2"/>
  <c r="AX77" i="2"/>
  <c r="BF77" i="2"/>
  <c r="DD90" i="2"/>
  <c r="AY26" i="2"/>
  <c r="AY27" i="2" s="1"/>
  <c r="BC26" i="2"/>
  <c r="BC27" i="2" s="1"/>
  <c r="BE12" i="2"/>
  <c r="BG26" i="2"/>
  <c r="BG27" i="2" s="1"/>
  <c r="I49" i="2"/>
  <c r="Q49" i="2"/>
  <c r="Y49" i="2"/>
  <c r="AG49" i="2"/>
  <c r="BE49" i="2"/>
  <c r="AM51" i="2"/>
  <c r="AQ51" i="2"/>
  <c r="AU51" i="2"/>
  <c r="AY51" i="2"/>
  <c r="F77" i="2"/>
  <c r="N77" i="2"/>
  <c r="V77" i="2"/>
  <c r="AD77" i="2"/>
  <c r="AL77" i="2"/>
  <c r="AT77" i="2"/>
  <c r="BB77" i="2"/>
  <c r="BJ77" i="2"/>
  <c r="AC12" i="2"/>
  <c r="AK12" i="2"/>
  <c r="AS12" i="2"/>
  <c r="BA12" i="2"/>
  <c r="BI12" i="2"/>
  <c r="E22" i="2"/>
  <c r="I22" i="2"/>
  <c r="M22" i="2"/>
  <c r="Q22" i="2"/>
  <c r="Y22" i="2"/>
  <c r="AC22" i="2"/>
  <c r="AG22" i="2"/>
  <c r="AK22" i="2"/>
  <c r="AM22" i="2"/>
  <c r="AO22" i="2"/>
  <c r="AQ22" i="2"/>
  <c r="AU22" i="2"/>
  <c r="AW22" i="2"/>
  <c r="AY22" i="2"/>
  <c r="BA22" i="2"/>
  <c r="BC22" i="2"/>
  <c r="BE22" i="2"/>
  <c r="BG22" i="2"/>
  <c r="BI22" i="2"/>
  <c r="AX25" i="2"/>
  <c r="BB25" i="2"/>
  <c r="BF25" i="2"/>
  <c r="BJ25" i="2"/>
  <c r="AQ26" i="2"/>
  <c r="AQ27" i="2" s="1"/>
  <c r="BN34" i="2"/>
  <c r="BO34" i="2" s="1"/>
  <c r="BP34" i="2" s="1"/>
  <c r="BQ34" i="2" s="1"/>
  <c r="CM35" i="2"/>
  <c r="BG38" i="2"/>
  <c r="BI38" i="2"/>
  <c r="BM45" i="2"/>
  <c r="BN45" i="2" s="1"/>
  <c r="BO45" i="2" s="1"/>
  <c r="BP45" i="2" s="1"/>
  <c r="BQ45" i="2" s="1"/>
  <c r="E62" i="2"/>
  <c r="E66" i="2" s="1"/>
  <c r="E81" i="2" s="1"/>
  <c r="E137" i="2"/>
  <c r="Q62" i="2"/>
  <c r="Q66" i="2" s="1"/>
  <c r="Q81" i="2" s="1"/>
  <c r="Q137" i="2"/>
  <c r="Y62" i="2"/>
  <c r="Y66" i="2" s="1"/>
  <c r="Y81" i="2" s="1"/>
  <c r="Y137" i="2"/>
  <c r="AG62" i="2"/>
  <c r="AG66" i="2" s="1"/>
  <c r="AG81" i="2" s="1"/>
  <c r="AG137" i="2"/>
  <c r="I60" i="2"/>
  <c r="Q60" i="2"/>
  <c r="Y60" i="2"/>
  <c r="AG60" i="2"/>
  <c r="AO60" i="2"/>
  <c r="AW60" i="2"/>
  <c r="BE60" i="2"/>
  <c r="D62" i="2"/>
  <c r="D66" i="2" s="1"/>
  <c r="X62" i="2"/>
  <c r="X66" i="2" s="1"/>
  <c r="DD75" i="2"/>
  <c r="D77" i="2"/>
  <c r="H77" i="2"/>
  <c r="L77" i="2"/>
  <c r="P77" i="2"/>
  <c r="T77" i="2"/>
  <c r="X77" i="2"/>
  <c r="AB77" i="2"/>
  <c r="AF77" i="2"/>
  <c r="AJ77" i="2"/>
  <c r="AN77" i="2"/>
  <c r="AR77" i="2"/>
  <c r="AV77" i="2"/>
  <c r="AZ77" i="2"/>
  <c r="BD77" i="2"/>
  <c r="BH77" i="2"/>
  <c r="CM9" i="2"/>
  <c r="DD9" i="2"/>
  <c r="AG12" i="2"/>
  <c r="AO12" i="2"/>
  <c r="AW12" i="2"/>
  <c r="BC25" i="2"/>
  <c r="BC84" i="17"/>
  <c r="BC58" i="17" s="1"/>
  <c r="D25" i="2"/>
  <c r="P25" i="2"/>
  <c r="X25" i="2"/>
  <c r="AF25" i="2"/>
  <c r="AV25" i="2"/>
  <c r="AZ25" i="2"/>
  <c r="BD25" i="2"/>
  <c r="BH25" i="2"/>
  <c r="AM26" i="2"/>
  <c r="AM27" i="2" s="1"/>
  <c r="AU26" i="2"/>
  <c r="AU27" i="2" s="1"/>
  <c r="AU49" i="2"/>
  <c r="BA49" i="2"/>
  <c r="BI49" i="2"/>
  <c r="I62" i="2"/>
  <c r="I137" i="2"/>
  <c r="M62" i="2"/>
  <c r="M66" i="2" s="1"/>
  <c r="M137" i="2"/>
  <c r="U62" i="2"/>
  <c r="U66" i="2" s="1"/>
  <c r="U137" i="2"/>
  <c r="AC62" i="2"/>
  <c r="AC66" i="2" s="1"/>
  <c r="AC137" i="2"/>
  <c r="AK62" i="2"/>
  <c r="AK66" i="2" s="1"/>
  <c r="AK137" i="2"/>
  <c r="AO62" i="2"/>
  <c r="AO66" i="2" s="1"/>
  <c r="AO137" i="2"/>
  <c r="AS62" i="2"/>
  <c r="AS66" i="2" s="1"/>
  <c r="AS137" i="2"/>
  <c r="AW62" i="2"/>
  <c r="AW66" i="2" s="1"/>
  <c r="AW137" i="2"/>
  <c r="BA62" i="2"/>
  <c r="BA66" i="2" s="1"/>
  <c r="BA137" i="2"/>
  <c r="BE62" i="2"/>
  <c r="BE66" i="2" s="1"/>
  <c r="BE137" i="2"/>
  <c r="BI62" i="2"/>
  <c r="BI66" i="2" s="1"/>
  <c r="BI137" i="2"/>
  <c r="E60" i="2"/>
  <c r="M60" i="2"/>
  <c r="AC60" i="2"/>
  <c r="AK60" i="2"/>
  <c r="P62" i="2"/>
  <c r="P66" i="2" s="1"/>
  <c r="AF62" i="2"/>
  <c r="AF66" i="2" s="1"/>
  <c r="I66" i="2"/>
  <c r="I81" i="2" s="1"/>
  <c r="CM75" i="2"/>
  <c r="CM73" i="2" s="1"/>
  <c r="CM78" i="2"/>
  <c r="DD91" i="2"/>
  <c r="G73" i="3"/>
  <c r="G76" i="3" s="1"/>
  <c r="K73" i="3"/>
  <c r="K74" i="3" s="1"/>
  <c r="O73" i="3"/>
  <c r="O76" i="3" s="1"/>
  <c r="S73" i="3"/>
  <c r="S74" i="3" s="1"/>
  <c r="AA73" i="3"/>
  <c r="AA74" i="3" s="1"/>
  <c r="AE73" i="3"/>
  <c r="AE76" i="3" s="1"/>
  <c r="AI73" i="3"/>
  <c r="AI74" i="3" s="1"/>
  <c r="AM73" i="3"/>
  <c r="AM76" i="3" s="1"/>
  <c r="AQ73" i="3"/>
  <c r="AQ74" i="3" s="1"/>
  <c r="AU73" i="3"/>
  <c r="AU76" i="3" s="1"/>
  <c r="AY73" i="3"/>
  <c r="AY74" i="3" s="1"/>
  <c r="BG73" i="3"/>
  <c r="BG74" i="3" s="1"/>
  <c r="E78" i="3"/>
  <c r="M78" i="3"/>
  <c r="AC78" i="3"/>
  <c r="AK78" i="3"/>
  <c r="AS78" i="3"/>
  <c r="BA78" i="3"/>
  <c r="AM80" i="3"/>
  <c r="G80" i="3"/>
  <c r="O80" i="3"/>
  <c r="AE80" i="3"/>
  <c r="AQ80" i="3"/>
  <c r="AY80" i="3"/>
  <c r="BG80" i="3"/>
  <c r="K82" i="3"/>
  <c r="S82" i="3"/>
  <c r="AA82" i="3"/>
  <c r="AI82" i="3"/>
  <c r="AU82" i="3"/>
  <c r="BC82" i="3"/>
  <c r="DE91" i="2"/>
  <c r="DD125" i="2"/>
  <c r="E73" i="3"/>
  <c r="E76" i="3" s="1"/>
  <c r="I73" i="3"/>
  <c r="I76" i="3" s="1"/>
  <c r="M73" i="3"/>
  <c r="M74" i="3" s="1"/>
  <c r="Q73" i="3"/>
  <c r="Q76" i="3" s="1"/>
  <c r="Y73" i="3"/>
  <c r="Y76" i="3" s="1"/>
  <c r="AC73" i="3"/>
  <c r="AC76" i="3" s="1"/>
  <c r="AG73" i="3"/>
  <c r="AG74" i="3" s="1"/>
  <c r="AK73" i="3"/>
  <c r="AK76" i="3" s="1"/>
  <c r="AO73" i="3"/>
  <c r="AO76" i="3" s="1"/>
  <c r="AS73" i="3"/>
  <c r="AS76" i="3" s="1"/>
  <c r="AW73" i="3"/>
  <c r="AW74" i="3" s="1"/>
  <c r="BC73" i="3"/>
  <c r="BC76" i="3" s="1"/>
  <c r="I78" i="3"/>
  <c r="Q78" i="3"/>
  <c r="Y78" i="3"/>
  <c r="AG78" i="3"/>
  <c r="AO78" i="3"/>
  <c r="AW78" i="3"/>
  <c r="BE78" i="3"/>
  <c r="K80" i="3"/>
  <c r="S80" i="3"/>
  <c r="AA80" i="3"/>
  <c r="AI80" i="3"/>
  <c r="AU80" i="3"/>
  <c r="BC80" i="3"/>
  <c r="BG82" i="3"/>
  <c r="G82" i="3"/>
  <c r="O82" i="3"/>
  <c r="AE82" i="3"/>
  <c r="AQ82" i="3"/>
  <c r="AY82" i="3"/>
  <c r="BG11" i="4"/>
  <c r="BG144" i="2" s="1"/>
  <c r="BG148" i="2" s="1"/>
  <c r="CL148" i="2" s="1"/>
  <c r="BF144" i="2"/>
  <c r="BF148" i="2" s="1"/>
  <c r="J11" i="4"/>
  <c r="Z11" i="4"/>
  <c r="AP11" i="4"/>
  <c r="AX18" i="4"/>
  <c r="AX60" i="4" s="1"/>
  <c r="N30" i="4"/>
  <c r="AD30" i="4"/>
  <c r="AT30" i="4"/>
  <c r="BJ30" i="4"/>
  <c r="BK30" i="4" s="1"/>
  <c r="CR12" i="4"/>
  <c r="CV12" i="4"/>
  <c r="CZ12" i="4"/>
  <c r="CS16" i="4"/>
  <c r="CW16" i="4"/>
  <c r="DA16" i="4"/>
  <c r="CV20" i="4"/>
  <c r="BY24" i="4"/>
  <c r="CT24" i="4"/>
  <c r="CX24" i="4"/>
  <c r="DB24" i="4"/>
  <c r="CR25" i="4"/>
  <c r="BZ33" i="4"/>
  <c r="CU33" i="4"/>
  <c r="CY33" i="4"/>
  <c r="DC33" i="4"/>
  <c r="N37" i="4"/>
  <c r="AD37" i="4"/>
  <c r="AT37" i="4"/>
  <c r="BJ37" i="4"/>
  <c r="BK37" i="4" s="1"/>
  <c r="BZ38" i="4"/>
  <c r="CU38" i="4"/>
  <c r="BZ39" i="4"/>
  <c r="CU39" i="4"/>
  <c r="BZ40" i="4"/>
  <c r="DA40" i="4"/>
  <c r="BB45" i="4"/>
  <c r="BC45" i="4" s="1"/>
  <c r="I45" i="3"/>
  <c r="BI82" i="3"/>
  <c r="AM81" i="3"/>
  <c r="AM82" i="3" s="1"/>
  <c r="T293" i="4"/>
  <c r="F41" i="3"/>
  <c r="AB41" i="3"/>
  <c r="AL41" i="3"/>
  <c r="BB41" i="3"/>
  <c r="N43" i="3"/>
  <c r="N42" i="3" s="1"/>
  <c r="AJ43" i="3"/>
  <c r="AJ42" i="3" s="1"/>
  <c r="AZ43" i="3"/>
  <c r="T45" i="3"/>
  <c r="AN45" i="3"/>
  <c r="BD45" i="3"/>
  <c r="N41" i="3"/>
  <c r="AP41" i="3"/>
  <c r="AX41" i="3"/>
  <c r="BF41" i="3"/>
  <c r="I43" i="3"/>
  <c r="I42" i="3" s="1"/>
  <c r="T43" i="3"/>
  <c r="T42" i="3" s="1"/>
  <c r="AD43" i="3"/>
  <c r="AD42" i="3" s="1"/>
  <c r="AN43" i="3"/>
  <c r="AV43" i="3"/>
  <c r="AV42" i="3" s="1"/>
  <c r="BD43" i="3"/>
  <c r="D45" i="3"/>
  <c r="Y45" i="3"/>
  <c r="AJ45" i="3"/>
  <c r="AR45" i="3"/>
  <c r="AZ45" i="3"/>
  <c r="BH45" i="3"/>
  <c r="CB66" i="4"/>
  <c r="CD66" i="4"/>
  <c r="CF66" i="4"/>
  <c r="CH66" i="4"/>
  <c r="CJ66" i="4"/>
  <c r="CL66" i="4"/>
  <c r="CS66" i="4"/>
  <c r="CU66" i="4"/>
  <c r="CW66" i="4"/>
  <c r="CY66" i="4"/>
  <c r="DA66" i="4"/>
  <c r="DC66" i="4"/>
  <c r="CM40" i="3"/>
  <c r="CM54" i="3" s="1"/>
  <c r="CM72" i="3" s="1"/>
  <c r="L41" i="3"/>
  <c r="V41" i="3"/>
  <c r="F43" i="3"/>
  <c r="F42" i="3" s="1"/>
  <c r="L43" i="3"/>
  <c r="L42" i="3" s="1"/>
  <c r="Q43" i="3"/>
  <c r="Q42" i="3" s="1"/>
  <c r="V43" i="3"/>
  <c r="V42" i="3" s="1"/>
  <c r="AB43" i="3"/>
  <c r="AB42" i="3" s="1"/>
  <c r="AG43" i="3"/>
  <c r="AG42" i="3" s="1"/>
  <c r="AL43" i="3"/>
  <c r="AL42" i="3" s="1"/>
  <c r="AP43" i="3"/>
  <c r="AT43" i="3"/>
  <c r="AX43" i="3"/>
  <c r="AX42" i="3" s="1"/>
  <c r="BB43" i="3"/>
  <c r="BF43" i="3"/>
  <c r="BJ43" i="3"/>
  <c r="Q45" i="3"/>
  <c r="AG45" i="3"/>
  <c r="AO42" i="3"/>
  <c r="AW42" i="3"/>
  <c r="BE42" i="3"/>
  <c r="E41" i="3"/>
  <c r="E45" i="3"/>
  <c r="H45" i="3"/>
  <c r="H41" i="3"/>
  <c r="M41" i="3"/>
  <c r="M45" i="3"/>
  <c r="P45" i="3"/>
  <c r="P41" i="3"/>
  <c r="U41" i="3"/>
  <c r="U45" i="3"/>
  <c r="X45" i="3"/>
  <c r="X41" i="3"/>
  <c r="AC41" i="3"/>
  <c r="AC45" i="3"/>
  <c r="AF45" i="3"/>
  <c r="AF41" i="3"/>
  <c r="AK41" i="3"/>
  <c r="AK45" i="3"/>
  <c r="AM41" i="3"/>
  <c r="AM45" i="3"/>
  <c r="AO41" i="3"/>
  <c r="AO45" i="3"/>
  <c r="AQ41" i="3"/>
  <c r="AQ45" i="3"/>
  <c r="AS41" i="3"/>
  <c r="AS45" i="3"/>
  <c r="AU41" i="3"/>
  <c r="AU45" i="3"/>
  <c r="AW41" i="3"/>
  <c r="AW45" i="3"/>
  <c r="AY41" i="3"/>
  <c r="AY45" i="3"/>
  <c r="BA41" i="3"/>
  <c r="BA45" i="3"/>
  <c r="BC41" i="3"/>
  <c r="BC45" i="3"/>
  <c r="BE41" i="3"/>
  <c r="BE45" i="3"/>
  <c r="BG41" i="3"/>
  <c r="BG45" i="3"/>
  <c r="BI41" i="3"/>
  <c r="BI45" i="3"/>
  <c r="J41" i="3"/>
  <c r="Z41" i="3"/>
  <c r="E43" i="3"/>
  <c r="E42" i="3" s="1"/>
  <c r="H43" i="3"/>
  <c r="H42" i="3" s="1"/>
  <c r="J43" i="3"/>
  <c r="J42" i="3" s="1"/>
  <c r="M43" i="3"/>
  <c r="M42" i="3" s="1"/>
  <c r="P43" i="3"/>
  <c r="P42" i="3" s="1"/>
  <c r="R43" i="3"/>
  <c r="R42" i="3" s="1"/>
  <c r="U43" i="3"/>
  <c r="U42" i="3" s="1"/>
  <c r="X43" i="3"/>
  <c r="X42" i="3" s="1"/>
  <c r="Z43" i="3"/>
  <c r="Z42" i="3" s="1"/>
  <c r="AC43" i="3"/>
  <c r="AC42" i="3" s="1"/>
  <c r="AF43" i="3"/>
  <c r="AF42" i="3" s="1"/>
  <c r="AH43" i="3"/>
  <c r="AH42" i="3" s="1"/>
  <c r="AK43" i="3"/>
  <c r="AK42" i="3" s="1"/>
  <c r="AM43" i="3"/>
  <c r="AQ43" i="3"/>
  <c r="AS43" i="3"/>
  <c r="AU43" i="3"/>
  <c r="AY43" i="3"/>
  <c r="BA43" i="3"/>
  <c r="BC43" i="3"/>
  <c r="BG43" i="3"/>
  <c r="BI43" i="3"/>
  <c r="W74" i="3"/>
  <c r="CA66" i="4"/>
  <c r="CC66" i="4"/>
  <c r="CE66" i="4"/>
  <c r="CG66" i="4"/>
  <c r="CI66" i="4"/>
  <c r="CK66" i="4"/>
  <c r="CR66" i="4"/>
  <c r="CT66" i="4"/>
  <c r="CV66" i="4"/>
  <c r="CX66" i="4"/>
  <c r="CZ66" i="4"/>
  <c r="DB66" i="4"/>
  <c r="CS8" i="17"/>
  <c r="CS5" i="4"/>
  <c r="CS56" i="4" s="1"/>
  <c r="CS68" i="4" s="1"/>
  <c r="CS75" i="4" s="1"/>
  <c r="CS5" i="3"/>
  <c r="CS40" i="3" s="1"/>
  <c r="CS54" i="3" s="1"/>
  <c r="CS72" i="3" s="1"/>
  <c r="CU8" i="17"/>
  <c r="CU5" i="4"/>
  <c r="CU56" i="4" s="1"/>
  <c r="CU68" i="4" s="1"/>
  <c r="CU75" i="4" s="1"/>
  <c r="CU5" i="3"/>
  <c r="CU40" i="3" s="1"/>
  <c r="CU54" i="3" s="1"/>
  <c r="CU72" i="3" s="1"/>
  <c r="CW8" i="17"/>
  <c r="CW5" i="4"/>
  <c r="CW56" i="4" s="1"/>
  <c r="CW68" i="4" s="1"/>
  <c r="CW75" i="4" s="1"/>
  <c r="CW5" i="3"/>
  <c r="CW40" i="3" s="1"/>
  <c r="CW54" i="3" s="1"/>
  <c r="CW72" i="3" s="1"/>
  <c r="CY8" i="17"/>
  <c r="CY5" i="4"/>
  <c r="CY56" i="4" s="1"/>
  <c r="CY68" i="4" s="1"/>
  <c r="CY75" i="4" s="1"/>
  <c r="CY5" i="3"/>
  <c r="CY40" i="3" s="1"/>
  <c r="CY54" i="3" s="1"/>
  <c r="CY72" i="3" s="1"/>
  <c r="DA8" i="17"/>
  <c r="DA5" i="4"/>
  <c r="DA56" i="4" s="1"/>
  <c r="DA68" i="4" s="1"/>
  <c r="DA75" i="4" s="1"/>
  <c r="DA5" i="3"/>
  <c r="DA40" i="3" s="1"/>
  <c r="DA54" i="3" s="1"/>
  <c r="DA72" i="3" s="1"/>
  <c r="DC8" i="17"/>
  <c r="DC5" i="4"/>
  <c r="DC56" i="4" s="1"/>
  <c r="DC68" i="4" s="1"/>
  <c r="DC75" i="4" s="1"/>
  <c r="DC5" i="3"/>
  <c r="DC40" i="3" s="1"/>
  <c r="DC54" i="3" s="1"/>
  <c r="DC72" i="3" s="1"/>
  <c r="DE8" i="17"/>
  <c r="DE5" i="4"/>
  <c r="DE56" i="4" s="1"/>
  <c r="DE68" i="4" s="1"/>
  <c r="DE75" i="4" s="1"/>
  <c r="DE5" i="3"/>
  <c r="DE40" i="3" s="1"/>
  <c r="DE54" i="3" s="1"/>
  <c r="DE72" i="3" s="1"/>
  <c r="BZ8" i="17"/>
  <c r="BZ6" i="4"/>
  <c r="BZ56" i="4" s="1"/>
  <c r="BZ68" i="4" s="1"/>
  <c r="BZ75" i="4" s="1"/>
  <c r="BZ6" i="3"/>
  <c r="BZ40" i="3" s="1"/>
  <c r="BZ54" i="3" s="1"/>
  <c r="BZ72" i="3" s="1"/>
  <c r="CB8" i="17"/>
  <c r="CB109" i="17" s="1"/>
  <c r="CB6" i="4"/>
  <c r="CB56" i="4" s="1"/>
  <c r="CB68" i="4" s="1"/>
  <c r="CB75" i="4" s="1"/>
  <c r="CB6" i="3"/>
  <c r="CD8" i="17"/>
  <c r="CD6" i="4"/>
  <c r="CD56" i="4" s="1"/>
  <c r="CD68" i="4" s="1"/>
  <c r="CD75" i="4" s="1"/>
  <c r="CD6" i="3"/>
  <c r="CF8" i="17"/>
  <c r="CF6" i="4"/>
  <c r="CF56" i="4" s="1"/>
  <c r="CF68" i="4" s="1"/>
  <c r="CF75" i="4" s="1"/>
  <c r="CF6" i="3"/>
  <c r="CH8" i="17"/>
  <c r="CH6" i="4"/>
  <c r="CH56" i="4" s="1"/>
  <c r="CH68" i="4" s="1"/>
  <c r="CH75" i="4" s="1"/>
  <c r="CH6" i="3"/>
  <c r="K67" i="17"/>
  <c r="K49" i="3"/>
  <c r="S67" i="17"/>
  <c r="S27" i="17" s="1"/>
  <c r="S28" i="17" s="1"/>
  <c r="S49" i="3"/>
  <c r="AA67" i="17"/>
  <c r="AA27" i="17" s="1"/>
  <c r="AA9" i="17" s="1"/>
  <c r="AA63" i="17" s="1"/>
  <c r="AA49" i="3"/>
  <c r="AI67" i="17"/>
  <c r="AI27" i="17" s="1"/>
  <c r="AI9" i="17" s="1"/>
  <c r="AI63" i="17" s="1"/>
  <c r="AI49" i="3"/>
  <c r="BZ8" i="2"/>
  <c r="BZ15" i="2" s="1"/>
  <c r="CB8" i="2"/>
  <c r="CD8" i="2"/>
  <c r="CD15" i="2" s="1"/>
  <c r="CF8" i="2"/>
  <c r="CH88" i="17"/>
  <c r="CH49" i="3"/>
  <c r="CH67" i="17"/>
  <c r="CH82" i="17" s="1"/>
  <c r="CH24" i="2"/>
  <c r="CJ67" i="17"/>
  <c r="CJ88" i="17"/>
  <c r="CJ99" i="17" s="1"/>
  <c r="CJ49" i="3"/>
  <c r="CJ24" i="2"/>
  <c r="CL88" i="17"/>
  <c r="CL67" i="17"/>
  <c r="CL24" i="2"/>
  <c r="CS8" i="2"/>
  <c r="CU8" i="2"/>
  <c r="CW8" i="2"/>
  <c r="CY67" i="17"/>
  <c r="CY49" i="3"/>
  <c r="CY24" i="2"/>
  <c r="DA67" i="17"/>
  <c r="DA49" i="3"/>
  <c r="DA24" i="2"/>
  <c r="DC49" i="3"/>
  <c r="DC67" i="17"/>
  <c r="DC24" i="2"/>
  <c r="D60" i="2"/>
  <c r="D28" i="2"/>
  <c r="D26" i="2"/>
  <c r="F60" i="2"/>
  <c r="F28" i="2"/>
  <c r="F26" i="2"/>
  <c r="H60" i="2"/>
  <c r="H28" i="2"/>
  <c r="H26" i="2"/>
  <c r="J60" i="2"/>
  <c r="J28" i="2"/>
  <c r="J26" i="2"/>
  <c r="L60" i="2"/>
  <c r="L28" i="2"/>
  <c r="L26" i="2"/>
  <c r="N60" i="2"/>
  <c r="N28" i="2"/>
  <c r="N26" i="2"/>
  <c r="P60" i="2"/>
  <c r="P28" i="2"/>
  <c r="P26" i="2"/>
  <c r="R60" i="2"/>
  <c r="R28" i="2"/>
  <c r="R26" i="2"/>
  <c r="T60" i="2"/>
  <c r="T28" i="2"/>
  <c r="T26" i="2"/>
  <c r="V60" i="2"/>
  <c r="V28" i="2"/>
  <c r="V26" i="2"/>
  <c r="X60" i="2"/>
  <c r="X28" i="2"/>
  <c r="X26" i="2"/>
  <c r="Z60" i="2"/>
  <c r="Z28" i="2"/>
  <c r="Z26" i="2"/>
  <c r="AB60" i="2"/>
  <c r="AB28" i="2"/>
  <c r="AB26" i="2"/>
  <c r="AB12" i="2"/>
  <c r="AD60" i="2"/>
  <c r="AD28" i="2"/>
  <c r="AD26" i="2"/>
  <c r="AD12" i="2"/>
  <c r="AF60" i="2"/>
  <c r="AF28" i="2"/>
  <c r="AF26" i="2"/>
  <c r="AF12" i="2"/>
  <c r="AH60" i="2"/>
  <c r="AH28" i="2"/>
  <c r="AH26" i="2"/>
  <c r="AH12" i="2"/>
  <c r="AJ60" i="2"/>
  <c r="AJ28" i="2"/>
  <c r="AJ26" i="2"/>
  <c r="AJ12" i="2"/>
  <c r="AL60" i="2"/>
  <c r="AL28" i="2"/>
  <c r="AL26" i="2"/>
  <c r="AL12" i="2"/>
  <c r="AN60" i="2"/>
  <c r="AN28" i="2"/>
  <c r="AN26" i="2"/>
  <c r="AN12" i="2"/>
  <c r="AP60" i="2"/>
  <c r="AP28" i="2"/>
  <c r="AP26" i="2"/>
  <c r="AP12" i="2"/>
  <c r="AR28" i="2"/>
  <c r="AR26" i="2"/>
  <c r="AR12" i="2"/>
  <c r="AT60" i="2"/>
  <c r="AT28" i="2"/>
  <c r="AT26" i="2"/>
  <c r="AT12" i="2"/>
  <c r="AV60" i="2"/>
  <c r="AV28" i="2"/>
  <c r="AV26" i="2"/>
  <c r="AV12" i="2"/>
  <c r="AX60" i="2"/>
  <c r="AX28" i="2"/>
  <c r="AX26" i="2"/>
  <c r="AX12" i="2"/>
  <c r="AZ60" i="2"/>
  <c r="AZ28" i="2"/>
  <c r="AZ26" i="2"/>
  <c r="AZ12" i="2"/>
  <c r="BB60" i="2"/>
  <c r="BB28" i="2"/>
  <c r="BB26" i="2"/>
  <c r="BB12" i="2"/>
  <c r="BD60" i="2"/>
  <c r="BD28" i="2"/>
  <c r="BD26" i="2"/>
  <c r="BD12" i="2"/>
  <c r="BF60" i="2"/>
  <c r="BF28" i="2"/>
  <c r="BF26" i="2"/>
  <c r="BF12" i="2"/>
  <c r="BH60" i="2"/>
  <c r="BH28" i="2"/>
  <c r="BH26" i="2"/>
  <c r="BH12" i="2"/>
  <c r="BJ60" i="2"/>
  <c r="BJ28" i="2"/>
  <c r="BJ26" i="2"/>
  <c r="BJ12" i="2"/>
  <c r="CH10" i="2"/>
  <c r="CH60" i="2" s="1"/>
  <c r="CJ10" i="2"/>
  <c r="CJ60" i="2" s="1"/>
  <c r="CL10" i="2"/>
  <c r="CL60" i="2" s="1"/>
  <c r="CY10" i="2"/>
  <c r="DA10" i="2"/>
  <c r="DA60" i="2" s="1"/>
  <c r="DC10" i="2"/>
  <c r="DC60" i="2" s="1"/>
  <c r="F11" i="2"/>
  <c r="I11" i="2"/>
  <c r="N11" i="2"/>
  <c r="Q11" i="2"/>
  <c r="V11" i="2"/>
  <c r="Y11" i="2"/>
  <c r="AC11" i="2"/>
  <c r="AG11" i="2"/>
  <c r="AK11" i="2"/>
  <c r="AM11" i="2"/>
  <c r="AO11" i="2"/>
  <c r="AQ11" i="2"/>
  <c r="AS11" i="2"/>
  <c r="AU11" i="2"/>
  <c r="AW11" i="2"/>
  <c r="AZ11" i="2"/>
  <c r="BD11" i="2"/>
  <c r="BH11" i="2"/>
  <c r="BZ50" i="3"/>
  <c r="BZ21" i="2"/>
  <c r="BZ19" i="2"/>
  <c r="CD50" i="3"/>
  <c r="CD21" i="2"/>
  <c r="CD19" i="2"/>
  <c r="CS19" i="2"/>
  <c r="CW19" i="2"/>
  <c r="CY50" i="3"/>
  <c r="CY21" i="2"/>
  <c r="CY22" i="2" s="1"/>
  <c r="CY19" i="2"/>
  <c r="CY15" i="2"/>
  <c r="DA138" i="2"/>
  <c r="DA21" i="2"/>
  <c r="DA19" i="2"/>
  <c r="DA20" i="2" s="1"/>
  <c r="DA15" i="2"/>
  <c r="DC50" i="3"/>
  <c r="DC21" i="2"/>
  <c r="DC22" i="2" s="1"/>
  <c r="DC19" i="2"/>
  <c r="DC15" i="2"/>
  <c r="K15" i="2"/>
  <c r="S15" i="2"/>
  <c r="AA15" i="2"/>
  <c r="AI15" i="2"/>
  <c r="CM18" i="2"/>
  <c r="D20" i="2"/>
  <c r="H20" i="2"/>
  <c r="L20" i="2"/>
  <c r="P20" i="2"/>
  <c r="T20" i="2"/>
  <c r="X20" i="2"/>
  <c r="AB20" i="2"/>
  <c r="AF20" i="2"/>
  <c r="AJ20" i="2"/>
  <c r="AN20" i="2"/>
  <c r="AR20" i="2"/>
  <c r="AV20" i="2"/>
  <c r="AZ20" i="2"/>
  <c r="BD20" i="2"/>
  <c r="BH20" i="2"/>
  <c r="F22" i="2"/>
  <c r="J22" i="2"/>
  <c r="N22" i="2"/>
  <c r="R22" i="2"/>
  <c r="V22" i="2"/>
  <c r="Z22" i="2"/>
  <c r="AD22" i="2"/>
  <c r="AH22" i="2"/>
  <c r="AL22" i="2"/>
  <c r="AP22" i="2"/>
  <c r="AT22" i="2"/>
  <c r="AX22" i="2"/>
  <c r="BB22" i="2"/>
  <c r="BF22" i="2"/>
  <c r="BJ22" i="2"/>
  <c r="CI25" i="2"/>
  <c r="E28" i="2"/>
  <c r="I28" i="2"/>
  <c r="M28" i="2"/>
  <c r="Q28" i="2"/>
  <c r="U28" i="2"/>
  <c r="Y28" i="2"/>
  <c r="AC28" i="2"/>
  <c r="AG28" i="2"/>
  <c r="AK28" i="2"/>
  <c r="AO28" i="2"/>
  <c r="AS28" i="2"/>
  <c r="AW28" i="2"/>
  <c r="BA28" i="2"/>
  <c r="BE28" i="2"/>
  <c r="BI28" i="2"/>
  <c r="CB31" i="2"/>
  <c r="CF31" i="2"/>
  <c r="CH137" i="2"/>
  <c r="CH39" i="2"/>
  <c r="CH32" i="2"/>
  <c r="CJ39" i="2"/>
  <c r="CJ37" i="2"/>
  <c r="CJ32" i="2"/>
  <c r="CL39" i="2"/>
  <c r="CL32" i="2"/>
  <c r="CU31" i="2"/>
  <c r="CT34" i="2"/>
  <c r="CC34" i="2"/>
  <c r="CH34" i="2"/>
  <c r="CH37" i="2" s="1"/>
  <c r="DC34" i="2"/>
  <c r="DC37" i="2" s="1"/>
  <c r="CM36" i="2"/>
  <c r="F38" i="2"/>
  <c r="J38" i="2"/>
  <c r="N38" i="2"/>
  <c r="R38" i="2"/>
  <c r="V38" i="2"/>
  <c r="Z38" i="2"/>
  <c r="AD38" i="2"/>
  <c r="AH38" i="2"/>
  <c r="AL38" i="2"/>
  <c r="AP38" i="2"/>
  <c r="AT38" i="2"/>
  <c r="AX38" i="2"/>
  <c r="BB38" i="2"/>
  <c r="BF38" i="2"/>
  <c r="BJ38" i="2"/>
  <c r="D40" i="2"/>
  <c r="H40" i="2"/>
  <c r="L40" i="2"/>
  <c r="P40" i="2"/>
  <c r="T40" i="2"/>
  <c r="X40" i="2"/>
  <c r="AB40" i="2"/>
  <c r="AF40" i="2"/>
  <c r="AJ40" i="2"/>
  <c r="AN40" i="2"/>
  <c r="AR40" i="2"/>
  <c r="AV40" i="2"/>
  <c r="AZ40" i="2"/>
  <c r="BD40" i="2"/>
  <c r="BH40" i="2"/>
  <c r="K50" i="2"/>
  <c r="K48" i="2"/>
  <c r="S50" i="2"/>
  <c r="S48" i="2"/>
  <c r="AA50" i="2"/>
  <c r="AA48" i="2"/>
  <c r="AI50" i="2"/>
  <c r="AI48" i="2"/>
  <c r="CB42" i="2"/>
  <c r="CF42" i="2"/>
  <c r="CH43" i="2"/>
  <c r="CJ43" i="2"/>
  <c r="CS42" i="2"/>
  <c r="CW42" i="2"/>
  <c r="CY43" i="2"/>
  <c r="DA43" i="2"/>
  <c r="CT45" i="2"/>
  <c r="CC45" i="2"/>
  <c r="DC45" i="2"/>
  <c r="DC48" i="2" s="1"/>
  <c r="DD47" i="2"/>
  <c r="H49" i="2"/>
  <c r="J49" i="2"/>
  <c r="P49" i="2"/>
  <c r="R49" i="2"/>
  <c r="X49" i="2"/>
  <c r="Z49" i="2"/>
  <c r="AF49" i="2"/>
  <c r="AH49" i="2"/>
  <c r="AP49" i="2"/>
  <c r="AR49" i="2"/>
  <c r="AT49" i="2"/>
  <c r="BF48" i="2"/>
  <c r="BF49" i="2" s="1"/>
  <c r="BH49" i="2"/>
  <c r="BJ49" i="2"/>
  <c r="CJ48" i="2"/>
  <c r="CJ49" i="2" s="1"/>
  <c r="DA48" i="2"/>
  <c r="D51" i="2"/>
  <c r="F51" i="2"/>
  <c r="L51" i="2"/>
  <c r="N51" i="2"/>
  <c r="T51" i="2"/>
  <c r="V51" i="2"/>
  <c r="AB51" i="2"/>
  <c r="AD51" i="2"/>
  <c r="AJ51" i="2"/>
  <c r="AL51" i="2"/>
  <c r="AN51" i="2"/>
  <c r="AP51" i="2"/>
  <c r="AR51" i="2"/>
  <c r="AT51" i="2"/>
  <c r="AV51" i="2"/>
  <c r="AX51" i="2"/>
  <c r="AZ51" i="2"/>
  <c r="BB51" i="2"/>
  <c r="CH50" i="2"/>
  <c r="CY50" i="2"/>
  <c r="CM53" i="2"/>
  <c r="CU54" i="2"/>
  <c r="CD54" i="2"/>
  <c r="AA53" i="2"/>
  <c r="CW54" i="2"/>
  <c r="CF54" i="2"/>
  <c r="AI53" i="2"/>
  <c r="BY54" i="2"/>
  <c r="CR54" i="2"/>
  <c r="BM55" i="2"/>
  <c r="CC55" i="2"/>
  <c r="CG55" i="2"/>
  <c r="CR55" i="2"/>
  <c r="CV55" i="2"/>
  <c r="S107" i="2"/>
  <c r="CS56" i="2"/>
  <c r="CB56" i="2"/>
  <c r="CB107" i="2" s="1"/>
  <c r="S53" i="2"/>
  <c r="BM56" i="2"/>
  <c r="DD56" i="2"/>
  <c r="AR60" i="2"/>
  <c r="H62" i="2"/>
  <c r="H66" i="2" s="1"/>
  <c r="L62" i="2"/>
  <c r="L66" i="2" s="1"/>
  <c r="T62" i="2"/>
  <c r="T66" i="2" s="1"/>
  <c r="AB62" i="2"/>
  <c r="AB66" i="2" s="1"/>
  <c r="AN62" i="2"/>
  <c r="AN66" i="2" s="1"/>
  <c r="AR62" i="2"/>
  <c r="AR66" i="2" s="1"/>
  <c r="AV62" i="2"/>
  <c r="AV66" i="2" s="1"/>
  <c r="AZ62" i="2"/>
  <c r="BD62" i="2"/>
  <c r="BD66" i="2" s="1"/>
  <c r="BH62" i="2"/>
  <c r="BH66" i="2" s="1"/>
  <c r="CH62" i="2"/>
  <c r="CL62" i="2"/>
  <c r="CY62" i="2"/>
  <c r="F64" i="2"/>
  <c r="N64" i="2"/>
  <c r="V64" i="2"/>
  <c r="AD64" i="2"/>
  <c r="AL64" i="2"/>
  <c r="AP64" i="2"/>
  <c r="AT64" i="2"/>
  <c r="AX64" i="2"/>
  <c r="BB64" i="2"/>
  <c r="I67" i="2"/>
  <c r="E79" i="2"/>
  <c r="E77" i="2"/>
  <c r="I79" i="2"/>
  <c r="I77" i="2"/>
  <c r="M79" i="2"/>
  <c r="M77" i="2"/>
  <c r="O79" i="2"/>
  <c r="Q79" i="2"/>
  <c r="Q77" i="2"/>
  <c r="S79" i="2"/>
  <c r="U79" i="2"/>
  <c r="U77" i="2"/>
  <c r="Y79" i="2"/>
  <c r="Y77" i="2"/>
  <c r="AC79" i="2"/>
  <c r="AC77" i="2"/>
  <c r="AE79" i="2"/>
  <c r="AG79" i="2"/>
  <c r="AG77" i="2"/>
  <c r="AI79" i="2"/>
  <c r="AK79" i="2"/>
  <c r="AK77" i="2"/>
  <c r="AM79" i="2"/>
  <c r="AM77" i="2"/>
  <c r="AO79" i="2"/>
  <c r="AO77" i="2"/>
  <c r="AQ79" i="2"/>
  <c r="AQ77" i="2"/>
  <c r="AS79" i="2"/>
  <c r="AS77" i="2"/>
  <c r="AU79" i="2"/>
  <c r="AU77" i="2"/>
  <c r="AW79" i="2"/>
  <c r="AW77" i="2"/>
  <c r="AY79" i="2"/>
  <c r="AY77" i="2"/>
  <c r="BA79" i="2"/>
  <c r="BA77" i="2"/>
  <c r="BC79" i="2"/>
  <c r="BC77" i="2"/>
  <c r="BE79" i="2"/>
  <c r="BE77" i="2"/>
  <c r="BG79" i="2"/>
  <c r="BG77" i="2"/>
  <c r="BI79" i="2"/>
  <c r="BI77" i="2"/>
  <c r="CJ79" i="2"/>
  <c r="CJ77" i="2"/>
  <c r="DA79" i="2"/>
  <c r="BM74" i="2"/>
  <c r="CS74" i="2"/>
  <c r="CW74" i="2"/>
  <c r="CI77" i="2"/>
  <c r="CK79" i="2"/>
  <c r="CX79" i="2"/>
  <c r="CA95" i="2"/>
  <c r="BM90" i="2"/>
  <c r="CO91" i="2"/>
  <c r="CX93" i="2"/>
  <c r="DB93" i="2"/>
  <c r="CT95" i="2"/>
  <c r="CX95" i="2"/>
  <c r="DB95" i="2"/>
  <c r="G100" i="2"/>
  <c r="O100" i="2"/>
  <c r="W100" i="2"/>
  <c r="AA100" i="2"/>
  <c r="AE100" i="2"/>
  <c r="AI100" i="2"/>
  <c r="CR127" i="2"/>
  <c r="CR126" i="2"/>
  <c r="CT127" i="2"/>
  <c r="CT126" i="2"/>
  <c r="CV127" i="2"/>
  <c r="CV126" i="2"/>
  <c r="CX127" i="2"/>
  <c r="CX126" i="2"/>
  <c r="CZ127" i="2"/>
  <c r="CZ126" i="2"/>
  <c r="CD78" i="3"/>
  <c r="CD73" i="3"/>
  <c r="CD82" i="3"/>
  <c r="CF78" i="3"/>
  <c r="CF82" i="3"/>
  <c r="CF80" i="3"/>
  <c r="CF73" i="3"/>
  <c r="CJ80" i="3"/>
  <c r="DC129" i="2"/>
  <c r="DA129" i="2"/>
  <c r="DB129" i="2"/>
  <c r="CH138" i="2"/>
  <c r="DC138" i="2"/>
  <c r="E293" i="4"/>
  <c r="E294" i="3"/>
  <c r="G137" i="17"/>
  <c r="G293" i="4"/>
  <c r="G294" i="3"/>
  <c r="I293" i="4"/>
  <c r="I137" i="17"/>
  <c r="I294" i="3"/>
  <c r="K137" i="17"/>
  <c r="K293" i="4"/>
  <c r="M293" i="4"/>
  <c r="M294" i="3"/>
  <c r="M137" i="17"/>
  <c r="O137" i="17"/>
  <c r="O293" i="4"/>
  <c r="O294" i="3"/>
  <c r="Q293" i="4"/>
  <c r="Q137" i="17"/>
  <c r="Q294" i="3"/>
  <c r="S137" i="17"/>
  <c r="S293" i="4"/>
  <c r="U293" i="4"/>
  <c r="U294" i="3"/>
  <c r="W137" i="17"/>
  <c r="W293" i="4"/>
  <c r="W294" i="3"/>
  <c r="Y293" i="4"/>
  <c r="Y137" i="17"/>
  <c r="Y294" i="3"/>
  <c r="AA137" i="17"/>
  <c r="AA293" i="4"/>
  <c r="AC293" i="4"/>
  <c r="AC294" i="3"/>
  <c r="AC137" i="17"/>
  <c r="AE137" i="17"/>
  <c r="AE293" i="4"/>
  <c r="AE294" i="3"/>
  <c r="AG293" i="4"/>
  <c r="AG137" i="17"/>
  <c r="AG294" i="3"/>
  <c r="AI137" i="17"/>
  <c r="AI293" i="4"/>
  <c r="AK293" i="4"/>
  <c r="AK294" i="3"/>
  <c r="AM137" i="17"/>
  <c r="AM293" i="4"/>
  <c r="AM294" i="3"/>
  <c r="AO293" i="4"/>
  <c r="AO137" i="17"/>
  <c r="AO294" i="3"/>
  <c r="AQ137" i="17"/>
  <c r="AQ293" i="4"/>
  <c r="AS293" i="4"/>
  <c r="AS294" i="3"/>
  <c r="AS137" i="17"/>
  <c r="AU137" i="17"/>
  <c r="AU293" i="4"/>
  <c r="AU294" i="3"/>
  <c r="AW293" i="4"/>
  <c r="AW137" i="17"/>
  <c r="AW294" i="3"/>
  <c r="DA296" i="2"/>
  <c r="AY137" i="17"/>
  <c r="AY293" i="4"/>
  <c r="BA293" i="4"/>
  <c r="BA294" i="3"/>
  <c r="BC137" i="17"/>
  <c r="BC293" i="4"/>
  <c r="BC294" i="3"/>
  <c r="BE293" i="4"/>
  <c r="BE137" i="17"/>
  <c r="BE294" i="3"/>
  <c r="BG137" i="17"/>
  <c r="BG293" i="4"/>
  <c r="BI293" i="4"/>
  <c r="BI294" i="3"/>
  <c r="BI137" i="17"/>
  <c r="BK293" i="4"/>
  <c r="BM293" i="4"/>
  <c r="BM137" i="17"/>
  <c r="BM294" i="3"/>
  <c r="BO137" i="17"/>
  <c r="BO293" i="4"/>
  <c r="BQ293" i="4"/>
  <c r="BQ294" i="3"/>
  <c r="BS137" i="17"/>
  <c r="BS293" i="4"/>
  <c r="BS294" i="3"/>
  <c r="BZ293" i="4"/>
  <c r="BZ137" i="17"/>
  <c r="BZ294" i="3"/>
  <c r="CB137" i="17"/>
  <c r="CB293" i="4"/>
  <c r="CD293" i="4"/>
  <c r="CD294" i="3"/>
  <c r="CD137" i="17"/>
  <c r="CF137" i="17"/>
  <c r="CF293" i="4"/>
  <c r="CF294" i="3"/>
  <c r="CH293" i="4"/>
  <c r="CH137" i="17"/>
  <c r="CH294" i="3"/>
  <c r="CJ137" i="17"/>
  <c r="CJ293" i="4"/>
  <c r="CL293" i="4"/>
  <c r="CL294" i="3"/>
  <c r="CN137" i="17"/>
  <c r="CN293" i="4"/>
  <c r="CN294" i="3"/>
  <c r="CP294" i="3"/>
  <c r="CY293" i="4"/>
  <c r="CE40" i="3"/>
  <c r="CE54" i="3" s="1"/>
  <c r="CE72" i="3" s="1"/>
  <c r="AP42" i="3"/>
  <c r="AR42" i="3"/>
  <c r="BH42" i="3"/>
  <c r="CZ45" i="3"/>
  <c r="CJ44" i="3"/>
  <c r="CJ43" i="3"/>
  <c r="CJ42" i="3" s="1"/>
  <c r="CW50" i="3"/>
  <c r="CS74" i="3"/>
  <c r="CD80" i="3"/>
  <c r="S294" i="3"/>
  <c r="AI294" i="3"/>
  <c r="AY294" i="3"/>
  <c r="BO294" i="3"/>
  <c r="CJ294" i="3"/>
  <c r="P27" i="17"/>
  <c r="X27" i="17"/>
  <c r="AF27" i="17"/>
  <c r="AG27" i="17" s="1"/>
  <c r="CF27" i="17" s="1"/>
  <c r="E137" i="17"/>
  <c r="AK137" i="17"/>
  <c r="BQ137" i="17"/>
  <c r="CR5" i="4"/>
  <c r="CR56" i="4" s="1"/>
  <c r="CR68" i="4" s="1"/>
  <c r="CR75" i="4" s="1"/>
  <c r="CR8" i="17"/>
  <c r="CT8" i="17"/>
  <c r="CT5" i="3"/>
  <c r="CT40" i="3" s="1"/>
  <c r="CT54" i="3" s="1"/>
  <c r="CT72" i="3" s="1"/>
  <c r="CV8" i="17"/>
  <c r="CV5" i="4"/>
  <c r="CV56" i="4" s="1"/>
  <c r="CV68" i="4" s="1"/>
  <c r="CV75" i="4" s="1"/>
  <c r="CX8" i="17"/>
  <c r="CX5" i="4"/>
  <c r="CX56" i="4" s="1"/>
  <c r="CX68" i="4" s="1"/>
  <c r="CX75" i="4" s="1"/>
  <c r="CX5" i="3"/>
  <c r="CX40" i="3" s="1"/>
  <c r="CX54" i="3" s="1"/>
  <c r="CX72" i="3" s="1"/>
  <c r="DB8" i="17"/>
  <c r="DB5" i="3"/>
  <c r="DB40" i="3" s="1"/>
  <c r="DB54" i="3" s="1"/>
  <c r="DB72" i="3" s="1"/>
  <c r="DD8" i="17"/>
  <c r="DD5" i="4"/>
  <c r="DD56" i="4" s="1"/>
  <c r="DD68" i="4" s="1"/>
  <c r="DD75" i="4" s="1"/>
  <c r="BY8" i="17"/>
  <c r="BY6" i="4"/>
  <c r="BY56" i="4" s="1"/>
  <c r="BY68" i="4" s="1"/>
  <c r="BY75" i="4" s="1"/>
  <c r="BY6" i="3"/>
  <c r="BY40" i="3" s="1"/>
  <c r="BY54" i="3" s="1"/>
  <c r="BY72" i="3" s="1"/>
  <c r="CA6" i="4"/>
  <c r="CA56" i="4" s="1"/>
  <c r="CA68" i="4" s="1"/>
  <c r="CA75" i="4" s="1"/>
  <c r="CC6" i="3"/>
  <c r="CE8" i="17"/>
  <c r="CE6" i="4"/>
  <c r="CE56" i="4" s="1"/>
  <c r="CE68" i="4" s="1"/>
  <c r="CE75" i="4" s="1"/>
  <c r="CG8" i="17"/>
  <c r="CG87" i="17" s="1"/>
  <c r="CG6" i="4"/>
  <c r="CG56" i="4" s="1"/>
  <c r="CG68" i="4" s="1"/>
  <c r="CG75" i="4" s="1"/>
  <c r="CG6" i="3"/>
  <c r="CX7" i="2"/>
  <c r="G67" i="17"/>
  <c r="G49" i="3"/>
  <c r="O67" i="17"/>
  <c r="O27" i="17" s="1"/>
  <c r="O9" i="17" s="1"/>
  <c r="O63" i="17" s="1"/>
  <c r="O69" i="17" s="1"/>
  <c r="O49" i="3"/>
  <c r="W67" i="17"/>
  <c r="W27" i="17" s="1"/>
  <c r="W49" i="3"/>
  <c r="AE67" i="17"/>
  <c r="AE27" i="17" s="1"/>
  <c r="AE49" i="3"/>
  <c r="BY8" i="2"/>
  <c r="CA8" i="2"/>
  <c r="CC8" i="2"/>
  <c r="CE8" i="2"/>
  <c r="CG88" i="17"/>
  <c r="CG104" i="17" s="1"/>
  <c r="CG67" i="17"/>
  <c r="CG49" i="3"/>
  <c r="CI88" i="17"/>
  <c r="CI67" i="17"/>
  <c r="CI82" i="17" s="1"/>
  <c r="CK88" i="17"/>
  <c r="CK67" i="17"/>
  <c r="CK49" i="3"/>
  <c r="CR8" i="2"/>
  <c r="CT8" i="2"/>
  <c r="CV8" i="2"/>
  <c r="CX67" i="17"/>
  <c r="CX49" i="3"/>
  <c r="DB67" i="17"/>
  <c r="DB49" i="3"/>
  <c r="G10" i="2"/>
  <c r="K10" i="2"/>
  <c r="O10" i="2"/>
  <c r="O20" i="2" s="1"/>
  <c r="S10" i="2"/>
  <c r="W10" i="2"/>
  <c r="W40" i="2" s="1"/>
  <c r="AA10" i="2"/>
  <c r="AB11" i="2" s="1"/>
  <c r="AE10" i="2"/>
  <c r="AF11" i="2" s="1"/>
  <c r="AI10" i="2"/>
  <c r="AJ11" i="2" s="1"/>
  <c r="AY11" i="2"/>
  <c r="BA11" i="2"/>
  <c r="BC11" i="2"/>
  <c r="BE11" i="2"/>
  <c r="BG11" i="2"/>
  <c r="BI11" i="2"/>
  <c r="CG10" i="2"/>
  <c r="CI10" i="2"/>
  <c r="CK10" i="2"/>
  <c r="CX10" i="2"/>
  <c r="CZ10" i="2"/>
  <c r="DB10" i="2"/>
  <c r="E11" i="2"/>
  <c r="J11" i="2"/>
  <c r="M11" i="2"/>
  <c r="R11" i="2"/>
  <c r="U11" i="2"/>
  <c r="Z11" i="2"/>
  <c r="AD11" i="2"/>
  <c r="AH11" i="2"/>
  <c r="AL11" i="2"/>
  <c r="AN11" i="2"/>
  <c r="AP11" i="2"/>
  <c r="AR11" i="2"/>
  <c r="AT11" i="2"/>
  <c r="AV11" i="2"/>
  <c r="AX11" i="2"/>
  <c r="BB11" i="2"/>
  <c r="BF11" i="2"/>
  <c r="BJ11" i="2"/>
  <c r="AQ12" i="2"/>
  <c r="AU12" i="2"/>
  <c r="AY12" i="2"/>
  <c r="BC12" i="2"/>
  <c r="BG12" i="2"/>
  <c r="CY13" i="2"/>
  <c r="K50" i="3"/>
  <c r="K138" i="2"/>
  <c r="S50" i="3"/>
  <c r="S138" i="2"/>
  <c r="AA50" i="3"/>
  <c r="AA138" i="2"/>
  <c r="AI50" i="3"/>
  <c r="AI138" i="2"/>
  <c r="CB14" i="2"/>
  <c r="CF14" i="2"/>
  <c r="CH50" i="3"/>
  <c r="CH21" i="2"/>
  <c r="CH19" i="2"/>
  <c r="CH20" i="2" s="1"/>
  <c r="CH15" i="2"/>
  <c r="CJ138" i="2"/>
  <c r="CJ21" i="2"/>
  <c r="CJ19" i="2"/>
  <c r="CJ20" i="2" s="1"/>
  <c r="CJ15" i="2"/>
  <c r="CL21" i="2"/>
  <c r="CL19" i="2"/>
  <c r="CL15" i="2"/>
  <c r="CU14" i="2"/>
  <c r="CI15" i="2"/>
  <c r="CZ15" i="2"/>
  <c r="W107" i="2"/>
  <c r="CT16" i="2"/>
  <c r="CC16" i="2"/>
  <c r="DD10" i="4"/>
  <c r="DD16" i="2"/>
  <c r="CG107" i="2"/>
  <c r="CK107" i="2"/>
  <c r="CS107" i="2"/>
  <c r="CX107" i="2"/>
  <c r="DB107" i="2"/>
  <c r="BY109" i="2"/>
  <c r="BY111" i="2" s="1"/>
  <c r="BY101" i="2" s="1"/>
  <c r="CC109" i="2"/>
  <c r="CC111" i="2" s="1"/>
  <c r="CC101" i="2" s="1"/>
  <c r="CG109" i="2"/>
  <c r="CG111" i="2" s="1"/>
  <c r="CG101" i="2" s="1"/>
  <c r="CK109" i="2"/>
  <c r="CK111" i="2" s="1"/>
  <c r="CK101" i="2" s="1"/>
  <c r="CT109" i="2"/>
  <c r="CT111" i="2" s="1"/>
  <c r="CT101" i="2" s="1"/>
  <c r="CX109" i="2"/>
  <c r="CX111" i="2" s="1"/>
  <c r="CX101" i="2" s="1"/>
  <c r="DB109" i="2"/>
  <c r="DB111" i="2" s="1"/>
  <c r="DB101" i="2" s="1"/>
  <c r="E20" i="2"/>
  <c r="I20" i="2"/>
  <c r="K19" i="2"/>
  <c r="K20" i="2" s="1"/>
  <c r="M20" i="2"/>
  <c r="Q20" i="2"/>
  <c r="S19" i="2"/>
  <c r="U20" i="2"/>
  <c r="W19" i="2"/>
  <c r="Y20" i="2"/>
  <c r="AA19" i="2"/>
  <c r="AC20" i="2"/>
  <c r="AG20" i="2"/>
  <c r="AI19" i="2"/>
  <c r="AI20" i="2" s="1"/>
  <c r="AK20" i="2"/>
  <c r="AM20" i="2"/>
  <c r="AO20" i="2"/>
  <c r="AQ20" i="2"/>
  <c r="AS20" i="2"/>
  <c r="AU20" i="2"/>
  <c r="AW20" i="2"/>
  <c r="AY20" i="2"/>
  <c r="BA20" i="2"/>
  <c r="BC20" i="2"/>
  <c r="BE20" i="2"/>
  <c r="BG20" i="2"/>
  <c r="BI20" i="2"/>
  <c r="F20" i="2"/>
  <c r="J20" i="2"/>
  <c r="N20" i="2"/>
  <c r="R20" i="2"/>
  <c r="V20" i="2"/>
  <c r="Z20" i="2"/>
  <c r="AD20" i="2"/>
  <c r="AH20" i="2"/>
  <c r="AL20" i="2"/>
  <c r="AP20" i="2"/>
  <c r="AT20" i="2"/>
  <c r="AX20" i="2"/>
  <c r="BB20" i="2"/>
  <c r="BF20" i="2"/>
  <c r="BJ20" i="2"/>
  <c r="D22" i="2"/>
  <c r="H22" i="2"/>
  <c r="L22" i="2"/>
  <c r="P22" i="2"/>
  <c r="T22" i="2"/>
  <c r="X22" i="2"/>
  <c r="AB22" i="2"/>
  <c r="AF22" i="2"/>
  <c r="AJ22" i="2"/>
  <c r="AN22" i="2"/>
  <c r="AR22" i="2"/>
  <c r="AV22" i="2"/>
  <c r="AZ22" i="2"/>
  <c r="BD22" i="2"/>
  <c r="BH22" i="2"/>
  <c r="G24" i="2"/>
  <c r="K24" i="2"/>
  <c r="O24" i="2"/>
  <c r="S24" i="2"/>
  <c r="W24" i="2"/>
  <c r="AA24" i="2"/>
  <c r="AE24" i="2"/>
  <c r="AI24" i="2"/>
  <c r="AW84" i="17"/>
  <c r="AW25" i="2"/>
  <c r="AY84" i="17"/>
  <c r="AY58" i="17" s="1"/>
  <c r="AY25" i="2"/>
  <c r="BA84" i="17"/>
  <c r="BA25" i="2"/>
  <c r="BE84" i="17"/>
  <c r="BE25" i="2"/>
  <c r="BG84" i="17"/>
  <c r="BG58" i="17" s="1"/>
  <c r="BK60" i="17" s="1"/>
  <c r="BG25" i="2"/>
  <c r="BI84" i="17"/>
  <c r="BI25" i="2"/>
  <c r="CG24" i="2"/>
  <c r="CK24" i="2"/>
  <c r="CX24" i="2"/>
  <c r="DB24" i="2"/>
  <c r="E26" i="2"/>
  <c r="I26" i="2"/>
  <c r="M26" i="2"/>
  <c r="Q26" i="2"/>
  <c r="U26" i="2"/>
  <c r="Y26" i="2"/>
  <c r="AC26" i="2"/>
  <c r="AG26" i="2"/>
  <c r="AK26" i="2"/>
  <c r="AO26" i="2"/>
  <c r="AS26" i="2"/>
  <c r="AW26" i="2"/>
  <c r="BA26" i="2"/>
  <c r="BE26" i="2"/>
  <c r="BI26" i="2"/>
  <c r="AM28" i="2"/>
  <c r="AQ28" i="2"/>
  <c r="AU28" i="2"/>
  <c r="AY28" i="2"/>
  <c r="BC28" i="2"/>
  <c r="BG28" i="2"/>
  <c r="G137" i="2"/>
  <c r="W137" i="2"/>
  <c r="BZ31" i="2"/>
  <c r="CD31" i="2"/>
  <c r="CS31" i="2"/>
  <c r="CW31" i="2"/>
  <c r="CY137" i="2"/>
  <c r="CY39" i="2"/>
  <c r="CY32" i="2"/>
  <c r="DA39" i="2"/>
  <c r="DA37" i="2"/>
  <c r="DA32" i="2"/>
  <c r="DC39" i="2"/>
  <c r="DC32" i="2"/>
  <c r="G32" i="2"/>
  <c r="K32" i="2"/>
  <c r="O32" i="2"/>
  <c r="S32" i="2"/>
  <c r="W32" i="2"/>
  <c r="AA32" i="2"/>
  <c r="AE32" i="2"/>
  <c r="AI32" i="2"/>
  <c r="CG32" i="2"/>
  <c r="CK32" i="2"/>
  <c r="CX32" i="2"/>
  <c r="DB32" i="2"/>
  <c r="CL34" i="2"/>
  <c r="CL107" i="2" s="1"/>
  <c r="CY34" i="2"/>
  <c r="BM35" i="2"/>
  <c r="DD35" i="2"/>
  <c r="E38" i="2"/>
  <c r="I38" i="2"/>
  <c r="K37" i="2"/>
  <c r="M38" i="2"/>
  <c r="Q38" i="2"/>
  <c r="S37" i="2"/>
  <c r="U38" i="2"/>
  <c r="W37" i="2"/>
  <c r="Y38" i="2"/>
  <c r="AA37" i="2"/>
  <c r="AC38" i="2"/>
  <c r="AG38" i="2"/>
  <c r="AI37" i="2"/>
  <c r="AK38" i="2"/>
  <c r="AM38" i="2"/>
  <c r="AO37" i="2"/>
  <c r="AQ38" i="2"/>
  <c r="AS38" i="2"/>
  <c r="AW38" i="2"/>
  <c r="AY38" i="2"/>
  <c r="BA38" i="2"/>
  <c r="BC38" i="2"/>
  <c r="BE38" i="2"/>
  <c r="BH63" i="2"/>
  <c r="BJ63" i="2"/>
  <c r="D38" i="2"/>
  <c r="H38" i="2"/>
  <c r="L38" i="2"/>
  <c r="P38" i="2"/>
  <c r="T38" i="2"/>
  <c r="X38" i="2"/>
  <c r="AB38" i="2"/>
  <c r="AF38" i="2"/>
  <c r="AJ38" i="2"/>
  <c r="AN38" i="2"/>
  <c r="AR38" i="2"/>
  <c r="AV38" i="2"/>
  <c r="AZ38" i="2"/>
  <c r="BD38" i="2"/>
  <c r="BH38" i="2"/>
  <c r="E64" i="2"/>
  <c r="E40" i="2"/>
  <c r="I64" i="2"/>
  <c r="I40" i="2"/>
  <c r="K39" i="2"/>
  <c r="M64" i="2"/>
  <c r="M40" i="2"/>
  <c r="Q64" i="2"/>
  <c r="Q40" i="2"/>
  <c r="S39" i="2"/>
  <c r="U64" i="2"/>
  <c r="U40" i="2"/>
  <c r="W64" i="2"/>
  <c r="Y64" i="2"/>
  <c r="Y40" i="2"/>
  <c r="AA39" i="2"/>
  <c r="AC64" i="2"/>
  <c r="AC40" i="2"/>
  <c r="AG64" i="2"/>
  <c r="AG40" i="2"/>
  <c r="AI39" i="2"/>
  <c r="AK64" i="2"/>
  <c r="AK40" i="2"/>
  <c r="AM64" i="2"/>
  <c r="AM40" i="2"/>
  <c r="AO64" i="2"/>
  <c r="AO40" i="2"/>
  <c r="AQ64" i="2"/>
  <c r="AQ40" i="2"/>
  <c r="AS64" i="2"/>
  <c r="AS40" i="2"/>
  <c r="AU64" i="2"/>
  <c r="AU40" i="2"/>
  <c r="AW64" i="2"/>
  <c r="AW40" i="2"/>
  <c r="AY64" i="2"/>
  <c r="AY40" i="2"/>
  <c r="BA64" i="2"/>
  <c r="BA40" i="2"/>
  <c r="BC40" i="2"/>
  <c r="BE64" i="2"/>
  <c r="BE40" i="2"/>
  <c r="BG64" i="2"/>
  <c r="BG40" i="2"/>
  <c r="BI64" i="2"/>
  <c r="BI40" i="2"/>
  <c r="F40" i="2"/>
  <c r="J40" i="2"/>
  <c r="N40" i="2"/>
  <c r="R40" i="2"/>
  <c r="V40" i="2"/>
  <c r="Z40" i="2"/>
  <c r="AD40" i="2"/>
  <c r="AH40" i="2"/>
  <c r="AL40" i="2"/>
  <c r="AP40" i="2"/>
  <c r="AT40" i="2"/>
  <c r="AX40" i="2"/>
  <c r="BB40" i="2"/>
  <c r="BF40" i="2"/>
  <c r="BJ40" i="2"/>
  <c r="BZ42" i="2"/>
  <c r="CD42" i="2"/>
  <c r="CG50" i="2"/>
  <c r="CI50" i="2"/>
  <c r="CI51" i="2" s="1"/>
  <c r="CL43" i="2"/>
  <c r="CU42" i="2"/>
  <c r="CX50" i="2"/>
  <c r="CZ50" i="2"/>
  <c r="DC43" i="2"/>
  <c r="G43" i="2"/>
  <c r="K43" i="2"/>
  <c r="O43" i="2"/>
  <c r="S43" i="2"/>
  <c r="W43" i="2"/>
  <c r="AA43" i="2"/>
  <c r="AE43" i="2"/>
  <c r="AI43" i="2"/>
  <c r="CG43" i="2"/>
  <c r="CX43" i="2"/>
  <c r="CM46" i="2"/>
  <c r="D49" i="2"/>
  <c r="F49" i="2"/>
  <c r="L49" i="2"/>
  <c r="N49" i="2"/>
  <c r="T49" i="2"/>
  <c r="V49" i="2"/>
  <c r="AD49" i="2"/>
  <c r="AJ49" i="2"/>
  <c r="AL49" i="2"/>
  <c r="AN49" i="2"/>
  <c r="AV49" i="2"/>
  <c r="AX49" i="2"/>
  <c r="AZ49" i="2"/>
  <c r="BB49" i="2"/>
  <c r="AM49" i="2"/>
  <c r="AQ49" i="2"/>
  <c r="AY49" i="2"/>
  <c r="H51" i="2"/>
  <c r="J51" i="2"/>
  <c r="P51" i="2"/>
  <c r="R51" i="2"/>
  <c r="X51" i="2"/>
  <c r="Z51" i="2"/>
  <c r="AF51" i="2"/>
  <c r="AH51" i="2"/>
  <c r="BF51" i="2"/>
  <c r="BH51" i="2"/>
  <c r="BJ51" i="2"/>
  <c r="CJ50" i="2"/>
  <c r="DA50" i="2"/>
  <c r="BA51" i="2"/>
  <c r="BE51" i="2"/>
  <c r="BI51" i="2"/>
  <c r="CS53" i="2"/>
  <c r="CA54" i="2"/>
  <c r="CO54" i="2"/>
  <c r="CW55" i="2"/>
  <c r="CE55" i="2"/>
  <c r="CT55" i="2"/>
  <c r="DD55" i="2"/>
  <c r="DD53" i="2" s="1"/>
  <c r="CM58" i="2"/>
  <c r="S60" i="2"/>
  <c r="AY60" i="2"/>
  <c r="BC60" i="2"/>
  <c r="BG60" i="2"/>
  <c r="F62" i="2"/>
  <c r="F66" i="2" s="1"/>
  <c r="J62" i="2"/>
  <c r="J66" i="2" s="1"/>
  <c r="N62" i="2"/>
  <c r="N66" i="2" s="1"/>
  <c r="R62" i="2"/>
  <c r="R66" i="2" s="1"/>
  <c r="V62" i="2"/>
  <c r="V66" i="2" s="1"/>
  <c r="Z62" i="2"/>
  <c r="Z66" i="2" s="1"/>
  <c r="AD62" i="2"/>
  <c r="AD66" i="2" s="1"/>
  <c r="AH62" i="2"/>
  <c r="AH66" i="2" s="1"/>
  <c r="AL62" i="2"/>
  <c r="AL66" i="2" s="1"/>
  <c r="AP62" i="2"/>
  <c r="AP66" i="2" s="1"/>
  <c r="AT62" i="2"/>
  <c r="AT66" i="2" s="1"/>
  <c r="AX62" i="2"/>
  <c r="AX66" i="2" s="1"/>
  <c r="BB62" i="2"/>
  <c r="BB66" i="2" s="1"/>
  <c r="BF62" i="2"/>
  <c r="BJ62" i="2"/>
  <c r="BJ66" i="2" s="1"/>
  <c r="E63" i="2"/>
  <c r="I63" i="2"/>
  <c r="M63" i="2"/>
  <c r="Q63" i="2"/>
  <c r="U63" i="2"/>
  <c r="Y63" i="2"/>
  <c r="AC63" i="2"/>
  <c r="AG63" i="2"/>
  <c r="AK63" i="2"/>
  <c r="AS63" i="2"/>
  <c r="AW63" i="2"/>
  <c r="BA63" i="2"/>
  <c r="BE63" i="2"/>
  <c r="BI63" i="2"/>
  <c r="D64" i="2"/>
  <c r="H64" i="2"/>
  <c r="L64" i="2"/>
  <c r="P64" i="2"/>
  <c r="T64" i="2"/>
  <c r="X64" i="2"/>
  <c r="AF64" i="2"/>
  <c r="AJ64" i="2"/>
  <c r="AN64" i="2"/>
  <c r="AR64" i="2"/>
  <c r="AV64" i="2"/>
  <c r="AZ64" i="2"/>
  <c r="BH64" i="2"/>
  <c r="CL79" i="2"/>
  <c r="CT73" i="2"/>
  <c r="DD74" i="2"/>
  <c r="CU74" i="2"/>
  <c r="CS75" i="2"/>
  <c r="CB75" i="2"/>
  <c r="CU75" i="2"/>
  <c r="CD75" i="2"/>
  <c r="CW75" i="2"/>
  <c r="CF75" i="2"/>
  <c r="BM78" i="2"/>
  <c r="DD78" i="2"/>
  <c r="G95" i="2"/>
  <c r="O95" i="2"/>
  <c r="W95" i="2"/>
  <c r="AE95" i="2"/>
  <c r="BY88" i="2"/>
  <c r="CC88" i="2"/>
  <c r="CG95" i="2"/>
  <c r="CI95" i="2"/>
  <c r="CK95" i="2"/>
  <c r="CR88" i="2"/>
  <c r="CV88" i="2"/>
  <c r="CM92" i="2"/>
  <c r="CA93" i="2"/>
  <c r="CE93" i="2"/>
  <c r="CI93" i="2"/>
  <c r="CZ93" i="2"/>
  <c r="CZ95" i="2"/>
  <c r="BF107" i="2"/>
  <c r="BM125" i="2"/>
  <c r="CB127" i="2"/>
  <c r="CB126" i="2"/>
  <c r="CG127" i="2"/>
  <c r="CG126" i="2"/>
  <c r="CI127" i="2"/>
  <c r="CI126" i="2"/>
  <c r="CK127" i="2"/>
  <c r="CM125" i="2"/>
  <c r="CS82" i="3"/>
  <c r="CW78" i="3"/>
  <c r="CW82" i="3"/>
  <c r="CW80" i="3"/>
  <c r="CW73" i="3"/>
  <c r="DA78" i="3"/>
  <c r="DA82" i="3"/>
  <c r="DA80" i="3"/>
  <c r="CM62" i="3"/>
  <c r="CM131" i="2"/>
  <c r="CL138" i="2"/>
  <c r="CY138" i="2"/>
  <c r="CR5" i="3"/>
  <c r="CR40" i="3" s="1"/>
  <c r="CR54" i="3" s="1"/>
  <c r="CR72" i="3" s="1"/>
  <c r="CZ5" i="3"/>
  <c r="CZ40" i="3" s="1"/>
  <c r="CZ54" i="3" s="1"/>
  <c r="CZ72" i="3" s="1"/>
  <c r="CA6" i="3"/>
  <c r="CK40" i="3"/>
  <c r="CK54" i="3" s="1"/>
  <c r="CK72" i="3" s="1"/>
  <c r="CV6" i="3"/>
  <c r="CI40" i="3"/>
  <c r="CI54" i="3" s="1"/>
  <c r="CI72" i="3" s="1"/>
  <c r="CI49" i="3"/>
  <c r="CS50" i="3"/>
  <c r="DA50" i="3"/>
  <c r="K76" i="3"/>
  <c r="AA76" i="3"/>
  <c r="AI76" i="3"/>
  <c r="AQ76" i="3"/>
  <c r="AY76" i="3"/>
  <c r="CJ73" i="3"/>
  <c r="DA73" i="3"/>
  <c r="K294" i="3"/>
  <c r="AA294" i="3"/>
  <c r="AQ294" i="3"/>
  <c r="BG294" i="3"/>
  <c r="CB294" i="3"/>
  <c r="CT5" i="4"/>
  <c r="CT56" i="4" s="1"/>
  <c r="CT68" i="4" s="1"/>
  <c r="CT75" i="4" s="1"/>
  <c r="CC6" i="4"/>
  <c r="CC56" i="4" s="1"/>
  <c r="CC68" i="4" s="1"/>
  <c r="CC75" i="4" s="1"/>
  <c r="CZ8" i="17"/>
  <c r="U137" i="17"/>
  <c r="BA137" i="17"/>
  <c r="CL137" i="17"/>
  <c r="G50" i="3"/>
  <c r="G138" i="2"/>
  <c r="O50" i="3"/>
  <c r="O138" i="2"/>
  <c r="W50" i="3"/>
  <c r="W138" i="2"/>
  <c r="AE50" i="3"/>
  <c r="AE138" i="2"/>
  <c r="BY14" i="2"/>
  <c r="CA14" i="2"/>
  <c r="CC14" i="2"/>
  <c r="CE14" i="2"/>
  <c r="CG50" i="3"/>
  <c r="CG138" i="2"/>
  <c r="CI50" i="3"/>
  <c r="CI138" i="2"/>
  <c r="CK50" i="3"/>
  <c r="CR14" i="2"/>
  <c r="CT14" i="2"/>
  <c r="CV14" i="2"/>
  <c r="CX50" i="3"/>
  <c r="CX138" i="2"/>
  <c r="CZ50" i="3"/>
  <c r="CZ138" i="2"/>
  <c r="DB50" i="3"/>
  <c r="AV58" i="17"/>
  <c r="CZ58" i="17" s="1"/>
  <c r="AV48" i="17"/>
  <c r="AX58" i="17"/>
  <c r="AX48" i="17"/>
  <c r="AZ58" i="17"/>
  <c r="AZ60" i="17" s="1"/>
  <c r="AZ48" i="17"/>
  <c r="AZ50" i="17" s="1"/>
  <c r="BB58" i="17"/>
  <c r="BB60" i="17" s="1"/>
  <c r="BB48" i="17"/>
  <c r="BB51" i="17" s="1"/>
  <c r="BD48" i="17"/>
  <c r="BD58" i="17"/>
  <c r="BF58" i="17"/>
  <c r="BG59" i="17" s="1"/>
  <c r="BF48" i="17"/>
  <c r="BF51" i="17" s="1"/>
  <c r="BJ48" i="17"/>
  <c r="BK49" i="17" s="1"/>
  <c r="BJ58" i="17"/>
  <c r="BK59" i="17" s="1"/>
  <c r="BY31" i="2"/>
  <c r="CA31" i="2"/>
  <c r="CC31" i="2"/>
  <c r="CE31" i="2"/>
  <c r="CR31" i="2"/>
  <c r="CT31" i="2"/>
  <c r="CV31" i="2"/>
  <c r="CI34" i="2"/>
  <c r="CZ34" i="2"/>
  <c r="BY42" i="2"/>
  <c r="CA42" i="2"/>
  <c r="CC42" i="2"/>
  <c r="CE42" i="2"/>
  <c r="CK42" i="2"/>
  <c r="CK138" i="2" s="1"/>
  <c r="CR42" i="2"/>
  <c r="CT42" i="2"/>
  <c r="CV42" i="2"/>
  <c r="DB42" i="2"/>
  <c r="CI45" i="2"/>
  <c r="CZ45" i="2"/>
  <c r="CZ48" i="2" s="1"/>
  <c r="G48" i="2"/>
  <c r="O48" i="2"/>
  <c r="W48" i="2"/>
  <c r="W49" i="2" s="1"/>
  <c r="AE48" i="2"/>
  <c r="BC48" i="2"/>
  <c r="CG48" i="2"/>
  <c r="CI48" i="2"/>
  <c r="CI49" i="2" s="1"/>
  <c r="CX48" i="2"/>
  <c r="CX49" i="2" s="1"/>
  <c r="BC50" i="2"/>
  <c r="BC51" i="2" s="1"/>
  <c r="CB54" i="2"/>
  <c r="CB55" i="2"/>
  <c r="CD55" i="2"/>
  <c r="CF55" i="2"/>
  <c r="G62" i="2"/>
  <c r="O62" i="2"/>
  <c r="W62" i="2"/>
  <c r="AM62" i="2"/>
  <c r="AM66" i="2" s="1"/>
  <c r="AQ62" i="2"/>
  <c r="AQ66" i="2" s="1"/>
  <c r="AU62" i="2"/>
  <c r="AU66" i="2" s="1"/>
  <c r="AY62" i="2"/>
  <c r="AY66" i="2" s="1"/>
  <c r="BG62" i="2"/>
  <c r="BG66" i="2" s="1"/>
  <c r="AZ66" i="2"/>
  <c r="BF66" i="2"/>
  <c r="CB76" i="2"/>
  <c r="CD76" i="2"/>
  <c r="CF76" i="2"/>
  <c r="BZ88" i="2"/>
  <c r="CB88" i="2"/>
  <c r="CD88" i="2"/>
  <c r="CF88" i="2"/>
  <c r="CS88" i="2"/>
  <c r="CU88" i="2"/>
  <c r="CW88" i="2"/>
  <c r="CF91" i="2"/>
  <c r="CN91" i="2"/>
  <c r="CY93" i="2"/>
  <c r="DA93" i="2"/>
  <c r="DC93" i="2"/>
  <c r="CM110" i="2"/>
  <c r="DC123" i="2"/>
  <c r="D82" i="3"/>
  <c r="D80" i="3"/>
  <c r="D78" i="3"/>
  <c r="D73" i="3"/>
  <c r="F82" i="3"/>
  <c r="F80" i="3"/>
  <c r="F78" i="3"/>
  <c r="F73" i="3"/>
  <c r="H82" i="3"/>
  <c r="H80" i="3"/>
  <c r="H78" i="3"/>
  <c r="H73" i="3"/>
  <c r="J82" i="3"/>
  <c r="J80" i="3"/>
  <c r="J78" i="3"/>
  <c r="J73" i="3"/>
  <c r="L82" i="3"/>
  <c r="L80" i="3"/>
  <c r="L78" i="3"/>
  <c r="L73" i="3"/>
  <c r="N82" i="3"/>
  <c r="N80" i="3"/>
  <c r="N78" i="3"/>
  <c r="N73" i="3"/>
  <c r="P82" i="3"/>
  <c r="P80" i="3"/>
  <c r="P78" i="3"/>
  <c r="P73" i="3"/>
  <c r="R82" i="3"/>
  <c r="R80" i="3"/>
  <c r="R78" i="3"/>
  <c r="R73" i="3"/>
  <c r="T82" i="3"/>
  <c r="T80" i="3"/>
  <c r="T78" i="3"/>
  <c r="T73" i="3"/>
  <c r="V82" i="3"/>
  <c r="V80" i="3"/>
  <c r="V78" i="3"/>
  <c r="V73" i="3"/>
  <c r="X82" i="3"/>
  <c r="X80" i="3"/>
  <c r="X78" i="3"/>
  <c r="X73" i="3"/>
  <c r="Z82" i="3"/>
  <c r="Z80" i="3"/>
  <c r="Z78" i="3"/>
  <c r="Z73" i="3"/>
  <c r="AB82" i="3"/>
  <c r="AB80" i="3"/>
  <c r="AB78" i="3"/>
  <c r="AB73" i="3"/>
  <c r="AD82" i="3"/>
  <c r="AD80" i="3"/>
  <c r="AD78" i="3"/>
  <c r="AD73" i="3"/>
  <c r="AF82" i="3"/>
  <c r="AF80" i="3"/>
  <c r="AF78" i="3"/>
  <c r="AF73" i="3"/>
  <c r="AH82" i="3"/>
  <c r="AH80" i="3"/>
  <c r="AH78" i="3"/>
  <c r="AH73" i="3"/>
  <c r="AJ82" i="3"/>
  <c r="AJ80" i="3"/>
  <c r="AJ78" i="3"/>
  <c r="AJ73" i="3"/>
  <c r="AL82" i="3"/>
  <c r="AL80" i="3"/>
  <c r="AL78" i="3"/>
  <c r="AL73" i="3"/>
  <c r="AN82" i="3"/>
  <c r="AN80" i="3"/>
  <c r="AN78" i="3"/>
  <c r="AN73" i="3"/>
  <c r="AP82" i="3"/>
  <c r="AP80" i="3"/>
  <c r="AP78" i="3"/>
  <c r="AP73" i="3"/>
  <c r="AR82" i="3"/>
  <c r="AR80" i="3"/>
  <c r="AR78" i="3"/>
  <c r="AR73" i="3"/>
  <c r="AT82" i="3"/>
  <c r="AT80" i="3"/>
  <c r="AT78" i="3"/>
  <c r="AT73" i="3"/>
  <c r="AV82" i="3"/>
  <c r="AV80" i="3"/>
  <c r="AV78" i="3"/>
  <c r="AV73" i="3"/>
  <c r="AX82" i="3"/>
  <c r="AX80" i="3"/>
  <c r="AX78" i="3"/>
  <c r="AX73" i="3"/>
  <c r="AZ82" i="3"/>
  <c r="AZ80" i="3"/>
  <c r="AZ78" i="3"/>
  <c r="AZ73" i="3"/>
  <c r="BB82" i="3"/>
  <c r="BB80" i="3"/>
  <c r="BB78" i="3"/>
  <c r="BB73" i="3"/>
  <c r="BD82" i="3"/>
  <c r="BD80" i="3"/>
  <c r="BD78" i="3"/>
  <c r="BD73" i="3"/>
  <c r="BF82" i="3"/>
  <c r="BF80" i="3"/>
  <c r="BF78" i="3"/>
  <c r="BF73" i="3"/>
  <c r="BH82" i="3"/>
  <c r="BH80" i="3"/>
  <c r="BH78" i="3"/>
  <c r="BH73" i="3"/>
  <c r="CM126" i="2"/>
  <c r="BJ78" i="3"/>
  <c r="BJ73" i="3"/>
  <c r="BJ74" i="3" s="1"/>
  <c r="BM73" i="3"/>
  <c r="BN126" i="2"/>
  <c r="BZ78" i="3"/>
  <c r="BZ73" i="3"/>
  <c r="CL78" i="3"/>
  <c r="CL73" i="3"/>
  <c r="CY78" i="3"/>
  <c r="CY73" i="3"/>
  <c r="DC126" i="2"/>
  <c r="CW137" i="17"/>
  <c r="CW294" i="3"/>
  <c r="E74" i="3"/>
  <c r="M76" i="3"/>
  <c r="Y74" i="3"/>
  <c r="AG76" i="3"/>
  <c r="AO74" i="3"/>
  <c r="AW76" i="3"/>
  <c r="BZ80" i="3"/>
  <c r="CL82" i="3"/>
  <c r="CY82" i="3"/>
  <c r="CW293" i="4"/>
  <c r="BH48" i="17"/>
  <c r="BH51" i="17" s="1"/>
  <c r="BY126" i="2"/>
  <c r="CA82" i="3"/>
  <c r="CA80" i="3"/>
  <c r="CA73" i="3"/>
  <c r="CC126" i="2"/>
  <c r="CE82" i="3"/>
  <c r="CE80" i="3"/>
  <c r="CE73" i="3"/>
  <c r="DB126" i="2"/>
  <c r="DD126" i="2"/>
  <c r="D137" i="17"/>
  <c r="D294" i="3"/>
  <c r="F137" i="17"/>
  <c r="F294" i="3"/>
  <c r="H137" i="17"/>
  <c r="H294" i="3"/>
  <c r="J137" i="17"/>
  <c r="J294" i="3"/>
  <c r="L137" i="17"/>
  <c r="L294" i="3"/>
  <c r="N137" i="17"/>
  <c r="N294" i="3"/>
  <c r="P137" i="17"/>
  <c r="P294" i="3"/>
  <c r="R137" i="17"/>
  <c r="R294" i="3"/>
  <c r="T137" i="17"/>
  <c r="T294" i="3"/>
  <c r="V137" i="17"/>
  <c r="V294" i="3"/>
  <c r="X137" i="17"/>
  <c r="X294" i="3"/>
  <c r="Z137" i="17"/>
  <c r="Z294" i="3"/>
  <c r="AB137" i="17"/>
  <c r="AB294" i="3"/>
  <c r="AD137" i="17"/>
  <c r="AD294" i="3"/>
  <c r="AF137" i="17"/>
  <c r="AF294" i="3"/>
  <c r="AH137" i="17"/>
  <c r="AH294" i="3"/>
  <c r="AJ137" i="17"/>
  <c r="AJ294" i="3"/>
  <c r="AL137" i="17"/>
  <c r="AL294" i="3"/>
  <c r="AN137" i="17"/>
  <c r="AN294" i="3"/>
  <c r="AP137" i="17"/>
  <c r="AP294" i="3"/>
  <c r="AR137" i="17"/>
  <c r="AR294" i="3"/>
  <c r="AT137" i="17"/>
  <c r="AT294" i="3"/>
  <c r="AV137" i="17"/>
  <c r="AV294" i="3"/>
  <c r="AX137" i="17"/>
  <c r="AX294" i="3"/>
  <c r="AZ137" i="17"/>
  <c r="AZ294" i="3"/>
  <c r="BB137" i="17"/>
  <c r="BB294" i="3"/>
  <c r="BD137" i="17"/>
  <c r="BD294" i="3"/>
  <c r="BF137" i="17"/>
  <c r="BF294" i="3"/>
  <c r="BH137" i="17"/>
  <c r="BH294" i="3"/>
  <c r="BJ137" i="17"/>
  <c r="BJ294" i="3"/>
  <c r="BL137" i="17"/>
  <c r="BL294" i="3"/>
  <c r="BN137" i="17"/>
  <c r="BN294" i="3"/>
  <c r="BP137" i="17"/>
  <c r="BP294" i="3"/>
  <c r="BR137" i="17"/>
  <c r="BR294" i="3"/>
  <c r="BY137" i="17"/>
  <c r="BY294" i="3"/>
  <c r="CA137" i="17"/>
  <c r="CA294" i="3"/>
  <c r="CC137" i="17"/>
  <c r="CC294" i="3"/>
  <c r="CE137" i="17"/>
  <c r="CE294" i="3"/>
  <c r="CG137" i="17"/>
  <c r="CG294" i="3"/>
  <c r="CI137" i="17"/>
  <c r="CI294" i="3"/>
  <c r="CK137" i="17"/>
  <c r="CK294" i="3"/>
  <c r="CM137" i="17"/>
  <c r="CM294" i="3"/>
  <c r="CO137" i="17"/>
  <c r="CO294" i="3"/>
  <c r="CR296" i="2"/>
  <c r="CT296" i="2"/>
  <c r="CV296" i="2"/>
  <c r="CX296" i="2"/>
  <c r="CZ296" i="2"/>
  <c r="CJ40" i="3"/>
  <c r="CJ54" i="3" s="1"/>
  <c r="CJ72" i="3" s="1"/>
  <c r="CL54" i="3"/>
  <c r="CL72" i="3" s="1"/>
  <c r="BA73" i="3"/>
  <c r="BE73" i="3"/>
  <c r="BI73" i="3"/>
  <c r="E80" i="3"/>
  <c r="I80" i="3"/>
  <c r="M80" i="3"/>
  <c r="Q80" i="3"/>
  <c r="U80" i="3"/>
  <c r="Y80" i="3"/>
  <c r="AC80" i="3"/>
  <c r="AG80" i="3"/>
  <c r="AK80" i="3"/>
  <c r="AO80" i="3"/>
  <c r="AS80" i="3"/>
  <c r="AW80" i="3"/>
  <c r="BA80" i="3"/>
  <c r="BE80" i="3"/>
  <c r="BI80" i="3"/>
  <c r="F293" i="4"/>
  <c r="J293" i="4"/>
  <c r="N293" i="4"/>
  <c r="R293" i="4"/>
  <c r="V293" i="4"/>
  <c r="Z293" i="4"/>
  <c r="AD293" i="4"/>
  <c r="AH293" i="4"/>
  <c r="AL293" i="4"/>
  <c r="AP293" i="4"/>
  <c r="AT293" i="4"/>
  <c r="AX293" i="4"/>
  <c r="BB293" i="4"/>
  <c r="BF293" i="4"/>
  <c r="BJ293" i="4"/>
  <c r="BN293" i="4"/>
  <c r="BR293" i="4"/>
  <c r="CA293" i="4"/>
  <c r="CE293" i="4"/>
  <c r="CI293" i="4"/>
  <c r="CM293" i="4"/>
  <c r="AM24" i="17"/>
  <c r="L9" i="17"/>
  <c r="L27" i="17" s="1"/>
  <c r="L30" i="17" s="1"/>
  <c r="N9" i="17"/>
  <c r="N10" i="17" s="1"/>
  <c r="V9" i="17"/>
  <c r="V63" i="17" s="1"/>
  <c r="V69" i="17" s="1"/>
  <c r="AD9" i="17"/>
  <c r="AD63" i="17" s="1"/>
  <c r="AJ9" i="17"/>
  <c r="AJ63" i="17" s="1"/>
  <c r="AJ69" i="17" s="1"/>
  <c r="AL9" i="17"/>
  <c r="AN9" i="17"/>
  <c r="AP9" i="17"/>
  <c r="AR9" i="17"/>
  <c r="AR63" i="17" s="1"/>
  <c r="AR69" i="17" s="1"/>
  <c r="AT9" i="17"/>
  <c r="AL24" i="17"/>
  <c r="BC48" i="17"/>
  <c r="AV53" i="17"/>
  <c r="CZ53" i="17" s="1"/>
  <c r="AX53" i="17"/>
  <c r="AZ53" i="17"/>
  <c r="AZ54" i="17" s="1"/>
  <c r="BB53" i="17"/>
  <c r="BY122" i="17"/>
  <c r="CA122" i="17"/>
  <c r="CC122" i="17"/>
  <c r="CE122" i="17"/>
  <c r="CG122" i="17"/>
  <c r="CI122" i="17"/>
  <c r="CK122" i="17"/>
  <c r="CK124" i="17" s="1"/>
  <c r="E9" i="17"/>
  <c r="E63" i="17" s="1"/>
  <c r="I9" i="17"/>
  <c r="S9" i="17"/>
  <c r="S63" i="17" s="1"/>
  <c r="S69" i="17" s="1"/>
  <c r="BE43" i="17"/>
  <c r="BI43" i="17"/>
  <c r="AK28" i="17"/>
  <c r="AO28" i="17"/>
  <c r="AS28" i="17"/>
  <c r="CG82" i="17"/>
  <c r="E28" i="17"/>
  <c r="D9" i="17"/>
  <c r="D63" i="17" s="1"/>
  <c r="D69" i="17" s="1"/>
  <c r="F9" i="17"/>
  <c r="F63" i="17" s="1"/>
  <c r="F69" i="17" s="1"/>
  <c r="H9" i="17"/>
  <c r="H63" i="17" s="1"/>
  <c r="H69" i="17" s="1"/>
  <c r="J28" i="17"/>
  <c r="J9" i="17"/>
  <c r="J63" i="17" s="1"/>
  <c r="AO29" i="17"/>
  <c r="AS29" i="17"/>
  <c r="BC55" i="17"/>
  <c r="BF53" i="17"/>
  <c r="BG54" i="17" s="1"/>
  <c r="BH53" i="17"/>
  <c r="BH61" i="17" s="1"/>
  <c r="BJ53" i="17"/>
  <c r="I87" i="17"/>
  <c r="Y87" i="17"/>
  <c r="AO87" i="17"/>
  <c r="BE87" i="17"/>
  <c r="AQ28" i="17"/>
  <c r="Q87" i="17"/>
  <c r="AG87" i="17"/>
  <c r="AW87" i="17"/>
  <c r="BM87" i="17"/>
  <c r="BD53" i="17"/>
  <c r="BE54" i="17" s="1"/>
  <c r="R9" i="17"/>
  <c r="R63" i="17" s="1"/>
  <c r="R69" i="17" s="1"/>
  <c r="T9" i="17"/>
  <c r="T63" i="17" s="1"/>
  <c r="T69" i="17" s="1"/>
  <c r="Z9" i="17"/>
  <c r="Z63" i="17" s="1"/>
  <c r="AB9" i="17"/>
  <c r="BY22" i="17"/>
  <c r="J23" i="17"/>
  <c r="CC22" i="17"/>
  <c r="V23" i="17"/>
  <c r="AC28" i="17"/>
  <c r="BE55" i="17"/>
  <c r="BI55" i="17"/>
  <c r="E87" i="17"/>
  <c r="M87" i="17"/>
  <c r="U87" i="17"/>
  <c r="AC87" i="17"/>
  <c r="AK87" i="17"/>
  <c r="AS87" i="17"/>
  <c r="BA87" i="17"/>
  <c r="BI87" i="17"/>
  <c r="BQ87" i="17"/>
  <c r="D109" i="17"/>
  <c r="D87" i="17"/>
  <c r="H109" i="17"/>
  <c r="H87" i="17"/>
  <c r="L109" i="17"/>
  <c r="L87" i="17"/>
  <c r="P109" i="17"/>
  <c r="P87" i="17"/>
  <c r="T109" i="17"/>
  <c r="T87" i="17"/>
  <c r="X109" i="17"/>
  <c r="X87" i="17"/>
  <c r="AB109" i="17"/>
  <c r="AB87" i="17"/>
  <c r="AF109" i="17"/>
  <c r="AF87" i="17"/>
  <c r="AJ109" i="17"/>
  <c r="AJ87" i="17"/>
  <c r="AN109" i="17"/>
  <c r="AN87" i="17"/>
  <c r="AR109" i="17"/>
  <c r="AR87" i="17"/>
  <c r="AV109" i="17"/>
  <c r="AV87" i="17"/>
  <c r="AZ109" i="17"/>
  <c r="AZ87" i="17"/>
  <c r="BD109" i="17"/>
  <c r="BD87" i="17"/>
  <c r="BH109" i="17"/>
  <c r="BH87" i="17"/>
  <c r="BL109" i="17"/>
  <c r="BL87" i="17"/>
  <c r="BP109" i="17"/>
  <c r="BP87" i="17"/>
  <c r="CI87" i="17"/>
  <c r="CK109" i="17"/>
  <c r="CK87" i="17"/>
  <c r="CM87" i="17"/>
  <c r="CO109" i="17"/>
  <c r="CO87" i="17"/>
  <c r="AB24" i="17"/>
  <c r="AD24" i="17"/>
  <c r="AF24" i="17"/>
  <c r="AG22" i="17"/>
  <c r="AG24" i="17" s="1"/>
  <c r="AC29" i="17"/>
  <c r="F109" i="17"/>
  <c r="N109" i="17"/>
  <c r="V109" i="17"/>
  <c r="AD109" i="17"/>
  <c r="AL109" i="17"/>
  <c r="AT109" i="17"/>
  <c r="BB109" i="17"/>
  <c r="BJ109" i="17"/>
  <c r="BR109" i="17"/>
  <c r="CM109" i="17"/>
  <c r="CJ109" i="17"/>
  <c r="CL109" i="17"/>
  <c r="CN109" i="17"/>
  <c r="Q9" i="17"/>
  <c r="Q63" i="17" s="1"/>
  <c r="U9" i="17"/>
  <c r="U63" i="17" s="1"/>
  <c r="Y9" i="17"/>
  <c r="Y63" i="17" s="1"/>
  <c r="Y69" i="17" s="1"/>
  <c r="AC9" i="17"/>
  <c r="AC63" i="17" s="1"/>
  <c r="AH9" i="17"/>
  <c r="AH12" i="17" s="1"/>
  <c r="AN63" i="17"/>
  <c r="AN69" i="17" s="1"/>
  <c r="F23" i="17"/>
  <c r="G23" i="17"/>
  <c r="I23" i="17"/>
  <c r="K23" i="17"/>
  <c r="CR22" i="17"/>
  <c r="O23" i="17"/>
  <c r="R23" i="17"/>
  <c r="S23" i="17"/>
  <c r="U23" i="17"/>
  <c r="W23" i="17"/>
  <c r="AH24" i="17"/>
  <c r="AJ24" i="17"/>
  <c r="AN24" i="17"/>
  <c r="AP24" i="17"/>
  <c r="AR24" i="17"/>
  <c r="AT24" i="17"/>
  <c r="R28" i="17"/>
  <c r="U28" i="17"/>
  <c r="Z28" i="17"/>
  <c r="AD28" i="17"/>
  <c r="BH45" i="17"/>
  <c r="G87" i="17"/>
  <c r="K87" i="17"/>
  <c r="O87" i="17"/>
  <c r="S87" i="17"/>
  <c r="W87" i="17"/>
  <c r="AA87" i="17"/>
  <c r="AE87" i="17"/>
  <c r="AI87" i="17"/>
  <c r="AM87" i="17"/>
  <c r="AQ87" i="17"/>
  <c r="AU87" i="17"/>
  <c r="AY87" i="17"/>
  <c r="BC87" i="17"/>
  <c r="BG87" i="17"/>
  <c r="BO87" i="17"/>
  <c r="BS87" i="17"/>
  <c r="CB87" i="17"/>
  <c r="CJ87" i="17"/>
  <c r="CN87" i="17"/>
  <c r="J109" i="17"/>
  <c r="R109" i="17"/>
  <c r="Z109" i="17"/>
  <c r="AH109" i="17"/>
  <c r="AP109" i="17"/>
  <c r="AX109" i="17"/>
  <c r="BF109" i="17"/>
  <c r="BN109" i="17"/>
  <c r="CA109" i="17"/>
  <c r="CI109" i="17"/>
  <c r="Z23" i="17"/>
  <c r="AB23" i="17"/>
  <c r="AC24" i="17"/>
  <c r="AE24" i="17"/>
  <c r="AI24" i="17"/>
  <c r="AO24" i="17"/>
  <c r="AQ24" i="17"/>
  <c r="AS24" i="17"/>
  <c r="AU24" i="17"/>
  <c r="I28" i="17"/>
  <c r="CI104" i="17"/>
  <c r="CK104" i="17"/>
  <c r="CG99" i="17"/>
  <c r="CK101" i="17"/>
  <c r="V12" i="17"/>
  <c r="CA22" i="17"/>
  <c r="CE22" i="17"/>
  <c r="CG22" i="17"/>
  <c r="CI22" i="17"/>
  <c r="CS22" i="17"/>
  <c r="CU22" i="17"/>
  <c r="CY22" i="17"/>
  <c r="E23" i="17"/>
  <c r="N23" i="17"/>
  <c r="Q23" i="17"/>
  <c r="Y23" i="17"/>
  <c r="AA23" i="17"/>
  <c r="AC23" i="17"/>
  <c r="AE23" i="17"/>
  <c r="AJ23" i="17"/>
  <c r="AL23" i="17"/>
  <c r="AN23" i="17"/>
  <c r="AP23" i="17"/>
  <c r="AR23" i="17"/>
  <c r="AT23" i="17"/>
  <c r="M27" i="17"/>
  <c r="CH27" i="17"/>
  <c r="F28" i="17"/>
  <c r="V28" i="17"/>
  <c r="AL28" i="17"/>
  <c r="AP28" i="17"/>
  <c r="AR28" i="17"/>
  <c r="AT28" i="17"/>
  <c r="AD29" i="17"/>
  <c r="AH29" i="17"/>
  <c r="AL29" i="17"/>
  <c r="AN29" i="17"/>
  <c r="AP29" i="17"/>
  <c r="AR29" i="17"/>
  <c r="AT29" i="17"/>
  <c r="BO41" i="17"/>
  <c r="AI69" i="17"/>
  <c r="H12" i="17"/>
  <c r="O12" i="17"/>
  <c r="AA12" i="17"/>
  <c r="AQ14" i="17"/>
  <c r="AM18" i="17"/>
  <c r="AQ18" i="17"/>
  <c r="AU18" i="17"/>
  <c r="BZ22" i="17"/>
  <c r="CB22" i="17"/>
  <c r="CD22" i="17"/>
  <c r="CF22" i="17"/>
  <c r="CH22" i="17"/>
  <c r="CT22" i="17"/>
  <c r="CV22" i="17"/>
  <c r="CX22" i="17"/>
  <c r="CZ22" i="17"/>
  <c r="AD23" i="17"/>
  <c r="AF23" i="17"/>
  <c r="AI23" i="17"/>
  <c r="AK23" i="17"/>
  <c r="AM23" i="17"/>
  <c r="AO23" i="17"/>
  <c r="AQ23" i="17"/>
  <c r="AS23" i="17"/>
  <c r="AU23" i="17"/>
  <c r="CY27" i="17"/>
  <c r="CZ43" i="17"/>
  <c r="AW44" i="17"/>
  <c r="AZ45" i="17"/>
  <c r="BB45" i="17"/>
  <c r="BD45" i="17"/>
  <c r="BF45" i="17"/>
  <c r="BJ45" i="17"/>
  <c r="AZ55" i="17"/>
  <c r="AY77" i="17"/>
  <c r="BC77" i="17"/>
  <c r="AX44" i="17"/>
  <c r="BB44" i="17"/>
  <c r="BD44" i="17"/>
  <c r="BF54" i="17"/>
  <c r="BH59" i="17"/>
  <c r="BF60" i="17"/>
  <c r="CJ77" i="17"/>
  <c r="BJ51" i="17"/>
  <c r="CJ148" i="2"/>
  <c r="DA148" i="2"/>
  <c r="CJ144" i="2"/>
  <c r="CL144" i="2"/>
  <c r="DA144" i="2"/>
  <c r="DC144" i="2"/>
  <c r="M148" i="2"/>
  <c r="U148" i="2"/>
  <c r="AC148" i="2"/>
  <c r="AK148" i="2"/>
  <c r="AS148" i="2"/>
  <c r="AY78" i="17"/>
  <c r="AY72" i="4"/>
  <c r="AY70" i="4" s="1"/>
  <c r="AY69" i="4" s="1"/>
  <c r="AY73" i="4" s="1"/>
  <c r="BG78" i="17"/>
  <c r="BG72" i="4"/>
  <c r="BG70" i="4" s="1"/>
  <c r="BG69" i="4" s="1"/>
  <c r="BG73" i="4" s="1"/>
  <c r="BY12" i="4"/>
  <c r="CT12" i="4"/>
  <c r="CX12" i="4"/>
  <c r="DB12" i="4"/>
  <c r="BZ16" i="4"/>
  <c r="CU16" i="4"/>
  <c r="CY16" i="4"/>
  <c r="DC16" i="4"/>
  <c r="CR20" i="4"/>
  <c r="CX20" i="4"/>
  <c r="CR24" i="4"/>
  <c r="CV24" i="4"/>
  <c r="CZ24" i="4"/>
  <c r="G10" i="4"/>
  <c r="BY10" i="4" s="1"/>
  <c r="J10" i="4"/>
  <c r="O10" i="4"/>
  <c r="CA10" i="4" s="1"/>
  <c r="R10" i="4"/>
  <c r="W10" i="4"/>
  <c r="CT10" i="4" s="1"/>
  <c r="Z10" i="4"/>
  <c r="AE10" i="4"/>
  <c r="CE10" i="4" s="1"/>
  <c r="AH10" i="4"/>
  <c r="AM10" i="4"/>
  <c r="CG10" i="4" s="1"/>
  <c r="AP10" i="4"/>
  <c r="AU10" i="4"/>
  <c r="CI10" i="4" s="1"/>
  <c r="AX10" i="4"/>
  <c r="BC10" i="4"/>
  <c r="DB10" i="4" s="1"/>
  <c r="BF10" i="4"/>
  <c r="F11" i="4"/>
  <c r="K11" i="4"/>
  <c r="N11" i="4"/>
  <c r="Q73" i="4"/>
  <c r="S11" i="4"/>
  <c r="V11" i="4"/>
  <c r="Y73" i="4"/>
  <c r="AA11" i="4"/>
  <c r="AD11" i="4"/>
  <c r="AG73" i="4"/>
  <c r="AI11" i="4"/>
  <c r="AL11" i="4"/>
  <c r="AO73" i="4"/>
  <c r="AQ11" i="4"/>
  <c r="AT11" i="4"/>
  <c r="AW78" i="17"/>
  <c r="AW72" i="4"/>
  <c r="AW70" i="4" s="1"/>
  <c r="AW69" i="4" s="1"/>
  <c r="BB11" i="4"/>
  <c r="BE78" i="17"/>
  <c r="BE72" i="4"/>
  <c r="BE70" i="4" s="1"/>
  <c r="BE69" i="4" s="1"/>
  <c r="BJ11" i="4"/>
  <c r="J12" i="4"/>
  <c r="K12" i="4" s="1"/>
  <c r="R12" i="4"/>
  <c r="S12" i="4" s="1"/>
  <c r="Z12" i="4"/>
  <c r="AA12" i="4" s="1"/>
  <c r="AH12" i="4"/>
  <c r="AI12" i="4" s="1"/>
  <c r="AP12" i="4"/>
  <c r="AQ12" i="4" s="1"/>
  <c r="AX12" i="4"/>
  <c r="AY12" i="4" s="1"/>
  <c r="BF12" i="4"/>
  <c r="BG12" i="4" s="1"/>
  <c r="CA12" i="4"/>
  <c r="CC12" i="4"/>
  <c r="CE12" i="4"/>
  <c r="CG12" i="4"/>
  <c r="CI12" i="4"/>
  <c r="CK12" i="4"/>
  <c r="G13" i="4"/>
  <c r="BY13" i="4" s="1"/>
  <c r="J13" i="4"/>
  <c r="K13" i="4" s="1"/>
  <c r="O13" i="4"/>
  <c r="CR13" i="4" s="1"/>
  <c r="R13" i="4"/>
  <c r="S13" i="4" s="1"/>
  <c r="W13" i="4"/>
  <c r="CT13" i="4" s="1"/>
  <c r="Z13" i="4"/>
  <c r="AA13" i="4" s="1"/>
  <c r="AE13" i="4"/>
  <c r="CV13" i="4" s="1"/>
  <c r="AH13" i="4"/>
  <c r="AI13" i="4" s="1"/>
  <c r="AM13" i="4"/>
  <c r="CX13" i="4" s="1"/>
  <c r="AP13" i="4"/>
  <c r="AQ13" i="4" s="1"/>
  <c r="AU13" i="4"/>
  <c r="CZ13" i="4" s="1"/>
  <c r="AX13" i="4"/>
  <c r="AY13" i="4" s="1"/>
  <c r="BC13" i="4"/>
  <c r="DB13" i="4" s="1"/>
  <c r="BF13" i="4"/>
  <c r="BG13" i="4" s="1"/>
  <c r="CB13" i="4"/>
  <c r="CD13" i="4"/>
  <c r="CF13" i="4"/>
  <c r="CH13" i="4"/>
  <c r="CJ13" i="4"/>
  <c r="CL13" i="4"/>
  <c r="F14" i="4"/>
  <c r="G14" i="4" s="1"/>
  <c r="K14" i="4"/>
  <c r="BZ14" i="4" s="1"/>
  <c r="N14" i="4"/>
  <c r="O14" i="4" s="1"/>
  <c r="S14" i="4"/>
  <c r="CS14" i="4" s="1"/>
  <c r="V14" i="4"/>
  <c r="W14" i="4" s="1"/>
  <c r="AA14" i="4"/>
  <c r="CU14" i="4" s="1"/>
  <c r="AD14" i="4"/>
  <c r="AE14" i="4" s="1"/>
  <c r="AI14" i="4"/>
  <c r="CW14" i="4" s="1"/>
  <c r="AL14" i="4"/>
  <c r="AM14" i="4" s="1"/>
  <c r="AQ14" i="4"/>
  <c r="CY14" i="4" s="1"/>
  <c r="AT14" i="4"/>
  <c r="AU14" i="4" s="1"/>
  <c r="AY14" i="4"/>
  <c r="DA14" i="4" s="1"/>
  <c r="BB14" i="4"/>
  <c r="BC14" i="4" s="1"/>
  <c r="BG14" i="4"/>
  <c r="DC14" i="4" s="1"/>
  <c r="BJ14" i="4"/>
  <c r="CC14" i="4"/>
  <c r="CG14" i="4"/>
  <c r="CK14" i="4"/>
  <c r="G15" i="4"/>
  <c r="BY15" i="4" s="1"/>
  <c r="J15" i="4"/>
  <c r="K15" i="4" s="1"/>
  <c r="O15" i="4"/>
  <c r="CR15" i="4" s="1"/>
  <c r="R15" i="4"/>
  <c r="S15" i="4" s="1"/>
  <c r="W15" i="4"/>
  <c r="CT15" i="4" s="1"/>
  <c r="Z15" i="4"/>
  <c r="AA15" i="4" s="1"/>
  <c r="AE15" i="4"/>
  <c r="CV15" i="4" s="1"/>
  <c r="AH15" i="4"/>
  <c r="AI15" i="4" s="1"/>
  <c r="AM15" i="4"/>
  <c r="CX15" i="4" s="1"/>
  <c r="AP15" i="4"/>
  <c r="AQ15" i="4" s="1"/>
  <c r="AU15" i="4"/>
  <c r="CZ15" i="4" s="1"/>
  <c r="AX15" i="4"/>
  <c r="AY15" i="4" s="1"/>
  <c r="BC15" i="4"/>
  <c r="DB15" i="4" s="1"/>
  <c r="BF15" i="4"/>
  <c r="BG15" i="4" s="1"/>
  <c r="CB15" i="4"/>
  <c r="F16" i="4"/>
  <c r="G16" i="4" s="1"/>
  <c r="N16" i="4"/>
  <c r="O16" i="4" s="1"/>
  <c r="V16" i="4"/>
  <c r="W16" i="4" s="1"/>
  <c r="AD16" i="4"/>
  <c r="AE16" i="4" s="1"/>
  <c r="AL16" i="4"/>
  <c r="AM16" i="4" s="1"/>
  <c r="AT16" i="4"/>
  <c r="AU16" i="4" s="1"/>
  <c r="BB16" i="4"/>
  <c r="BC16" i="4" s="1"/>
  <c r="CB16" i="4"/>
  <c r="CD16" i="4"/>
  <c r="CF16" i="4"/>
  <c r="CH16" i="4"/>
  <c r="CJ16" i="4"/>
  <c r="CL16" i="4"/>
  <c r="F17" i="4"/>
  <c r="G17" i="4" s="1"/>
  <c r="K17" i="4"/>
  <c r="BZ17" i="4" s="1"/>
  <c r="N17" i="4"/>
  <c r="O17" i="4" s="1"/>
  <c r="S17" i="4"/>
  <c r="CB17" i="4" s="1"/>
  <c r="V17" i="4"/>
  <c r="W17" i="4" s="1"/>
  <c r="AA17" i="4"/>
  <c r="CD17" i="4" s="1"/>
  <c r="AD17" i="4"/>
  <c r="AE17" i="4" s="1"/>
  <c r="AI17" i="4"/>
  <c r="CW17" i="4" s="1"/>
  <c r="AL17" i="4"/>
  <c r="AM17" i="4" s="1"/>
  <c r="AQ17" i="4"/>
  <c r="CY17" i="4" s="1"/>
  <c r="AT17" i="4"/>
  <c r="AU17" i="4" s="1"/>
  <c r="AY17" i="4"/>
  <c r="DA17" i="4" s="1"/>
  <c r="BB17" i="4"/>
  <c r="BC17" i="4" s="1"/>
  <c r="BG17" i="4"/>
  <c r="CL17" i="4" s="1"/>
  <c r="BJ17" i="4"/>
  <c r="BK17" i="4" s="1"/>
  <c r="F18" i="4"/>
  <c r="G18" i="4" s="1"/>
  <c r="K18" i="4"/>
  <c r="BZ18" i="4" s="1"/>
  <c r="N18" i="4"/>
  <c r="O18" i="4" s="1"/>
  <c r="S18" i="4"/>
  <c r="CS18" i="4" s="1"/>
  <c r="CS60" i="4" s="1"/>
  <c r="V18" i="4"/>
  <c r="W18" i="4" s="1"/>
  <c r="AA18" i="4"/>
  <c r="CU18" i="4" s="1"/>
  <c r="CU60" i="4" s="1"/>
  <c r="AD18" i="4"/>
  <c r="AE18" i="4" s="1"/>
  <c r="AI18" i="4"/>
  <c r="CW18" i="4" s="1"/>
  <c r="CW60" i="4" s="1"/>
  <c r="AL18" i="4"/>
  <c r="AQ18" i="4"/>
  <c r="AQ60" i="4" s="1"/>
  <c r="AT18" i="4"/>
  <c r="AY18" i="4"/>
  <c r="AY60" i="4" s="1"/>
  <c r="BB18" i="4"/>
  <c r="BG18" i="4"/>
  <c r="BG60" i="4" s="1"/>
  <c r="BJ18" i="4"/>
  <c r="BK18" i="4" s="1"/>
  <c r="BK60" i="4" s="1"/>
  <c r="G19" i="4"/>
  <c r="BY19" i="4" s="1"/>
  <c r="J19" i="4"/>
  <c r="K19" i="4" s="1"/>
  <c r="O19" i="4"/>
  <c r="CR19" i="4" s="1"/>
  <c r="R19" i="4"/>
  <c r="S19" i="4" s="1"/>
  <c r="W19" i="4"/>
  <c r="CT19" i="4" s="1"/>
  <c r="Z19" i="4"/>
  <c r="AA19" i="4" s="1"/>
  <c r="AE19" i="4"/>
  <c r="CV19" i="4" s="1"/>
  <c r="AH19" i="4"/>
  <c r="AI19" i="4" s="1"/>
  <c r="AM19" i="4"/>
  <c r="CX19" i="4" s="1"/>
  <c r="AP19" i="4"/>
  <c r="AQ19" i="4" s="1"/>
  <c r="AU19" i="4"/>
  <c r="CZ19" i="4" s="1"/>
  <c r="AX19" i="4"/>
  <c r="AY19" i="4" s="1"/>
  <c r="BC19" i="4"/>
  <c r="DB19" i="4" s="1"/>
  <c r="BF19" i="4"/>
  <c r="BG19" i="4" s="1"/>
  <c r="CB19" i="4"/>
  <c r="F20" i="4"/>
  <c r="G20" i="4" s="1"/>
  <c r="K20" i="4"/>
  <c r="BZ20" i="4" s="1"/>
  <c r="R20" i="4"/>
  <c r="S20" i="4" s="1"/>
  <c r="V20" i="4"/>
  <c r="W20" i="4" s="1"/>
  <c r="Z20" i="4"/>
  <c r="AA20" i="4" s="1"/>
  <c r="AH20" i="4"/>
  <c r="AI20" i="4" s="1"/>
  <c r="AQ20" i="4"/>
  <c r="CY20" i="4" s="1"/>
  <c r="AT20" i="4"/>
  <c r="AU20" i="4" s="1"/>
  <c r="AY20" i="4"/>
  <c r="DA20" i="4" s="1"/>
  <c r="BB20" i="4"/>
  <c r="BC20" i="4" s="1"/>
  <c r="BG20" i="4"/>
  <c r="DC20" i="4" s="1"/>
  <c r="BJ20" i="4"/>
  <c r="CA20" i="4"/>
  <c r="CC20" i="4"/>
  <c r="CE20" i="4"/>
  <c r="CG20" i="4"/>
  <c r="G22" i="4"/>
  <c r="BY22" i="4" s="1"/>
  <c r="J22" i="4"/>
  <c r="K22" i="4" s="1"/>
  <c r="O22" i="4"/>
  <c r="CR22" i="4" s="1"/>
  <c r="R22" i="4"/>
  <c r="S22" i="4" s="1"/>
  <c r="W22" i="4"/>
  <c r="CT22" i="4" s="1"/>
  <c r="Z22" i="4"/>
  <c r="AA22" i="4" s="1"/>
  <c r="AE22" i="4"/>
  <c r="CV22" i="4" s="1"/>
  <c r="AH22" i="4"/>
  <c r="AI22" i="4" s="1"/>
  <c r="AM22" i="4"/>
  <c r="CX22" i="4" s="1"/>
  <c r="AP22" i="4"/>
  <c r="AQ22" i="4" s="1"/>
  <c r="AU22" i="4"/>
  <c r="CZ22" i="4" s="1"/>
  <c r="AX22" i="4"/>
  <c r="AY22" i="4" s="1"/>
  <c r="BC22" i="4"/>
  <c r="DB22" i="4" s="1"/>
  <c r="BF22" i="4"/>
  <c r="BG22" i="4" s="1"/>
  <c r="CD22" i="4"/>
  <c r="CH22" i="4"/>
  <c r="F23" i="4"/>
  <c r="G23" i="4" s="1"/>
  <c r="K23" i="4"/>
  <c r="BZ23" i="4" s="1"/>
  <c r="N23" i="4"/>
  <c r="O23" i="4" s="1"/>
  <c r="S23" i="4"/>
  <c r="CS23" i="4" s="1"/>
  <c r="V23" i="4"/>
  <c r="W23" i="4" s="1"/>
  <c r="AA23" i="4"/>
  <c r="CU23" i="4" s="1"/>
  <c r="AD23" i="4"/>
  <c r="AE23" i="4" s="1"/>
  <c r="AI23" i="4"/>
  <c r="CW23" i="4" s="1"/>
  <c r="AL23" i="4"/>
  <c r="AM23" i="4" s="1"/>
  <c r="AQ23" i="4"/>
  <c r="CY23" i="4" s="1"/>
  <c r="AT23" i="4"/>
  <c r="AU23" i="4" s="1"/>
  <c r="AY23" i="4"/>
  <c r="DA23" i="4" s="1"/>
  <c r="BB23" i="4"/>
  <c r="BC23" i="4" s="1"/>
  <c r="BG23" i="4"/>
  <c r="DC23" i="4" s="1"/>
  <c r="BJ23" i="4"/>
  <c r="BK23" i="4" s="1"/>
  <c r="CG23" i="4"/>
  <c r="J24" i="4"/>
  <c r="K24" i="4" s="1"/>
  <c r="R24" i="4"/>
  <c r="S24" i="4" s="1"/>
  <c r="Z24" i="4"/>
  <c r="AA24" i="4" s="1"/>
  <c r="AH24" i="4"/>
  <c r="AI24" i="4" s="1"/>
  <c r="AP24" i="4"/>
  <c r="AQ24" i="4" s="1"/>
  <c r="AX24" i="4"/>
  <c r="AY24" i="4" s="1"/>
  <c r="BF24" i="4"/>
  <c r="BG24" i="4" s="1"/>
  <c r="CA24" i="4"/>
  <c r="CC24" i="4"/>
  <c r="CE24" i="4"/>
  <c r="CG24" i="4"/>
  <c r="CI24" i="4"/>
  <c r="CK24" i="4"/>
  <c r="G25" i="4"/>
  <c r="BY25" i="4" s="1"/>
  <c r="Z25" i="4"/>
  <c r="AA25" i="4" s="1"/>
  <c r="AH25" i="4"/>
  <c r="AI25" i="4" s="1"/>
  <c r="AP25" i="4"/>
  <c r="AQ25" i="4" s="1"/>
  <c r="AX25" i="4"/>
  <c r="AY25" i="4" s="1"/>
  <c r="BF25" i="4"/>
  <c r="BG25" i="4" s="1"/>
  <c r="CA25" i="4"/>
  <c r="CE25" i="4"/>
  <c r="CI25" i="4"/>
  <c r="CV25" i="4"/>
  <c r="CZ25" i="4"/>
  <c r="BZ26" i="4"/>
  <c r="CS26" i="4"/>
  <c r="CU26" i="4"/>
  <c r="CW26" i="4"/>
  <c r="CY26" i="4"/>
  <c r="DA26" i="4"/>
  <c r="DC26" i="4"/>
  <c r="CA26" i="4"/>
  <c r="CE26" i="4"/>
  <c r="CI26" i="4"/>
  <c r="CR26" i="4"/>
  <c r="CV26" i="4"/>
  <c r="CZ26" i="4"/>
  <c r="F57" i="4"/>
  <c r="F58" i="4" s="1"/>
  <c r="G30" i="4"/>
  <c r="N57" i="4"/>
  <c r="N58" i="4" s="1"/>
  <c r="O30" i="4"/>
  <c r="V57" i="4"/>
  <c r="V58" i="4" s="1"/>
  <c r="W30" i="4"/>
  <c r="CT30" i="4" s="1"/>
  <c r="AD57" i="4"/>
  <c r="AD58" i="4" s="1"/>
  <c r="AE30" i="4"/>
  <c r="CE30" i="4" s="1"/>
  <c r="AL57" i="4"/>
  <c r="AL58" i="4" s="1"/>
  <c r="AM30" i="4"/>
  <c r="CX30" i="4" s="1"/>
  <c r="AT57" i="4"/>
  <c r="AT58" i="4" s="1"/>
  <c r="AU30" i="4"/>
  <c r="CI30" i="4" s="1"/>
  <c r="BB57" i="4"/>
  <c r="BB58" i="4" s="1"/>
  <c r="BC30" i="4"/>
  <c r="BJ57" i="4"/>
  <c r="CA30" i="4"/>
  <c r="DB30" i="4"/>
  <c r="F31" i="4"/>
  <c r="G31" i="4" s="1"/>
  <c r="N31" i="4"/>
  <c r="O31" i="4" s="1"/>
  <c r="V31" i="4"/>
  <c r="W31" i="4" s="1"/>
  <c r="AD31" i="4"/>
  <c r="AE31" i="4" s="1"/>
  <c r="AL31" i="4"/>
  <c r="AM31" i="4" s="1"/>
  <c r="AT31" i="4"/>
  <c r="AU31" i="4" s="1"/>
  <c r="BB31" i="4"/>
  <c r="BC31" i="4" s="1"/>
  <c r="BJ31" i="4"/>
  <c r="BZ31" i="4"/>
  <c r="CD31" i="4"/>
  <c r="CH31" i="4"/>
  <c r="CU31" i="4"/>
  <c r="CY31" i="4"/>
  <c r="CS33" i="4"/>
  <c r="CW33" i="4"/>
  <c r="DA33" i="4"/>
  <c r="CS38" i="4"/>
  <c r="CW38" i="4"/>
  <c r="CS39" i="4"/>
  <c r="CW39" i="4"/>
  <c r="CS40" i="4"/>
  <c r="CY40" i="4"/>
  <c r="DC40" i="4"/>
  <c r="DC43" i="4"/>
  <c r="CC10" i="4"/>
  <c r="CK10" i="4"/>
  <c r="CR10" i="4"/>
  <c r="CV10" i="4"/>
  <c r="CZ10" i="4"/>
  <c r="M73" i="4"/>
  <c r="U73" i="4"/>
  <c r="AC73" i="4"/>
  <c r="AK73" i="4"/>
  <c r="AS73" i="4"/>
  <c r="AX78" i="17"/>
  <c r="AX72" i="4"/>
  <c r="AX70" i="4" s="1"/>
  <c r="AX69" i="4" s="1"/>
  <c r="AX73" i="4" s="1"/>
  <c r="BA78" i="17"/>
  <c r="BA72" i="4"/>
  <c r="BA70" i="4" s="1"/>
  <c r="BA69" i="4" s="1"/>
  <c r="BF78" i="17"/>
  <c r="BF72" i="4"/>
  <c r="BF70" i="4" s="1"/>
  <c r="BF69" i="4" s="1"/>
  <c r="BF73" i="4" s="1"/>
  <c r="BI78" i="17"/>
  <c r="BI72" i="4"/>
  <c r="BI70" i="4" s="1"/>
  <c r="BI69" i="4" s="1"/>
  <c r="BZ11" i="4"/>
  <c r="CB11" i="4"/>
  <c r="CD11" i="4"/>
  <c r="CF11" i="4"/>
  <c r="CH11" i="4"/>
  <c r="CJ11" i="4"/>
  <c r="CL11" i="4"/>
  <c r="CS11" i="4"/>
  <c r="CS72" i="4" s="1"/>
  <c r="CS70" i="4" s="1"/>
  <c r="CU11" i="4"/>
  <c r="CU72" i="4" s="1"/>
  <c r="CU70" i="4" s="1"/>
  <c r="CW11" i="4"/>
  <c r="CW72" i="4" s="1"/>
  <c r="CW70" i="4" s="1"/>
  <c r="CY11" i="4"/>
  <c r="CY72" i="4" s="1"/>
  <c r="CY70" i="4" s="1"/>
  <c r="DA11" i="4"/>
  <c r="DA72" i="4" s="1"/>
  <c r="DA70" i="4" s="1"/>
  <c r="DC11" i="4"/>
  <c r="DC72" i="4" s="1"/>
  <c r="DC70" i="4" s="1"/>
  <c r="CB12" i="4"/>
  <c r="CD12" i="4"/>
  <c r="CF12" i="4"/>
  <c r="CH12" i="4"/>
  <c r="CJ12" i="4"/>
  <c r="CL12" i="4"/>
  <c r="CA13" i="4"/>
  <c r="CC13" i="4"/>
  <c r="CE13" i="4"/>
  <c r="CG13" i="4"/>
  <c r="CI13" i="4"/>
  <c r="CK13" i="4"/>
  <c r="CM13" i="4"/>
  <c r="CB14" i="4"/>
  <c r="CD14" i="4"/>
  <c r="CF14" i="4"/>
  <c r="CH14" i="4"/>
  <c r="CJ14" i="4"/>
  <c r="CL14" i="4"/>
  <c r="CA15" i="4"/>
  <c r="CC15" i="4"/>
  <c r="CE15" i="4"/>
  <c r="CG15" i="4"/>
  <c r="CI15" i="4"/>
  <c r="CK15" i="4"/>
  <c r="CM15" i="4"/>
  <c r="CA16" i="4"/>
  <c r="CC16" i="4"/>
  <c r="CE16" i="4"/>
  <c r="CG16" i="4"/>
  <c r="CI16" i="4"/>
  <c r="CK16" i="4"/>
  <c r="CB18" i="4"/>
  <c r="CD18" i="4"/>
  <c r="CF18" i="4"/>
  <c r="CH18" i="4"/>
  <c r="CJ18" i="4"/>
  <c r="CL18" i="4"/>
  <c r="CL60" i="4" s="1"/>
  <c r="CY18" i="4"/>
  <c r="CY60" i="4" s="1"/>
  <c r="DA18" i="4"/>
  <c r="DA60" i="4" s="1"/>
  <c r="DC18" i="4"/>
  <c r="DC60" i="4" s="1"/>
  <c r="CA19" i="4"/>
  <c r="CC19" i="4"/>
  <c r="CE19" i="4"/>
  <c r="CG19" i="4"/>
  <c r="CI19" i="4"/>
  <c r="CK19" i="4"/>
  <c r="CM19" i="4"/>
  <c r="CB20" i="4"/>
  <c r="CD20" i="4"/>
  <c r="CF20" i="4"/>
  <c r="CH20" i="4"/>
  <c r="CJ20" i="4"/>
  <c r="CL20" i="4"/>
  <c r="CA22" i="4"/>
  <c r="CC22" i="4"/>
  <c r="CE22" i="4"/>
  <c r="CG22" i="4"/>
  <c r="CI22" i="4"/>
  <c r="CK22" i="4"/>
  <c r="CD23" i="4"/>
  <c r="CH23" i="4"/>
  <c r="CL23" i="4"/>
  <c r="CB24" i="4"/>
  <c r="CD24" i="4"/>
  <c r="CF24" i="4"/>
  <c r="CH24" i="4"/>
  <c r="CJ24" i="4"/>
  <c r="CL24" i="4"/>
  <c r="BZ25" i="4"/>
  <c r="CS25" i="4"/>
  <c r="CB25" i="4"/>
  <c r="CC25" i="4"/>
  <c r="CG25" i="4"/>
  <c r="CK25" i="4"/>
  <c r="CT25" i="4"/>
  <c r="CX25" i="4"/>
  <c r="DB25" i="4"/>
  <c r="CC26" i="4"/>
  <c r="CG26" i="4"/>
  <c r="CK26" i="4"/>
  <c r="I57" i="4"/>
  <c r="I58" i="4" s="1"/>
  <c r="I34" i="4"/>
  <c r="J30" i="4"/>
  <c r="Q57" i="4"/>
  <c r="Q58" i="4" s="1"/>
  <c r="Q34" i="4"/>
  <c r="R30" i="4"/>
  <c r="Y57" i="4"/>
  <c r="Y58" i="4" s="1"/>
  <c r="Y34" i="4"/>
  <c r="Z30" i="4"/>
  <c r="AG57" i="4"/>
  <c r="AG58" i="4" s="1"/>
  <c r="AG34" i="4"/>
  <c r="AH30" i="4"/>
  <c r="AO57" i="4"/>
  <c r="AO58" i="4" s="1"/>
  <c r="AO34" i="4"/>
  <c r="AP30" i="4"/>
  <c r="AW57" i="4"/>
  <c r="AW58" i="4" s="1"/>
  <c r="AW34" i="4"/>
  <c r="AX30" i="4"/>
  <c r="BE57" i="4"/>
  <c r="BE58" i="4" s="1"/>
  <c r="BE34" i="4"/>
  <c r="BF30" i="4"/>
  <c r="AY31" i="4"/>
  <c r="DA31" i="4" s="1"/>
  <c r="BG31" i="4"/>
  <c r="CL31" i="4" s="1"/>
  <c r="CB31" i="4"/>
  <c r="CF31" i="4"/>
  <c r="CS31" i="4"/>
  <c r="CW31" i="4"/>
  <c r="CB26" i="4"/>
  <c r="CD26" i="4"/>
  <c r="CF26" i="4"/>
  <c r="CH26" i="4"/>
  <c r="CJ26" i="4"/>
  <c r="CL26" i="4"/>
  <c r="G32" i="4"/>
  <c r="BY32" i="4" s="1"/>
  <c r="J32" i="4"/>
  <c r="K32" i="4" s="1"/>
  <c r="O32" i="4"/>
  <c r="CR32" i="4" s="1"/>
  <c r="R32" i="4"/>
  <c r="S32" i="4" s="1"/>
  <c r="W32" i="4"/>
  <c r="CT32" i="4" s="1"/>
  <c r="Z32" i="4"/>
  <c r="AA32" i="4" s="1"/>
  <c r="AE32" i="4"/>
  <c r="CV32" i="4" s="1"/>
  <c r="AH32" i="4"/>
  <c r="AI32" i="4" s="1"/>
  <c r="AM32" i="4"/>
  <c r="CX32" i="4" s="1"/>
  <c r="AP32" i="4"/>
  <c r="AQ32" i="4" s="1"/>
  <c r="AU32" i="4"/>
  <c r="CZ32" i="4" s="1"/>
  <c r="AX32" i="4"/>
  <c r="AY32" i="4" s="1"/>
  <c r="CJ32" i="4" s="1"/>
  <c r="BC32" i="4"/>
  <c r="DB32" i="4" s="1"/>
  <c r="BF32" i="4"/>
  <c r="BG32" i="4" s="1"/>
  <c r="CB32" i="4"/>
  <c r="F33" i="4"/>
  <c r="G33" i="4" s="1"/>
  <c r="N33" i="4"/>
  <c r="O33" i="4" s="1"/>
  <c r="V33" i="4"/>
  <c r="W33" i="4" s="1"/>
  <c r="AD33" i="4"/>
  <c r="AE33" i="4" s="1"/>
  <c r="AL33" i="4"/>
  <c r="AM33" i="4" s="1"/>
  <c r="AT33" i="4"/>
  <c r="AU33" i="4" s="1"/>
  <c r="BB33" i="4"/>
  <c r="BC33" i="4" s="1"/>
  <c r="CB33" i="4"/>
  <c r="CD33" i="4"/>
  <c r="CF33" i="4"/>
  <c r="CH33" i="4"/>
  <c r="CJ33" i="4"/>
  <c r="CL33" i="4"/>
  <c r="E34" i="4"/>
  <c r="M34" i="4"/>
  <c r="U34" i="4"/>
  <c r="AC34" i="4"/>
  <c r="AK34" i="4"/>
  <c r="AS34" i="4"/>
  <c r="BA34" i="4"/>
  <c r="BI34" i="4"/>
  <c r="G37" i="4"/>
  <c r="J37" i="4"/>
  <c r="O37" i="4"/>
  <c r="R37" i="4"/>
  <c r="W37" i="4"/>
  <c r="Z37" i="4"/>
  <c r="AE37" i="4"/>
  <c r="AH37" i="4"/>
  <c r="AM37" i="4"/>
  <c r="AP37" i="4"/>
  <c r="AU37" i="4"/>
  <c r="AX37" i="4"/>
  <c r="BC37" i="4"/>
  <c r="BF37" i="4"/>
  <c r="F38" i="4"/>
  <c r="G38" i="4" s="1"/>
  <c r="N38" i="4"/>
  <c r="O38" i="4" s="1"/>
  <c r="V38" i="4"/>
  <c r="W38" i="4" s="1"/>
  <c r="AD38" i="4"/>
  <c r="AE38" i="4" s="1"/>
  <c r="AM38" i="4"/>
  <c r="CX38" i="4" s="1"/>
  <c r="AP38" i="4"/>
  <c r="AQ38" i="4" s="1"/>
  <c r="AU38" i="4"/>
  <c r="CZ38" i="4" s="1"/>
  <c r="AX38" i="4"/>
  <c r="AY38" i="4" s="1"/>
  <c r="BC38" i="4"/>
  <c r="DB38" i="4" s="1"/>
  <c r="BF38" i="4"/>
  <c r="BG38" i="4" s="1"/>
  <c r="CB38" i="4"/>
  <c r="CD38" i="4"/>
  <c r="CF38" i="4"/>
  <c r="F39" i="4"/>
  <c r="G39" i="4" s="1"/>
  <c r="N39" i="4"/>
  <c r="O39" i="4" s="1"/>
  <c r="V39" i="4"/>
  <c r="W39" i="4" s="1"/>
  <c r="AD39" i="4"/>
  <c r="AE39" i="4" s="1"/>
  <c r="AM39" i="4"/>
  <c r="CX39" i="4" s="1"/>
  <c r="AP39" i="4"/>
  <c r="AQ39" i="4" s="1"/>
  <c r="AU39" i="4"/>
  <c r="CZ39" i="4" s="1"/>
  <c r="AX39" i="4"/>
  <c r="AY39" i="4" s="1"/>
  <c r="BC39" i="4"/>
  <c r="DB39" i="4" s="1"/>
  <c r="BF39" i="4"/>
  <c r="BG39" i="4" s="1"/>
  <c r="CB39" i="4"/>
  <c r="CD39" i="4"/>
  <c r="CF39" i="4"/>
  <c r="CJ39" i="4"/>
  <c r="F40" i="4"/>
  <c r="G40" i="4" s="1"/>
  <c r="N40" i="4"/>
  <c r="O40" i="4" s="1"/>
  <c r="V40" i="4"/>
  <c r="W40" i="4" s="1"/>
  <c r="AM40" i="4"/>
  <c r="CX40" i="4" s="1"/>
  <c r="AT40" i="4"/>
  <c r="AU40" i="4" s="1"/>
  <c r="BB40" i="4"/>
  <c r="BC40" i="4" s="1"/>
  <c r="CB40" i="4"/>
  <c r="CH40" i="4"/>
  <c r="CJ40" i="4"/>
  <c r="CL40" i="4"/>
  <c r="AM41" i="4"/>
  <c r="CX41" i="4" s="1"/>
  <c r="AP41" i="4"/>
  <c r="AQ41" i="4" s="1"/>
  <c r="AU41" i="4"/>
  <c r="CZ41" i="4" s="1"/>
  <c r="AX41" i="4"/>
  <c r="AY41" i="4" s="1"/>
  <c r="BC41" i="4"/>
  <c r="DB41" i="4" s="1"/>
  <c r="BF41" i="4"/>
  <c r="BG41" i="4" s="1"/>
  <c r="CF41" i="4"/>
  <c r="F42" i="4"/>
  <c r="G42" i="4" s="1"/>
  <c r="K42" i="4"/>
  <c r="BZ42" i="4" s="1"/>
  <c r="N42" i="4"/>
  <c r="O42" i="4" s="1"/>
  <c r="S42" i="4"/>
  <c r="CS42" i="4" s="1"/>
  <c r="V42" i="4"/>
  <c r="W42" i="4" s="1"/>
  <c r="AA42" i="4"/>
  <c r="CU42" i="4" s="1"/>
  <c r="AD42" i="4"/>
  <c r="AE42" i="4" s="1"/>
  <c r="AI42" i="4"/>
  <c r="CW42" i="4" s="1"/>
  <c r="AL42" i="4"/>
  <c r="AM42" i="4" s="1"/>
  <c r="AQ42" i="4"/>
  <c r="CY42" i="4" s="1"/>
  <c r="AT42" i="4"/>
  <c r="AU42" i="4" s="1"/>
  <c r="AY42" i="4"/>
  <c r="DA42" i="4" s="1"/>
  <c r="BB42" i="4"/>
  <c r="BC42" i="4" s="1"/>
  <c r="BG42" i="4"/>
  <c r="DC42" i="4" s="1"/>
  <c r="BJ42" i="4"/>
  <c r="BK42" i="4" s="1"/>
  <c r="G43" i="4"/>
  <c r="BY43" i="4" s="1"/>
  <c r="J43" i="4"/>
  <c r="K43" i="4" s="1"/>
  <c r="O43" i="4"/>
  <c r="CR43" i="4" s="1"/>
  <c r="R43" i="4"/>
  <c r="S43" i="4" s="1"/>
  <c r="W43" i="4"/>
  <c r="CT43" i="4" s="1"/>
  <c r="Z43" i="4"/>
  <c r="AA43" i="4" s="1"/>
  <c r="AE43" i="4"/>
  <c r="CV43" i="4" s="1"/>
  <c r="AH43" i="4"/>
  <c r="AI43" i="4" s="1"/>
  <c r="AL43" i="4"/>
  <c r="AM43" i="4" s="1"/>
  <c r="AP43" i="4"/>
  <c r="AQ43" i="4" s="1"/>
  <c r="AT43" i="4"/>
  <c r="AU43" i="4" s="1"/>
  <c r="AX43" i="4"/>
  <c r="AY43" i="4" s="1"/>
  <c r="BB43" i="4"/>
  <c r="BC43" i="4" s="1"/>
  <c r="CB43" i="4"/>
  <c r="CJ43" i="4"/>
  <c r="CL43" i="4"/>
  <c r="AY44" i="4"/>
  <c r="DA44" i="4" s="1"/>
  <c r="BC44" i="4"/>
  <c r="CK44" i="4" s="1"/>
  <c r="BG44" i="4"/>
  <c r="CL44" i="4" s="1"/>
  <c r="BJ44" i="4"/>
  <c r="BK44" i="4" s="1"/>
  <c r="CJ44" i="4"/>
  <c r="F45" i="4"/>
  <c r="G45" i="4" s="1"/>
  <c r="K45" i="4"/>
  <c r="BZ45" i="4" s="1"/>
  <c r="N45" i="4"/>
  <c r="O45" i="4" s="1"/>
  <c r="S45" i="4"/>
  <c r="CS45" i="4" s="1"/>
  <c r="V45" i="4"/>
  <c r="W45" i="4" s="1"/>
  <c r="AA45" i="4"/>
  <c r="CU45" i="4" s="1"/>
  <c r="AD45" i="4"/>
  <c r="AE45" i="4" s="1"/>
  <c r="AI45" i="4"/>
  <c r="CW45" i="4" s="1"/>
  <c r="AL45" i="4"/>
  <c r="AM45" i="4" s="1"/>
  <c r="AQ45" i="4"/>
  <c r="CY45" i="4" s="1"/>
  <c r="AT45" i="4"/>
  <c r="AU45" i="4" s="1"/>
  <c r="AY45" i="4"/>
  <c r="DA45" i="4" s="1"/>
  <c r="BG45" i="4"/>
  <c r="DC45" i="4" s="1"/>
  <c r="BJ45" i="4"/>
  <c r="CA45" i="4"/>
  <c r="CE45" i="4"/>
  <c r="CI45" i="4"/>
  <c r="CK45" i="4"/>
  <c r="F46" i="4"/>
  <c r="AL46" i="4"/>
  <c r="CA32" i="4"/>
  <c r="CC32" i="4"/>
  <c r="CE32" i="4"/>
  <c r="CG32" i="4"/>
  <c r="CI32" i="4"/>
  <c r="CK32" i="4"/>
  <c r="CM32" i="4"/>
  <c r="CA33" i="4"/>
  <c r="CC33" i="4"/>
  <c r="CE33" i="4"/>
  <c r="CG33" i="4"/>
  <c r="CI33" i="4"/>
  <c r="CK33" i="4"/>
  <c r="CA37" i="4"/>
  <c r="CC37" i="4"/>
  <c r="CE37" i="4"/>
  <c r="CG37" i="4"/>
  <c r="CI37" i="4"/>
  <c r="CK37" i="4"/>
  <c r="CM37" i="4"/>
  <c r="CA38" i="4"/>
  <c r="CC38" i="4"/>
  <c r="CE38" i="4"/>
  <c r="CG38" i="4"/>
  <c r="CI38" i="4"/>
  <c r="CK38" i="4"/>
  <c r="CM38" i="4"/>
  <c r="CA39" i="4"/>
  <c r="CC39" i="4"/>
  <c r="CE39" i="4"/>
  <c r="CG39" i="4"/>
  <c r="CI39" i="4"/>
  <c r="CK39" i="4"/>
  <c r="CM39" i="4"/>
  <c r="CA40" i="4"/>
  <c r="CC40" i="4"/>
  <c r="CG40" i="4"/>
  <c r="CI40" i="4"/>
  <c r="CK40" i="4"/>
  <c r="CG41" i="4"/>
  <c r="CI41" i="4"/>
  <c r="CK41" i="4"/>
  <c r="CM41" i="4"/>
  <c r="CB42" i="4"/>
  <c r="CD42" i="4"/>
  <c r="CF42" i="4"/>
  <c r="CH42" i="4"/>
  <c r="CJ42" i="4"/>
  <c r="CL42" i="4"/>
  <c r="CA43" i="4"/>
  <c r="CC43" i="4"/>
  <c r="CE43" i="4"/>
  <c r="CG43" i="4"/>
  <c r="CI43" i="4"/>
  <c r="CK43" i="4"/>
  <c r="CM43" i="4"/>
  <c r="CB45" i="4"/>
  <c r="CD45" i="4"/>
  <c r="CF45" i="4"/>
  <c r="CH45" i="4"/>
  <c r="CJ45" i="4"/>
  <c r="BS58" i="4"/>
  <c r="BP55" i="3"/>
  <c r="BM56" i="3"/>
  <c r="BM31" i="3"/>
  <c r="BN31" i="3" s="1"/>
  <c r="BO31" i="3" s="1"/>
  <c r="CM30" i="3"/>
  <c r="CM79" i="3" s="1"/>
  <c r="CM80" i="3" s="1"/>
  <c r="BJ82" i="3"/>
  <c r="BJ80" i="3"/>
  <c r="BJ28" i="3"/>
  <c r="CM16" i="4"/>
  <c r="CM19" i="3"/>
  <c r="BM19" i="3"/>
  <c r="DD17" i="3"/>
  <c r="BJ21" i="3"/>
  <c r="BJ75" i="3"/>
  <c r="BJ76" i="3" s="1"/>
  <c r="BM17" i="3"/>
  <c r="BJ51" i="3"/>
  <c r="AG67" i="2" l="1"/>
  <c r="DA62" i="2"/>
  <c r="Q67" i="2"/>
  <c r="CI40" i="2"/>
  <c r="BD63" i="2"/>
  <c r="DC137" i="2"/>
  <c r="CH45" i="2"/>
  <c r="CH48" i="2" s="1"/>
  <c r="CH49" i="2" s="1"/>
  <c r="E67" i="2"/>
  <c r="AJ62" i="2"/>
  <c r="AJ66" i="2" s="1"/>
  <c r="AJ81" i="2" s="1"/>
  <c r="CZ62" i="2"/>
  <c r="CZ66" i="2" s="1"/>
  <c r="Y67" i="2"/>
  <c r="BZ100" i="2"/>
  <c r="CH79" i="2"/>
  <c r="AA79" i="2"/>
  <c r="K79" i="2"/>
  <c r="W79" i="2"/>
  <c r="G79" i="2"/>
  <c r="CY60" i="2"/>
  <c r="CL100" i="2"/>
  <c r="X81" i="2"/>
  <c r="X89" i="2" s="1"/>
  <c r="X67" i="2"/>
  <c r="CA73" i="2"/>
  <c r="AO107" i="2"/>
  <c r="AR10" i="17"/>
  <c r="AR14" i="17"/>
  <c r="AR16" i="17" s="1"/>
  <c r="AQ11" i="17"/>
  <c r="AR11" i="17"/>
  <c r="BB54" i="17"/>
  <c r="BC51" i="17"/>
  <c r="BK45" i="4"/>
  <c r="BK14" i="4"/>
  <c r="BJ78" i="17"/>
  <c r="BK11" i="4"/>
  <c r="BK72" i="4" s="1"/>
  <c r="BK46" i="4"/>
  <c r="BK57" i="4"/>
  <c r="BK58" i="4" s="1"/>
  <c r="BK34" i="4"/>
  <c r="CG42" i="4"/>
  <c r="CL39" i="4"/>
  <c r="CH39" i="4"/>
  <c r="BK31" i="4"/>
  <c r="CM31" i="4" s="1"/>
  <c r="CK23" i="4"/>
  <c r="CC23" i="4"/>
  <c r="BK20" i="4"/>
  <c r="CC18" i="4"/>
  <c r="CM17" i="4"/>
  <c r="CM14" i="4"/>
  <c r="CI14" i="4"/>
  <c r="CE14" i="4"/>
  <c r="CA14" i="4"/>
  <c r="BU43" i="3"/>
  <c r="BT42" i="3"/>
  <c r="DD42" i="4"/>
  <c r="CD138" i="2"/>
  <c r="BA55" i="17"/>
  <c r="CR73" i="2"/>
  <c r="CC87" i="17"/>
  <c r="CC109" i="17"/>
  <c r="CJ43" i="17"/>
  <c r="CS27" i="17"/>
  <c r="AU14" i="17"/>
  <c r="AB28" i="17"/>
  <c r="CD27" i="17"/>
  <c r="BA33" i="17"/>
  <c r="BA63" i="17" s="1"/>
  <c r="BA76" i="17" s="1"/>
  <c r="AM29" i="17"/>
  <c r="CG124" i="17"/>
  <c r="AI28" i="17"/>
  <c r="CH80" i="3"/>
  <c r="U76" i="3"/>
  <c r="CU78" i="3"/>
  <c r="CH73" i="3"/>
  <c r="CZ49" i="2"/>
  <c r="DB62" i="2"/>
  <c r="BG76" i="3"/>
  <c r="CS80" i="3"/>
  <c r="CS78" i="3"/>
  <c r="BD64" i="2"/>
  <c r="BD70" i="2" s="1"/>
  <c r="CJ62" i="2"/>
  <c r="CJ66" i="2" s="1"/>
  <c r="CJ51" i="2"/>
  <c r="BG49" i="2"/>
  <c r="CL48" i="2"/>
  <c r="CL49" i="2" s="1"/>
  <c r="DE34" i="2"/>
  <c r="CN34" i="2"/>
  <c r="CI62" i="2"/>
  <c r="CI66" i="2" s="1"/>
  <c r="CI67" i="2" s="1"/>
  <c r="DD17" i="2"/>
  <c r="CT107" i="2"/>
  <c r="CJ22" i="2"/>
  <c r="BM9" i="2"/>
  <c r="CU294" i="3"/>
  <c r="CJ82" i="3"/>
  <c r="CZ77" i="2"/>
  <c r="CY51" i="2"/>
  <c r="DC49" i="2"/>
  <c r="K137" i="2"/>
  <c r="CS15" i="2"/>
  <c r="BZ79" i="2"/>
  <c r="DC79" i="2"/>
  <c r="AM74" i="3"/>
  <c r="DF91" i="2"/>
  <c r="AU68" i="2"/>
  <c r="AB49" i="2"/>
  <c r="CY45" i="2"/>
  <c r="CY48" i="2" s="1"/>
  <c r="CY49" i="2" s="1"/>
  <c r="AY68" i="2"/>
  <c r="AY83" i="2" s="1"/>
  <c r="DC51" i="2"/>
  <c r="AA20" i="2"/>
  <c r="S20" i="2"/>
  <c r="DC20" i="2"/>
  <c r="CY20" i="2"/>
  <c r="CY294" i="3"/>
  <c r="DD107" i="2"/>
  <c r="CY79" i="2"/>
  <c r="CY77" i="2"/>
  <c r="CG79" i="2"/>
  <c r="CE73" i="2"/>
  <c r="CU73" i="2"/>
  <c r="DB77" i="2"/>
  <c r="AE62" i="2"/>
  <c r="CN57" i="2"/>
  <c r="DE57" i="2"/>
  <c r="CK53" i="2"/>
  <c r="CK62" i="2" s="1"/>
  <c r="CK66" i="2" s="1"/>
  <c r="CX62" i="2"/>
  <c r="CW107" i="2"/>
  <c r="G40" i="2"/>
  <c r="CL20" i="2"/>
  <c r="BG68" i="2"/>
  <c r="BG83" i="2" s="1"/>
  <c r="CH51" i="2"/>
  <c r="AM68" i="2"/>
  <c r="AM143" i="2" s="1"/>
  <c r="CL25" i="4"/>
  <c r="CI23" i="4"/>
  <c r="CE23" i="4"/>
  <c r="CA23" i="4"/>
  <c r="CK20" i="4"/>
  <c r="CI17" i="4"/>
  <c r="CF43" i="4"/>
  <c r="AS67" i="2"/>
  <c r="AS81" i="2"/>
  <c r="AK81" i="2"/>
  <c r="AK89" i="2" s="1"/>
  <c r="AK67" i="2"/>
  <c r="U67" i="2"/>
  <c r="U81" i="2"/>
  <c r="DF54" i="2"/>
  <c r="CL51" i="2"/>
  <c r="G38" i="2"/>
  <c r="G20" i="2"/>
  <c r="H3" i="2" s="1"/>
  <c r="BU91" i="2"/>
  <c r="BV91" i="2" s="1"/>
  <c r="BW91" i="2" s="1"/>
  <c r="BJ54" i="17"/>
  <c r="BK54" i="17"/>
  <c r="BR34" i="2"/>
  <c r="BS34" i="2" s="1"/>
  <c r="BT34" i="2" s="1"/>
  <c r="BR45" i="2"/>
  <c r="BS45" i="2" s="1"/>
  <c r="BT45" i="2" s="1"/>
  <c r="BR57" i="2"/>
  <c r="AA64" i="17"/>
  <c r="BA44" i="17"/>
  <c r="CG27" i="17"/>
  <c r="CH29" i="17" s="1"/>
  <c r="AA69" i="17"/>
  <c r="AN28" i="17"/>
  <c r="AJ28" i="17"/>
  <c r="AM11" i="17"/>
  <c r="CZ27" i="17"/>
  <c r="CZ30" i="17" s="1"/>
  <c r="BC33" i="17"/>
  <c r="AM63" i="17"/>
  <c r="AQ65" i="17" s="1"/>
  <c r="AU29" i="17"/>
  <c r="BJ60" i="17"/>
  <c r="BH50" i="17"/>
  <c r="CH43" i="4"/>
  <c r="CD43" i="4"/>
  <c r="CE31" i="4"/>
  <c r="CD25" i="4"/>
  <c r="CL22" i="4"/>
  <c r="CJ19" i="4"/>
  <c r="R72" i="4"/>
  <c r="R70" i="4" s="1"/>
  <c r="R69" i="4" s="1"/>
  <c r="R73" i="4" s="1"/>
  <c r="R144" i="2"/>
  <c r="R148" i="2" s="1"/>
  <c r="CJ15" i="4"/>
  <c r="BZ138" i="2"/>
  <c r="CW6" i="4"/>
  <c r="DC148" i="2"/>
  <c r="AZ44" i="17"/>
  <c r="DA43" i="17"/>
  <c r="BD51" i="17"/>
  <c r="AY44" i="17"/>
  <c r="DB43" i="17"/>
  <c r="CK43" i="17"/>
  <c r="CK45" i="17" s="1"/>
  <c r="CU27" i="17"/>
  <c r="CI27" i="17"/>
  <c r="CI29" i="17" s="1"/>
  <c r="AO14" i="17"/>
  <c r="AO18" i="17" s="1"/>
  <c r="AI12" i="17"/>
  <c r="CX27" i="17"/>
  <c r="BA45" i="17"/>
  <c r="BC45" i="17"/>
  <c r="BE45" i="17"/>
  <c r="AU63" i="17"/>
  <c r="AB10" i="17"/>
  <c r="AQ29" i="17"/>
  <c r="AA28" i="17"/>
  <c r="CU80" i="3"/>
  <c r="AS74" i="3"/>
  <c r="AK74" i="3"/>
  <c r="AC74" i="3"/>
  <c r="Q74" i="3"/>
  <c r="I74" i="3"/>
  <c r="BC137" i="2"/>
  <c r="CU73" i="3"/>
  <c r="CH78" i="3"/>
  <c r="CG49" i="2"/>
  <c r="AU74" i="3"/>
  <c r="S76" i="3"/>
  <c r="BM75" i="2"/>
  <c r="DE45" i="2"/>
  <c r="CN45" i="2"/>
  <c r="AU38" i="2"/>
  <c r="AE38" i="2"/>
  <c r="O38" i="2"/>
  <c r="AE20" i="2"/>
  <c r="W20" i="2"/>
  <c r="CC107" i="2"/>
  <c r="CL22" i="2"/>
  <c r="CH22" i="2"/>
  <c r="BF42" i="3"/>
  <c r="CU293" i="4"/>
  <c r="DB79" i="2"/>
  <c r="AQ68" i="2"/>
  <c r="AQ69" i="2" s="1"/>
  <c r="DA49" i="2"/>
  <c r="DA22" i="2"/>
  <c r="CW15" i="2"/>
  <c r="BC74" i="3"/>
  <c r="BZ53" i="2"/>
  <c r="BZ137" i="2" s="1"/>
  <c r="CS109" i="2"/>
  <c r="CS111" i="2" s="1"/>
  <c r="CS101" i="2" s="1"/>
  <c r="CK100" i="2"/>
  <c r="BE33" i="17"/>
  <c r="CL43" i="17"/>
  <c r="CL45" i="17" s="1"/>
  <c r="DC43" i="17"/>
  <c r="I63" i="17"/>
  <c r="I69" i="17" s="1"/>
  <c r="I12" i="17"/>
  <c r="AZ33" i="17"/>
  <c r="AV61" i="17"/>
  <c r="BD49" i="17"/>
  <c r="AN11" i="17"/>
  <c r="AN14" i="17"/>
  <c r="AN18" i="17" s="1"/>
  <c r="AN10" i="17"/>
  <c r="CA9" i="17"/>
  <c r="M10" i="17"/>
  <c r="BI58" i="17"/>
  <c r="BJ59" i="17" s="1"/>
  <c r="BI48" i="17"/>
  <c r="BG61" i="17"/>
  <c r="BG60" i="17"/>
  <c r="BE58" i="17"/>
  <c r="CL58" i="17" s="1"/>
  <c r="BE48" i="17"/>
  <c r="BA58" i="17"/>
  <c r="BA48" i="17"/>
  <c r="BA49" i="17" s="1"/>
  <c r="AY61" i="17"/>
  <c r="AY59" i="17"/>
  <c r="AW58" i="17"/>
  <c r="AW48" i="17"/>
  <c r="CK103" i="17"/>
  <c r="CK102" i="17"/>
  <c r="CK99" i="17"/>
  <c r="AE9" i="17"/>
  <c r="AE28" i="17"/>
  <c r="AI29" i="17"/>
  <c r="W9" i="17"/>
  <c r="CT27" i="17"/>
  <c r="W28" i="17"/>
  <c r="CC27" i="17"/>
  <c r="BY109" i="17"/>
  <c r="BY87" i="17"/>
  <c r="X9" i="17"/>
  <c r="AB11" i="17" s="1"/>
  <c r="AB29" i="17"/>
  <c r="CH103" i="17"/>
  <c r="CH99" i="17"/>
  <c r="BC61" i="17"/>
  <c r="BC59" i="17"/>
  <c r="BC60" i="17"/>
  <c r="AW33" i="17"/>
  <c r="AW63" i="17" s="1"/>
  <c r="AW76" i="17" s="1"/>
  <c r="AW54" i="17"/>
  <c r="AX54" i="17"/>
  <c r="BG33" i="17"/>
  <c r="BG44" i="17"/>
  <c r="BH44" i="17"/>
  <c r="AS63" i="17"/>
  <c r="AS69" i="17" s="1"/>
  <c r="AS10" i="17"/>
  <c r="AS11" i="17"/>
  <c r="AS14" i="17"/>
  <c r="AS15" i="17" s="1"/>
  <c r="AS18" i="17"/>
  <c r="AK63" i="17"/>
  <c r="AK69" i="17" s="1"/>
  <c r="AK10" i="17"/>
  <c r="AO11" i="17"/>
  <c r="AK14" i="17"/>
  <c r="AK18" i="17" s="1"/>
  <c r="AZ59" i="17"/>
  <c r="BF44" i="17"/>
  <c r="BA54" i="17"/>
  <c r="BE44" i="17"/>
  <c r="CE27" i="17"/>
  <c r="CE29" i="17" s="1"/>
  <c r="AJ10" i="17"/>
  <c r="I10" i="17"/>
  <c r="CV27" i="17"/>
  <c r="AR18" i="17"/>
  <c r="AS19" i="17" s="1"/>
  <c r="AJ14" i="17"/>
  <c r="AJ18" i="17" s="1"/>
  <c r="AO10" i="17"/>
  <c r="BG45" i="17"/>
  <c r="AE29" i="17"/>
  <c r="CJ103" i="17"/>
  <c r="CG109" i="17"/>
  <c r="CK100" i="17"/>
  <c r="AZ61" i="17"/>
  <c r="AV33" i="17"/>
  <c r="Y28" i="17"/>
  <c r="AQ69" i="17"/>
  <c r="BG48" i="17"/>
  <c r="BK50" i="17" s="1"/>
  <c r="AY48" i="17"/>
  <c r="AY51" i="17" s="1"/>
  <c r="V64" i="17"/>
  <c r="DD19" i="3"/>
  <c r="O74" i="3"/>
  <c r="BB42" i="3"/>
  <c r="AT42" i="3"/>
  <c r="G74" i="3"/>
  <c r="DD10" i="3"/>
  <c r="DD31" i="3"/>
  <c r="AE74" i="3"/>
  <c r="BM24" i="3"/>
  <c r="BN24" i="3" s="1"/>
  <c r="BO24" i="3" s="1"/>
  <c r="DD24" i="3"/>
  <c r="BM9" i="3"/>
  <c r="BN9" i="3" s="1"/>
  <c r="BO9" i="3" s="1"/>
  <c r="DD9" i="3"/>
  <c r="BM42" i="4"/>
  <c r="BN10" i="3"/>
  <c r="AM12" i="2"/>
  <c r="CX10" i="4"/>
  <c r="J64" i="17"/>
  <c r="CM79" i="2"/>
  <c r="CM77" i="2"/>
  <c r="P81" i="2"/>
  <c r="P67" i="2"/>
  <c r="BI81" i="2"/>
  <c r="BI89" i="2" s="1"/>
  <c r="BI85" i="17"/>
  <c r="BI67" i="2"/>
  <c r="BE85" i="17"/>
  <c r="BE67" i="2"/>
  <c r="BE81" i="2"/>
  <c r="BE89" i="2" s="1"/>
  <c r="BA81" i="2"/>
  <c r="BA82" i="2" s="1"/>
  <c r="BA85" i="17"/>
  <c r="BA67" i="2"/>
  <c r="AW85" i="17"/>
  <c r="AW67" i="2"/>
  <c r="AW81" i="2"/>
  <c r="AW82" i="2" s="1"/>
  <c r="AO81" i="2"/>
  <c r="AO82" i="2" s="1"/>
  <c r="AO67" i="2"/>
  <c r="AC81" i="2"/>
  <c r="AC82" i="2" s="1"/>
  <c r="AC67" i="2"/>
  <c r="M81" i="2"/>
  <c r="M82" i="2" s="1"/>
  <c r="M67" i="2"/>
  <c r="AF81" i="2"/>
  <c r="AF67" i="2"/>
  <c r="D81" i="2"/>
  <c r="D67" i="2"/>
  <c r="DD73" i="2"/>
  <c r="DD77" i="2" s="1"/>
  <c r="CR33" i="4"/>
  <c r="Z72" i="4"/>
  <c r="Z70" i="4" s="1"/>
  <c r="Z69" i="4" s="1"/>
  <c r="Z73" i="4" s="1"/>
  <c r="Z144" i="2"/>
  <c r="Z148" i="2" s="1"/>
  <c r="CL45" i="4"/>
  <c r="BB46" i="4"/>
  <c r="V46" i="4"/>
  <c r="CG45" i="4"/>
  <c r="CC45" i="4"/>
  <c r="CK42" i="4"/>
  <c r="CC42" i="4"/>
  <c r="CJ41" i="4"/>
  <c r="CJ38" i="4"/>
  <c r="CF32" i="4"/>
  <c r="CJ23" i="4"/>
  <c r="CF23" i="4"/>
  <c r="CB23" i="4"/>
  <c r="CI31" i="4"/>
  <c r="CA31" i="4"/>
  <c r="CH25" i="4"/>
  <c r="CM20" i="4"/>
  <c r="CI20" i="4"/>
  <c r="CF19" i="4"/>
  <c r="CK17" i="4"/>
  <c r="CG17" i="4"/>
  <c r="CF15" i="4"/>
  <c r="DB45" i="4"/>
  <c r="AP72" i="4"/>
  <c r="AP70" i="4" s="1"/>
  <c r="AP69" i="4" s="1"/>
  <c r="AP73" i="4" s="1"/>
  <c r="AP144" i="2"/>
  <c r="AP148" i="2" s="1"/>
  <c r="J72" i="4"/>
  <c r="J70" i="4" s="1"/>
  <c r="J69" i="4" s="1"/>
  <c r="J73" i="4" s="1"/>
  <c r="J144" i="2"/>
  <c r="J148" i="2" s="1"/>
  <c r="CM44" i="4"/>
  <c r="E64" i="17"/>
  <c r="CK48" i="17"/>
  <c r="CK51" i="17" s="1"/>
  <c r="AY49" i="17"/>
  <c r="AZ63" i="17"/>
  <c r="AZ76" i="17" s="1"/>
  <c r="AZ79" i="17" s="1"/>
  <c r="BI33" i="17"/>
  <c r="CM43" i="17"/>
  <c r="CM45" i="17" s="1"/>
  <c r="BJ44" i="17"/>
  <c r="BC54" i="17"/>
  <c r="AY54" i="17"/>
  <c r="CJ53" i="17"/>
  <c r="AU10" i="17"/>
  <c r="CI9" i="17"/>
  <c r="CI63" i="17" s="1"/>
  <c r="AT10" i="17"/>
  <c r="AP11" i="17"/>
  <c r="AP10" i="17"/>
  <c r="CG9" i="17"/>
  <c r="CG63" i="17" s="1"/>
  <c r="CX9" i="17"/>
  <c r="AL10" i="17"/>
  <c r="AD69" i="17"/>
  <c r="BF50" i="17"/>
  <c r="BJ50" i="17"/>
  <c r="BE59" i="17"/>
  <c r="DB58" i="17"/>
  <c r="BD59" i="17"/>
  <c r="BB50" i="17"/>
  <c r="BC49" i="17"/>
  <c r="AZ51" i="17"/>
  <c r="AZ49" i="17"/>
  <c r="CJ48" i="17"/>
  <c r="CZ48" i="17"/>
  <c r="AV51" i="17"/>
  <c r="CJ101" i="17"/>
  <c r="CJ100" i="17"/>
  <c r="CJ104" i="17"/>
  <c r="CJ124" i="17"/>
  <c r="CH101" i="17"/>
  <c r="CH100" i="17"/>
  <c r="CH102" i="17"/>
  <c r="CH87" i="17"/>
  <c r="CH109" i="17"/>
  <c r="CF109" i="17"/>
  <c r="CF87" i="17"/>
  <c r="CD109" i="17"/>
  <c r="CD87" i="17"/>
  <c r="BZ109" i="17"/>
  <c r="BZ87" i="17"/>
  <c r="BJ42" i="3"/>
  <c r="BH60" i="17"/>
  <c r="BD60" i="17"/>
  <c r="BE63" i="17"/>
  <c r="BE65" i="17" s="1"/>
  <c r="AX51" i="17"/>
  <c r="BE49" i="17"/>
  <c r="Q12" i="17"/>
  <c r="O10" i="17"/>
  <c r="E69" i="17"/>
  <c r="AT18" i="17"/>
  <c r="AT14" i="17"/>
  <c r="AU15" i="17" s="1"/>
  <c r="AP14" i="17"/>
  <c r="AP18" i="17" s="1"/>
  <c r="AL14" i="17"/>
  <c r="AL18" i="17" s="1"/>
  <c r="E10" i="17"/>
  <c r="CH124" i="17"/>
  <c r="BD50" i="17"/>
  <c r="BE50" i="17"/>
  <c r="BA50" i="17"/>
  <c r="AY63" i="17"/>
  <c r="AY36" i="17" s="1"/>
  <c r="AY38" i="17" s="1"/>
  <c r="CJ102" i="17"/>
  <c r="CH104" i="17"/>
  <c r="AU69" i="17"/>
  <c r="AU65" i="17"/>
  <c r="AM69" i="17"/>
  <c r="AB63" i="17"/>
  <c r="AC10" i="17"/>
  <c r="AB12" i="17"/>
  <c r="BH55" i="17"/>
  <c r="BD54" i="17"/>
  <c r="AT11" i="17"/>
  <c r="CI101" i="17"/>
  <c r="CI100" i="17"/>
  <c r="CI124" i="17"/>
  <c r="CI102" i="17"/>
  <c r="CI99" i="17"/>
  <c r="CI103" i="17"/>
  <c r="CG100" i="17"/>
  <c r="CG103" i="17"/>
  <c r="CG102" i="17"/>
  <c r="CG101" i="17"/>
  <c r="CE87" i="17"/>
  <c r="CE109" i="17"/>
  <c r="AF9" i="17"/>
  <c r="AF28" i="17"/>
  <c r="AF29" i="17"/>
  <c r="AJ29" i="17"/>
  <c r="P9" i="17"/>
  <c r="CB9" i="17" s="1"/>
  <c r="Q28" i="17"/>
  <c r="CB27" i="17"/>
  <c r="BD42" i="3"/>
  <c r="AZ42" i="3"/>
  <c r="AN42" i="3"/>
  <c r="CX30" i="17"/>
  <c r="BI42" i="3"/>
  <c r="BC42" i="3"/>
  <c r="AY42" i="3"/>
  <c r="AS42" i="3"/>
  <c r="AM42" i="3"/>
  <c r="BG42" i="3"/>
  <c r="BA42" i="3"/>
  <c r="AU42" i="3"/>
  <c r="AQ42" i="3"/>
  <c r="BI51" i="17"/>
  <c r="BE76" i="3"/>
  <c r="BE74" i="3"/>
  <c r="BG81" i="2"/>
  <c r="BG67" i="2"/>
  <c r="BG85" i="17"/>
  <c r="AY85" i="17"/>
  <c r="AY81" i="2"/>
  <c r="AY67" i="2"/>
  <c r="AQ81" i="2"/>
  <c r="AQ67" i="2"/>
  <c r="BG63" i="17"/>
  <c r="BK65" i="17" s="1"/>
  <c r="U10" i="17"/>
  <c r="AO64" i="17"/>
  <c r="V10" i="17"/>
  <c r="AB64" i="17"/>
  <c r="BB61" i="17"/>
  <c r="AT63" i="17"/>
  <c r="AP63" i="17"/>
  <c r="AL63" i="17"/>
  <c r="AL69" i="17" s="1"/>
  <c r="N27" i="17"/>
  <c r="O28" i="17" s="1"/>
  <c r="BC85" i="17"/>
  <c r="BC81" i="2"/>
  <c r="BC67" i="2"/>
  <c r="AU81" i="2"/>
  <c r="AU67" i="2"/>
  <c r="AM81" i="2"/>
  <c r="AM67" i="2"/>
  <c r="CI85" i="17"/>
  <c r="CX293" i="4"/>
  <c r="CX137" i="17"/>
  <c r="CX294" i="3"/>
  <c r="DD73" i="3"/>
  <c r="CE76" i="3"/>
  <c r="CE74" i="3"/>
  <c r="CC82" i="3"/>
  <c r="CC80" i="3"/>
  <c r="CC73" i="3"/>
  <c r="CC78" i="3"/>
  <c r="DC78" i="3"/>
  <c r="DC73" i="3"/>
  <c r="DC80" i="3"/>
  <c r="DC82" i="3"/>
  <c r="CH76" i="3"/>
  <c r="CH74" i="3"/>
  <c r="BZ76" i="3"/>
  <c r="BZ74" i="3"/>
  <c r="BN73" i="3"/>
  <c r="BO126" i="2"/>
  <c r="CN126" i="2" s="1"/>
  <c r="CM73" i="3"/>
  <c r="BM110" i="2"/>
  <c r="DD110" i="2"/>
  <c r="CW95" i="2"/>
  <c r="CW93" i="2"/>
  <c r="CS95" i="2"/>
  <c r="CS93" i="2"/>
  <c r="CD93" i="2"/>
  <c r="CD95" i="2"/>
  <c r="BZ93" i="2"/>
  <c r="BZ95" i="2"/>
  <c r="BJ85" i="17"/>
  <c r="BJ81" i="2"/>
  <c r="BJ67" i="2"/>
  <c r="BF85" i="17"/>
  <c r="BF81" i="2"/>
  <c r="BF67" i="2"/>
  <c r="BB85" i="17"/>
  <c r="BB81" i="2"/>
  <c r="BB67" i="2"/>
  <c r="AX85" i="17"/>
  <c r="AX81" i="2"/>
  <c r="AX67" i="2"/>
  <c r="CB53" i="2"/>
  <c r="CB100" i="2"/>
  <c r="BC49" i="2"/>
  <c r="BC63" i="2"/>
  <c r="BC68" i="2" s="1"/>
  <c r="G49" i="2"/>
  <c r="G63" i="2"/>
  <c r="CV50" i="2"/>
  <c r="CV48" i="2"/>
  <c r="CV43" i="2"/>
  <c r="CR50" i="2"/>
  <c r="CR48" i="2"/>
  <c r="CR43" i="2"/>
  <c r="CE50" i="2"/>
  <c r="CE48" i="2"/>
  <c r="CE43" i="2"/>
  <c r="CA50" i="2"/>
  <c r="CA48" i="2"/>
  <c r="CA43" i="2"/>
  <c r="CZ107" i="2"/>
  <c r="CZ37" i="2"/>
  <c r="CV37" i="2"/>
  <c r="CV39" i="2"/>
  <c r="CV32" i="2"/>
  <c r="CR37" i="2"/>
  <c r="CR39" i="2"/>
  <c r="CR32" i="2"/>
  <c r="CC39" i="2"/>
  <c r="CC32" i="2"/>
  <c r="CC37" i="2"/>
  <c r="BY39" i="2"/>
  <c r="BY32" i="2"/>
  <c r="BY37" i="2"/>
  <c r="DB44" i="3"/>
  <c r="DB43" i="3"/>
  <c r="DB42" i="3" s="1"/>
  <c r="CZ44" i="3"/>
  <c r="CZ43" i="3"/>
  <c r="CZ42" i="3" s="1"/>
  <c r="CX44" i="3"/>
  <c r="CX43" i="3"/>
  <c r="CX42" i="3" s="1"/>
  <c r="CT50" i="3"/>
  <c r="CT138" i="2"/>
  <c r="CT19" i="2"/>
  <c r="CT21" i="2"/>
  <c r="CT15" i="2"/>
  <c r="CE50" i="3"/>
  <c r="CE138" i="2"/>
  <c r="CE21" i="2"/>
  <c r="CE15" i="2"/>
  <c r="CE19" i="2"/>
  <c r="CA50" i="3"/>
  <c r="CA138" i="2"/>
  <c r="CA21" i="2"/>
  <c r="CA15" i="2"/>
  <c r="CA19" i="2"/>
  <c r="CJ76" i="3"/>
  <c r="CJ74" i="3"/>
  <c r="CS44" i="3"/>
  <c r="CS43" i="3"/>
  <c r="CS42" i="3" s="1"/>
  <c r="CA40" i="3"/>
  <c r="CA54" i="3" s="1"/>
  <c r="CA72" i="3" s="1"/>
  <c r="BL62" i="3"/>
  <c r="BM131" i="2"/>
  <c r="DD131" i="2"/>
  <c r="CW76" i="3"/>
  <c r="CW74" i="3"/>
  <c r="CK82" i="3"/>
  <c r="CK80" i="3"/>
  <c r="CK73" i="3"/>
  <c r="CK78" i="3"/>
  <c r="CI82" i="3"/>
  <c r="CI80" i="3"/>
  <c r="CI73" i="3"/>
  <c r="CI78" i="3"/>
  <c r="CG82" i="3"/>
  <c r="CG80" i="3"/>
  <c r="CG73" i="3"/>
  <c r="CG78" i="3"/>
  <c r="CB78" i="3"/>
  <c r="CB82" i="3"/>
  <c r="CB80" i="3"/>
  <c r="CB73" i="3"/>
  <c r="BN125" i="2"/>
  <c r="DD123" i="2"/>
  <c r="BM92" i="2"/>
  <c r="DD92" i="2"/>
  <c r="CR95" i="2"/>
  <c r="CR93" i="2"/>
  <c r="BY95" i="2"/>
  <c r="BY93" i="2"/>
  <c r="BN78" i="2"/>
  <c r="BO78" i="2" s="1"/>
  <c r="BP78" i="2" s="1"/>
  <c r="BN76" i="2"/>
  <c r="BO76" i="2" s="1"/>
  <c r="BP76" i="2" s="1"/>
  <c r="BN75" i="2"/>
  <c r="BO75" i="2" s="1"/>
  <c r="BP75" i="2" s="1"/>
  <c r="CF73" i="2"/>
  <c r="CD73" i="2"/>
  <c r="CB73" i="2"/>
  <c r="CU79" i="2"/>
  <c r="CU77" i="2"/>
  <c r="CA79" i="2"/>
  <c r="CA77" i="2"/>
  <c r="CV79" i="2"/>
  <c r="CV77" i="2"/>
  <c r="CR79" i="2"/>
  <c r="CR77" i="2"/>
  <c r="AT81" i="2"/>
  <c r="AT67" i="2"/>
  <c r="AL81" i="2"/>
  <c r="AL67" i="2"/>
  <c r="AD81" i="2"/>
  <c r="AD67" i="2"/>
  <c r="V81" i="2"/>
  <c r="V67" i="2"/>
  <c r="N81" i="2"/>
  <c r="N67" i="2"/>
  <c r="F81" i="2"/>
  <c r="F67" i="2"/>
  <c r="CE53" i="2"/>
  <c r="CE100" i="2"/>
  <c r="DD46" i="2"/>
  <c r="CX51" i="2"/>
  <c r="CX64" i="2"/>
  <c r="CG51" i="2"/>
  <c r="CG64" i="2"/>
  <c r="BZ43" i="2"/>
  <c r="BZ48" i="2"/>
  <c r="BZ50" i="2"/>
  <c r="AI64" i="2"/>
  <c r="AI40" i="2"/>
  <c r="S64" i="2"/>
  <c r="S40" i="2"/>
  <c r="AI38" i="2"/>
  <c r="AI63" i="2"/>
  <c r="AA38" i="2"/>
  <c r="AA63" i="2"/>
  <c r="W38" i="2"/>
  <c r="W63" i="2"/>
  <c r="S38" i="2"/>
  <c r="S63" i="2"/>
  <c r="K38" i="2"/>
  <c r="K63" i="2"/>
  <c r="DC63" i="2"/>
  <c r="DC38" i="2"/>
  <c r="DA63" i="2"/>
  <c r="DA38" i="2"/>
  <c r="CY37" i="2"/>
  <c r="CS137" i="2"/>
  <c r="CS39" i="2"/>
  <c r="CS37" i="2"/>
  <c r="CS32" i="2"/>
  <c r="CS62" i="2"/>
  <c r="CS138" i="2"/>
  <c r="CD39" i="2"/>
  <c r="CD37" i="2"/>
  <c r="CD32" i="2"/>
  <c r="BG29" i="2"/>
  <c r="BG70" i="2"/>
  <c r="AY29" i="2"/>
  <c r="AY70" i="2"/>
  <c r="AQ29" i="2"/>
  <c r="AQ70" i="2"/>
  <c r="BI27" i="2"/>
  <c r="BI68" i="2"/>
  <c r="BA27" i="2"/>
  <c r="BA68" i="2"/>
  <c r="AS27" i="2"/>
  <c r="AS68" i="2"/>
  <c r="AK27" i="2"/>
  <c r="AK68" i="2"/>
  <c r="AC27" i="2"/>
  <c r="AC68" i="2"/>
  <c r="U27" i="2"/>
  <c r="U68" i="2"/>
  <c r="M27" i="2"/>
  <c r="M68" i="2"/>
  <c r="E27" i="2"/>
  <c r="E68" i="2"/>
  <c r="CX25" i="2"/>
  <c r="CX66" i="2"/>
  <c r="CG84" i="17"/>
  <c r="CG25" i="2"/>
  <c r="AE25" i="2"/>
  <c r="AE66" i="2"/>
  <c r="W25" i="2"/>
  <c r="W66" i="2"/>
  <c r="O25" i="2"/>
  <c r="O66" i="2"/>
  <c r="G25" i="2"/>
  <c r="G66" i="2"/>
  <c r="BN17" i="2"/>
  <c r="BO17" i="2" s="1"/>
  <c r="BP17" i="2" s="1"/>
  <c r="BM107" i="2"/>
  <c r="BM10" i="4" s="1"/>
  <c r="BN16" i="2"/>
  <c r="CU50" i="3"/>
  <c r="CU21" i="2"/>
  <c r="CU19" i="2"/>
  <c r="CU15" i="2"/>
  <c r="CU138" i="2"/>
  <c r="CH44" i="3"/>
  <c r="CH43" i="3"/>
  <c r="CH42" i="3" s="1"/>
  <c r="CB138" i="2"/>
  <c r="CB21" i="2"/>
  <c r="CB19" i="2"/>
  <c r="CB15" i="2"/>
  <c r="CB50" i="3"/>
  <c r="AI43" i="3"/>
  <c r="AI42" i="3" s="1"/>
  <c r="AI44" i="3"/>
  <c r="AA43" i="3"/>
  <c r="AA42" i="3" s="1"/>
  <c r="AA44" i="3"/>
  <c r="S43" i="3"/>
  <c r="S42" i="3" s="1"/>
  <c r="S44" i="3"/>
  <c r="K43" i="3"/>
  <c r="K42" i="3" s="1"/>
  <c r="K44" i="3"/>
  <c r="CZ26" i="2"/>
  <c r="CZ12" i="2"/>
  <c r="CZ60" i="2"/>
  <c r="CZ28" i="2"/>
  <c r="CZ22" i="2"/>
  <c r="CZ20" i="2"/>
  <c r="CK28" i="2"/>
  <c r="CK26" i="2"/>
  <c r="CK12" i="2"/>
  <c r="CK20" i="2"/>
  <c r="CK60" i="2"/>
  <c r="CK40" i="2"/>
  <c r="CK22" i="2"/>
  <c r="CK38" i="2"/>
  <c r="CG28" i="2"/>
  <c r="CG26" i="2"/>
  <c r="CG40" i="2"/>
  <c r="CG20" i="2"/>
  <c r="CG22" i="2"/>
  <c r="CG60" i="2"/>
  <c r="AE60" i="2"/>
  <c r="AE28" i="2"/>
  <c r="AE12" i="2"/>
  <c r="AE51" i="2"/>
  <c r="AE26" i="2"/>
  <c r="AE11" i="2"/>
  <c r="AE22" i="2"/>
  <c r="W60" i="2"/>
  <c r="W28" i="2"/>
  <c r="W11" i="2"/>
  <c r="W51" i="2"/>
  <c r="W26" i="2"/>
  <c r="W22" i="2"/>
  <c r="O60" i="2"/>
  <c r="O28" i="2"/>
  <c r="O11" i="2"/>
  <c r="O51" i="2"/>
  <c r="O26" i="2"/>
  <c r="O22" i="2"/>
  <c r="G60" i="2"/>
  <c r="G28" i="2"/>
  <c r="G11" i="2"/>
  <c r="G51" i="2"/>
  <c r="G26" i="2"/>
  <c r="G22" i="2"/>
  <c r="BN9" i="2"/>
  <c r="CX45" i="3"/>
  <c r="CX41" i="3"/>
  <c r="CV67" i="17"/>
  <c r="CV49" i="3"/>
  <c r="CV10" i="2"/>
  <c r="CV24" i="2"/>
  <c r="CR67" i="17"/>
  <c r="CR10" i="2"/>
  <c r="CR49" i="3"/>
  <c r="CR24" i="2"/>
  <c r="CG41" i="3"/>
  <c r="CG45" i="3"/>
  <c r="CC88" i="17"/>
  <c r="CC67" i="17"/>
  <c r="CC82" i="17" s="1"/>
  <c r="CC49" i="3"/>
  <c r="CC24" i="2"/>
  <c r="CC10" i="2"/>
  <c r="BY88" i="17"/>
  <c r="BY67" i="17"/>
  <c r="BY82" i="17" s="1"/>
  <c r="BY49" i="3"/>
  <c r="BY24" i="2"/>
  <c r="BY10" i="2"/>
  <c r="G27" i="17"/>
  <c r="CG40" i="3"/>
  <c r="CG54" i="3" s="1"/>
  <c r="CG72" i="3" s="1"/>
  <c r="CW44" i="3"/>
  <c r="CW43" i="3"/>
  <c r="CW42" i="3" s="1"/>
  <c r="BN90" i="2"/>
  <c r="BO90" i="2" s="1"/>
  <c r="BP90" i="2" s="1"/>
  <c r="CW73" i="2"/>
  <c r="CC77" i="2"/>
  <c r="CC79" i="2"/>
  <c r="AU143" i="2"/>
  <c r="AU83" i="2"/>
  <c r="AU69" i="2"/>
  <c r="BA89" i="2"/>
  <c r="BA98" i="2"/>
  <c r="AS89" i="2"/>
  <c r="AS82" i="2"/>
  <c r="AS98" i="2"/>
  <c r="AC89" i="2"/>
  <c r="AC98" i="2"/>
  <c r="U89" i="2"/>
  <c r="U82" i="2"/>
  <c r="U98" i="2"/>
  <c r="I89" i="2"/>
  <c r="I82" i="2"/>
  <c r="I98" i="2"/>
  <c r="AR81" i="2"/>
  <c r="AR67" i="2"/>
  <c r="AJ67" i="2"/>
  <c r="T81" i="2"/>
  <c r="T67" i="2"/>
  <c r="H81" i="2"/>
  <c r="H67" i="2"/>
  <c r="BN56" i="2"/>
  <c r="BO56" i="2" s="1"/>
  <c r="BP56" i="2" s="1"/>
  <c r="DE56" i="2" s="1"/>
  <c r="S137" i="2"/>
  <c r="S62" i="2"/>
  <c r="CV53" i="2"/>
  <c r="CV62" i="2" s="1"/>
  <c r="CV100" i="2"/>
  <c r="CG53" i="2"/>
  <c r="CG100" i="2"/>
  <c r="BN55" i="2"/>
  <c r="BO55" i="2" s="1"/>
  <c r="BP55" i="2" s="1"/>
  <c r="CR53" i="2"/>
  <c r="CR137" i="2" s="1"/>
  <c r="CR100" i="2"/>
  <c r="BM53" i="2"/>
  <c r="AI137" i="2"/>
  <c r="AI62" i="2"/>
  <c r="AI66" i="2" s="1"/>
  <c r="CW53" i="2"/>
  <c r="CW100" i="2"/>
  <c r="CD53" i="2"/>
  <c r="CD137" i="2" s="1"/>
  <c r="CD100" i="2"/>
  <c r="CS43" i="2"/>
  <c r="CS50" i="2"/>
  <c r="CS48" i="2"/>
  <c r="CB43" i="2"/>
  <c r="CB50" i="2"/>
  <c r="CB48" i="2"/>
  <c r="AI51" i="2"/>
  <c r="AA51" i="2"/>
  <c r="S51" i="2"/>
  <c r="K51" i="2"/>
  <c r="CZ40" i="2"/>
  <c r="CG38" i="2"/>
  <c r="CU39" i="2"/>
  <c r="CU37" i="2"/>
  <c r="CU32" i="2"/>
  <c r="CL37" i="2"/>
  <c r="CJ63" i="2"/>
  <c r="CJ38" i="2"/>
  <c r="CH63" i="2"/>
  <c r="CH38" i="2"/>
  <c r="CB137" i="2"/>
  <c r="CB39" i="2"/>
  <c r="CB37" i="2"/>
  <c r="CB32" i="2"/>
  <c r="CB62" i="2"/>
  <c r="AD65" i="17"/>
  <c r="BI76" i="3"/>
  <c r="BI74" i="3"/>
  <c r="BA76" i="3"/>
  <c r="BA74" i="3"/>
  <c r="CZ137" i="17"/>
  <c r="CZ293" i="4"/>
  <c r="CZ294" i="3"/>
  <c r="CV137" i="17"/>
  <c r="CV293" i="4"/>
  <c r="CV294" i="3"/>
  <c r="DB82" i="3"/>
  <c r="DB80" i="3"/>
  <c r="DB73" i="3"/>
  <c r="DB78" i="3"/>
  <c r="CA76" i="3"/>
  <c r="CA74" i="3"/>
  <c r="BY82" i="3"/>
  <c r="BY80" i="3"/>
  <c r="BY73" i="3"/>
  <c r="BY78" i="3"/>
  <c r="CY76" i="3"/>
  <c r="CY74" i="3"/>
  <c r="CU76" i="3"/>
  <c r="CU74" i="3"/>
  <c r="CL76" i="3"/>
  <c r="CL74" i="3"/>
  <c r="BH74" i="3"/>
  <c r="BH76" i="3"/>
  <c r="BF74" i="3"/>
  <c r="BF76" i="3"/>
  <c r="BD74" i="3"/>
  <c r="BD76" i="3"/>
  <c r="BB74" i="3"/>
  <c r="BB76" i="3"/>
  <c r="AZ74" i="3"/>
  <c r="AZ76" i="3"/>
  <c r="AX74" i="3"/>
  <c r="AX76" i="3"/>
  <c r="AV74" i="3"/>
  <c r="AV76" i="3"/>
  <c r="AT74" i="3"/>
  <c r="AT76" i="3"/>
  <c r="AR74" i="3"/>
  <c r="AR76" i="3"/>
  <c r="AP74" i="3"/>
  <c r="AP76" i="3"/>
  <c r="AN74" i="3"/>
  <c r="AN76" i="3"/>
  <c r="AL74" i="3"/>
  <c r="AL76" i="3"/>
  <c r="AJ74" i="3"/>
  <c r="AJ76" i="3"/>
  <c r="AH74" i="3"/>
  <c r="AH76" i="3"/>
  <c r="AF74" i="3"/>
  <c r="AF76" i="3"/>
  <c r="AD74" i="3"/>
  <c r="AD76" i="3"/>
  <c r="AB74" i="3"/>
  <c r="AB76" i="3"/>
  <c r="Z74" i="3"/>
  <c r="Z76" i="3"/>
  <c r="X74" i="3"/>
  <c r="X76" i="3"/>
  <c r="V74" i="3"/>
  <c r="V76" i="3"/>
  <c r="T74" i="3"/>
  <c r="T76" i="3"/>
  <c r="R74" i="3"/>
  <c r="R76" i="3"/>
  <c r="P74" i="3"/>
  <c r="P76" i="3"/>
  <c r="N74" i="3"/>
  <c r="N76" i="3"/>
  <c r="L74" i="3"/>
  <c r="L76" i="3"/>
  <c r="J74" i="3"/>
  <c r="J76" i="3"/>
  <c r="H74" i="3"/>
  <c r="H76" i="3"/>
  <c r="F74" i="3"/>
  <c r="F76" i="3"/>
  <c r="D74" i="3"/>
  <c r="D76" i="3"/>
  <c r="CU95" i="2"/>
  <c r="CU93" i="2"/>
  <c r="CF93" i="2"/>
  <c r="CF95" i="2"/>
  <c r="CB93" i="2"/>
  <c r="CB95" i="2"/>
  <c r="BH85" i="17"/>
  <c r="BH81" i="2"/>
  <c r="BH67" i="2"/>
  <c r="BD85" i="17"/>
  <c r="BD81" i="2"/>
  <c r="BD67" i="2"/>
  <c r="AZ85" i="17"/>
  <c r="AZ81" i="2"/>
  <c r="AZ67" i="2"/>
  <c r="AV85" i="17"/>
  <c r="AV81" i="2"/>
  <c r="AV67" i="2"/>
  <c r="AE49" i="2"/>
  <c r="AE63" i="2"/>
  <c r="O49" i="2"/>
  <c r="O63" i="2"/>
  <c r="DB50" i="2"/>
  <c r="DB48" i="2"/>
  <c r="DB43" i="2"/>
  <c r="DB137" i="2"/>
  <c r="CT50" i="2"/>
  <c r="CT48" i="2"/>
  <c r="CT43" i="2"/>
  <c r="CK50" i="2"/>
  <c r="CK48" i="2"/>
  <c r="CK43" i="2"/>
  <c r="CC50" i="2"/>
  <c r="CC51" i="2" s="1"/>
  <c r="CC48" i="2"/>
  <c r="CC49" i="2" s="1"/>
  <c r="CC43" i="2"/>
  <c r="BY50" i="2"/>
  <c r="BY51" i="2" s="1"/>
  <c r="BY48" i="2"/>
  <c r="BY43" i="2"/>
  <c r="CI107" i="2"/>
  <c r="CI37" i="2"/>
  <c r="CT39" i="2"/>
  <c r="CT32" i="2"/>
  <c r="CT37" i="2"/>
  <c r="CE62" i="2"/>
  <c r="CE137" i="2"/>
  <c r="CE37" i="2"/>
  <c r="CE39" i="2"/>
  <c r="CE32" i="2"/>
  <c r="CA37" i="2"/>
  <c r="CA39" i="2"/>
  <c r="CA32" i="2"/>
  <c r="DB138" i="2"/>
  <c r="CV50" i="3"/>
  <c r="CV138" i="2"/>
  <c r="CV21" i="2"/>
  <c r="CV22" i="2" s="1"/>
  <c r="CV15" i="2"/>
  <c r="CV19" i="2"/>
  <c r="CV20" i="2" s="1"/>
  <c r="CR50" i="3"/>
  <c r="CR138" i="2"/>
  <c r="CR21" i="2"/>
  <c r="CR22" i="2" s="1"/>
  <c r="CR15" i="2"/>
  <c r="CR19" i="2"/>
  <c r="CR20" i="2" s="1"/>
  <c r="CK44" i="3"/>
  <c r="CK43" i="3"/>
  <c r="CK42" i="3" s="1"/>
  <c r="CI44" i="3"/>
  <c r="CI43" i="3"/>
  <c r="CI42" i="3" s="1"/>
  <c r="CG44" i="3"/>
  <c r="CG43" i="3"/>
  <c r="CG42" i="3" s="1"/>
  <c r="CC50" i="3"/>
  <c r="CC138" i="2"/>
  <c r="CC19" i="2"/>
  <c r="CC20" i="2" s="1"/>
  <c r="CC21" i="2"/>
  <c r="CC22" i="2" s="1"/>
  <c r="CC15" i="2"/>
  <c r="BY50" i="3"/>
  <c r="BY138" i="2"/>
  <c r="BY19" i="2"/>
  <c r="BY20" i="2" s="1"/>
  <c r="BY21" i="2"/>
  <c r="BY15" i="2"/>
  <c r="AE43" i="3"/>
  <c r="AE42" i="3" s="1"/>
  <c r="AE44" i="3"/>
  <c r="W43" i="3"/>
  <c r="W42" i="3" s="1"/>
  <c r="W44" i="3"/>
  <c r="O43" i="3"/>
  <c r="O42" i="3" s="1"/>
  <c r="O44" i="3"/>
  <c r="G43" i="3"/>
  <c r="G42" i="3" s="1"/>
  <c r="G44" i="3"/>
  <c r="DA76" i="3"/>
  <c r="DA74" i="3"/>
  <c r="DA44" i="3"/>
  <c r="DA43" i="3"/>
  <c r="DA42" i="3" s="1"/>
  <c r="CI41" i="3"/>
  <c r="CI45" i="3"/>
  <c r="CM123" i="2"/>
  <c r="CV95" i="2"/>
  <c r="CV93" i="2"/>
  <c r="CC95" i="2"/>
  <c r="CC93" i="2"/>
  <c r="CE79" i="2"/>
  <c r="CE77" i="2"/>
  <c r="DD79" i="2"/>
  <c r="CT77" i="2"/>
  <c r="CT79" i="2"/>
  <c r="AP81" i="2"/>
  <c r="AP67" i="2"/>
  <c r="AH81" i="2"/>
  <c r="AH67" i="2"/>
  <c r="Z81" i="2"/>
  <c r="Z67" i="2"/>
  <c r="R81" i="2"/>
  <c r="R67" i="2"/>
  <c r="J81" i="2"/>
  <c r="J67" i="2"/>
  <c r="BM58" i="2"/>
  <c r="DD58" i="2"/>
  <c r="DD100" i="2" s="1"/>
  <c r="CT53" i="2"/>
  <c r="CT62" i="2" s="1"/>
  <c r="CT100" i="2"/>
  <c r="CA53" i="2"/>
  <c r="CA62" i="2" s="1"/>
  <c r="CA100" i="2"/>
  <c r="DA51" i="2"/>
  <c r="CM100" i="2"/>
  <c r="CZ51" i="2"/>
  <c r="CU43" i="2"/>
  <c r="CU48" i="2"/>
  <c r="CU50" i="2"/>
  <c r="CD43" i="2"/>
  <c r="CD48" i="2"/>
  <c r="CD50" i="2"/>
  <c r="BC64" i="2"/>
  <c r="BC70" i="2" s="1"/>
  <c r="AE40" i="2"/>
  <c r="AA64" i="2"/>
  <c r="AA40" i="2"/>
  <c r="O40" i="2"/>
  <c r="K64" i="2"/>
  <c r="K40" i="2"/>
  <c r="AO38" i="2"/>
  <c r="AO63" i="2"/>
  <c r="AO68" i="2" s="1"/>
  <c r="BN35" i="2"/>
  <c r="DC64" i="2"/>
  <c r="DC40" i="2"/>
  <c r="DA40" i="2"/>
  <c r="DA64" i="2"/>
  <c r="CY64" i="2"/>
  <c r="CY40" i="2"/>
  <c r="CW137" i="2"/>
  <c r="CW39" i="2"/>
  <c r="CW37" i="2"/>
  <c r="CW32" i="2"/>
  <c r="CW62" i="2"/>
  <c r="CW138" i="2"/>
  <c r="CK137" i="2"/>
  <c r="BZ39" i="2"/>
  <c r="BZ37" i="2"/>
  <c r="BZ32" i="2"/>
  <c r="BC29" i="2"/>
  <c r="AU29" i="2"/>
  <c r="AU70" i="2"/>
  <c r="AM29" i="2"/>
  <c r="AM70" i="2"/>
  <c r="BE27" i="2"/>
  <c r="BE68" i="2"/>
  <c r="AW27" i="2"/>
  <c r="AW68" i="2"/>
  <c r="AO27" i="2"/>
  <c r="AG27" i="2"/>
  <c r="AG68" i="2"/>
  <c r="Y27" i="2"/>
  <c r="Y68" i="2"/>
  <c r="Q27" i="2"/>
  <c r="Q68" i="2"/>
  <c r="I27" i="2"/>
  <c r="I68" i="2"/>
  <c r="DB25" i="2"/>
  <c r="DB66" i="2"/>
  <c r="CK84" i="17"/>
  <c r="CK25" i="2"/>
  <c r="AI25" i="2"/>
  <c r="AA25" i="2"/>
  <c r="S25" i="2"/>
  <c r="S66" i="2"/>
  <c r="K25" i="2"/>
  <c r="K66" i="2"/>
  <c r="CF138" i="2"/>
  <c r="CF21" i="2"/>
  <c r="CF19" i="2"/>
  <c r="CF15" i="2"/>
  <c r="CF50" i="3"/>
  <c r="DB60" i="2"/>
  <c r="DB28" i="2"/>
  <c r="DB26" i="2"/>
  <c r="DB12" i="2"/>
  <c r="DB20" i="2"/>
  <c r="DB40" i="2"/>
  <c r="DB22" i="2"/>
  <c r="DB38" i="2"/>
  <c r="CX60" i="2"/>
  <c r="CX28" i="2"/>
  <c r="CX26" i="2"/>
  <c r="CX22" i="2"/>
  <c r="CX20" i="2"/>
  <c r="CX40" i="2"/>
  <c r="CI26" i="2"/>
  <c r="CI12" i="2"/>
  <c r="CI60" i="2"/>
  <c r="CI28" i="2"/>
  <c r="CI22" i="2"/>
  <c r="CI20" i="2"/>
  <c r="AI60" i="2"/>
  <c r="AI28" i="2"/>
  <c r="AI12" i="2"/>
  <c r="AI26" i="2"/>
  <c r="AI11" i="2"/>
  <c r="AI22" i="2"/>
  <c r="AA60" i="2"/>
  <c r="AA28" i="2"/>
  <c r="AA26" i="2"/>
  <c r="AA11" i="2"/>
  <c r="AA22" i="2"/>
  <c r="S28" i="2"/>
  <c r="S26" i="2"/>
  <c r="S11" i="2"/>
  <c r="S22" i="2"/>
  <c r="K60" i="2"/>
  <c r="K28" i="2"/>
  <c r="K26" i="2"/>
  <c r="K11" i="2"/>
  <c r="K22" i="2"/>
  <c r="DB45" i="3"/>
  <c r="DB41" i="3"/>
  <c r="CT67" i="17"/>
  <c r="CT49" i="3"/>
  <c r="CT24" i="2"/>
  <c r="CT10" i="2"/>
  <c r="CK41" i="3"/>
  <c r="CK45" i="3"/>
  <c r="CE88" i="17"/>
  <c r="CE67" i="17"/>
  <c r="CE82" i="17" s="1"/>
  <c r="CE10" i="2"/>
  <c r="CE49" i="3"/>
  <c r="CE24" i="2"/>
  <c r="CA88" i="17"/>
  <c r="CA67" i="17"/>
  <c r="CA82" i="17" s="1"/>
  <c r="CA49" i="3"/>
  <c r="CA10" i="2"/>
  <c r="CA24" i="2"/>
  <c r="AE41" i="3"/>
  <c r="AE45" i="3"/>
  <c r="W41" i="3"/>
  <c r="W45" i="3"/>
  <c r="O41" i="3"/>
  <c r="O45" i="3"/>
  <c r="G41" i="3"/>
  <c r="G45" i="3"/>
  <c r="CX6" i="3"/>
  <c r="CX6" i="4"/>
  <c r="CY7" i="2"/>
  <c r="DA294" i="3"/>
  <c r="DA293" i="4"/>
  <c r="CF76" i="3"/>
  <c r="CF74" i="3"/>
  <c r="CD76" i="3"/>
  <c r="CD74" i="3"/>
  <c r="CZ82" i="3"/>
  <c r="CZ80" i="3"/>
  <c r="CZ73" i="3"/>
  <c r="CZ78" i="3"/>
  <c r="CX82" i="3"/>
  <c r="CX80" i="3"/>
  <c r="CX73" i="3"/>
  <c r="CX78" i="3"/>
  <c r="CV82" i="3"/>
  <c r="CV80" i="3"/>
  <c r="CV73" i="3"/>
  <c r="CV78" i="3"/>
  <c r="CT82" i="3"/>
  <c r="CT80" i="3"/>
  <c r="CT73" i="3"/>
  <c r="CT78" i="3"/>
  <c r="CR82" i="3"/>
  <c r="CR80" i="3"/>
  <c r="CR73" i="3"/>
  <c r="CR78" i="3"/>
  <c r="CN90" i="2"/>
  <c r="CS73" i="2"/>
  <c r="BY77" i="2"/>
  <c r="BY79" i="2"/>
  <c r="BN74" i="2"/>
  <c r="BM73" i="2"/>
  <c r="AW89" i="2"/>
  <c r="CX63" i="2"/>
  <c r="CG63" i="2"/>
  <c r="AN81" i="2"/>
  <c r="AN67" i="2"/>
  <c r="AB81" i="2"/>
  <c r="AB67" i="2"/>
  <c r="L81" i="2"/>
  <c r="L67" i="2"/>
  <c r="CN56" i="2"/>
  <c r="CC53" i="2"/>
  <c r="CC137" i="2" s="1"/>
  <c r="CC100" i="2"/>
  <c r="BY53" i="2"/>
  <c r="BY62" i="2" s="1"/>
  <c r="BY100" i="2"/>
  <c r="DE54" i="2"/>
  <c r="CF53" i="2"/>
  <c r="CF137" i="2" s="1"/>
  <c r="CF100" i="2"/>
  <c r="AA137" i="2"/>
  <c r="AA62" i="2"/>
  <c r="AA66" i="2" s="1"/>
  <c r="CU53" i="2"/>
  <c r="CU137" i="2" s="1"/>
  <c r="CU100" i="2"/>
  <c r="BN47" i="2"/>
  <c r="CW43" i="2"/>
  <c r="CW50" i="2"/>
  <c r="CW48" i="2"/>
  <c r="CF43" i="2"/>
  <c r="CF50" i="2"/>
  <c r="CF48" i="2"/>
  <c r="AI49" i="2"/>
  <c r="AA49" i="2"/>
  <c r="S49" i="2"/>
  <c r="K49" i="2"/>
  <c r="CZ64" i="2"/>
  <c r="CI64" i="2"/>
  <c r="CX38" i="2"/>
  <c r="DC107" i="2"/>
  <c r="BF63" i="2"/>
  <c r="BF68" i="2" s="1"/>
  <c r="BM36" i="2"/>
  <c r="DD36" i="2"/>
  <c r="CL64" i="2"/>
  <c r="CL40" i="2"/>
  <c r="CJ40" i="2"/>
  <c r="CJ64" i="2"/>
  <c r="CH64" i="2"/>
  <c r="CH40" i="2"/>
  <c r="CF39" i="2"/>
  <c r="CF37" i="2"/>
  <c r="CF32" i="2"/>
  <c r="BI29" i="2"/>
  <c r="BI70" i="2"/>
  <c r="BA29" i="2"/>
  <c r="BA70" i="2"/>
  <c r="AS29" i="2"/>
  <c r="AS70" i="2"/>
  <c r="AK29" i="2"/>
  <c r="AK70" i="2"/>
  <c r="AC29" i="2"/>
  <c r="AC70" i="2"/>
  <c r="U29" i="2"/>
  <c r="U70" i="2"/>
  <c r="M29" i="2"/>
  <c r="M70" i="2"/>
  <c r="E29" i="2"/>
  <c r="E70" i="2"/>
  <c r="AB3" i="2"/>
  <c r="T3" i="2"/>
  <c r="L3" i="2"/>
  <c r="CM109" i="2"/>
  <c r="CM111" i="2" s="1"/>
  <c r="CM101" i="2" s="1"/>
  <c r="DC44" i="3"/>
  <c r="DC43" i="3"/>
  <c r="DC42" i="3" s="1"/>
  <c r="CY44" i="3"/>
  <c r="CY43" i="3"/>
  <c r="CY42" i="3" s="1"/>
  <c r="CD44" i="3"/>
  <c r="CD43" i="3"/>
  <c r="CD42" i="3" s="1"/>
  <c r="BZ44" i="3"/>
  <c r="BZ43" i="3"/>
  <c r="BZ42" i="3" s="1"/>
  <c r="DA28" i="2"/>
  <c r="DA26" i="2"/>
  <c r="DA12" i="2"/>
  <c r="CL28" i="2"/>
  <c r="CL26" i="2"/>
  <c r="CL12" i="2"/>
  <c r="CH28" i="2"/>
  <c r="CH26" i="2"/>
  <c r="CH12" i="2"/>
  <c r="BJ68" i="2"/>
  <c r="BJ27" i="2"/>
  <c r="BH68" i="2"/>
  <c r="BH27" i="2"/>
  <c r="BF27" i="2"/>
  <c r="BD68" i="2"/>
  <c r="BD27" i="2"/>
  <c r="BB68" i="2"/>
  <c r="BB27" i="2"/>
  <c r="AZ68" i="2"/>
  <c r="AZ27" i="2"/>
  <c r="AX68" i="2"/>
  <c r="AX27" i="2"/>
  <c r="AV68" i="2"/>
  <c r="AV27" i="2"/>
  <c r="AT68" i="2"/>
  <c r="AT27" i="2"/>
  <c r="AR68" i="2"/>
  <c r="AR27" i="2"/>
  <c r="AP70" i="2"/>
  <c r="AP29" i="2"/>
  <c r="AN70" i="2"/>
  <c r="AN29" i="2"/>
  <c r="AL70" i="2"/>
  <c r="AL29" i="2"/>
  <c r="AJ70" i="2"/>
  <c r="AJ29" i="2"/>
  <c r="AH70" i="2"/>
  <c r="AH29" i="2"/>
  <c r="AF70" i="2"/>
  <c r="AF29" i="2"/>
  <c r="AD70" i="2"/>
  <c r="AD29" i="2"/>
  <c r="AB70" i="2"/>
  <c r="AB29" i="2"/>
  <c r="Z68" i="2"/>
  <c r="Z27" i="2"/>
  <c r="X70" i="2"/>
  <c r="X29" i="2"/>
  <c r="V68" i="2"/>
  <c r="V27" i="2"/>
  <c r="T70" i="2"/>
  <c r="T29" i="2"/>
  <c r="R68" i="2"/>
  <c r="R27" i="2"/>
  <c r="P70" i="2"/>
  <c r="P29" i="2"/>
  <c r="N68" i="2"/>
  <c r="N27" i="2"/>
  <c r="L70" i="2"/>
  <c r="L29" i="2"/>
  <c r="J68" i="2"/>
  <c r="J27" i="2"/>
  <c r="H70" i="2"/>
  <c r="H29" i="2"/>
  <c r="F68" i="2"/>
  <c r="F27" i="2"/>
  <c r="D70" i="2"/>
  <c r="D29" i="2"/>
  <c r="DA41" i="3"/>
  <c r="DA45" i="3"/>
  <c r="CY41" i="3"/>
  <c r="CY45" i="3"/>
  <c r="CW67" i="17"/>
  <c r="CW49" i="3"/>
  <c r="CW24" i="2"/>
  <c r="CW10" i="2"/>
  <c r="CX12" i="2" s="1"/>
  <c r="CS67" i="17"/>
  <c r="CS49" i="3"/>
  <c r="CS24" i="2"/>
  <c r="CS10" i="2"/>
  <c r="CS22" i="2" s="1"/>
  <c r="CJ45" i="3"/>
  <c r="CJ41" i="3"/>
  <c r="CD88" i="17"/>
  <c r="CD67" i="17"/>
  <c r="CD82" i="17" s="1"/>
  <c r="CD49" i="3"/>
  <c r="CD24" i="2"/>
  <c r="CD10" i="2"/>
  <c r="CD20" i="2" s="1"/>
  <c r="BZ88" i="17"/>
  <c r="BZ49" i="3"/>
  <c r="BZ24" i="2"/>
  <c r="BZ67" i="17"/>
  <c r="BZ82" i="17" s="1"/>
  <c r="BZ10" i="2"/>
  <c r="BZ20" i="2" s="1"/>
  <c r="K27" i="17"/>
  <c r="K9" i="17" s="1"/>
  <c r="CB40" i="3"/>
  <c r="CC40" i="3"/>
  <c r="BE29" i="2"/>
  <c r="BE70" i="2"/>
  <c r="AW29" i="2"/>
  <c r="AW70" i="2"/>
  <c r="AO29" i="2"/>
  <c r="AO70" i="2"/>
  <c r="AG29" i="2"/>
  <c r="AG70" i="2"/>
  <c r="Y29" i="2"/>
  <c r="Y70" i="2"/>
  <c r="Q29" i="2"/>
  <c r="Q70" i="2"/>
  <c r="I29" i="2"/>
  <c r="I70" i="2"/>
  <c r="AF3" i="2"/>
  <c r="X3" i="2"/>
  <c r="P3" i="2"/>
  <c r="BM18" i="2"/>
  <c r="DD18" i="2"/>
  <c r="CD22" i="2"/>
  <c r="DC28" i="2"/>
  <c r="DC26" i="2"/>
  <c r="DC12" i="2"/>
  <c r="CY28" i="2"/>
  <c r="CY26" i="2"/>
  <c r="CY12" i="2"/>
  <c r="CJ28" i="2"/>
  <c r="CJ26" i="2"/>
  <c r="CJ12" i="2"/>
  <c r="BJ70" i="2"/>
  <c r="BJ29" i="2"/>
  <c r="BH70" i="2"/>
  <c r="BH29" i="2"/>
  <c r="BF70" i="2"/>
  <c r="BF29" i="2"/>
  <c r="BD29" i="2"/>
  <c r="BB70" i="2"/>
  <c r="BB29" i="2"/>
  <c r="AZ70" i="2"/>
  <c r="AZ29" i="2"/>
  <c r="AX70" i="2"/>
  <c r="AX29" i="2"/>
  <c r="AV70" i="2"/>
  <c r="AV29" i="2"/>
  <c r="AT70" i="2"/>
  <c r="AT29" i="2"/>
  <c r="AR70" i="2"/>
  <c r="AR29" i="2"/>
  <c r="AP68" i="2"/>
  <c r="AP27" i="2"/>
  <c r="AN68" i="2"/>
  <c r="AN27" i="2"/>
  <c r="AL68" i="2"/>
  <c r="AL27" i="2"/>
  <c r="AJ68" i="2"/>
  <c r="AJ27" i="2"/>
  <c r="AH68" i="2"/>
  <c r="AH27" i="2"/>
  <c r="AF68" i="2"/>
  <c r="AF27" i="2"/>
  <c r="AD68" i="2"/>
  <c r="AD27" i="2"/>
  <c r="AB68" i="2"/>
  <c r="AB27" i="2"/>
  <c r="Z70" i="2"/>
  <c r="Z29" i="2"/>
  <c r="X68" i="2"/>
  <c r="X27" i="2"/>
  <c r="V70" i="2"/>
  <c r="V29" i="2"/>
  <c r="T68" i="2"/>
  <c r="T27" i="2"/>
  <c r="R70" i="2"/>
  <c r="R29" i="2"/>
  <c r="P68" i="2"/>
  <c r="P27" i="2"/>
  <c r="N70" i="2"/>
  <c r="N29" i="2"/>
  <c r="L68" i="2"/>
  <c r="L27" i="2"/>
  <c r="J70" i="2"/>
  <c r="J29" i="2"/>
  <c r="H68" i="2"/>
  <c r="H27" i="2"/>
  <c r="F70" i="2"/>
  <c r="F29" i="2"/>
  <c r="D68" i="2"/>
  <c r="D27" i="2"/>
  <c r="DC66" i="2"/>
  <c r="DC25" i="2"/>
  <c r="DC41" i="3"/>
  <c r="DC45" i="3"/>
  <c r="DA66" i="2"/>
  <c r="DA25" i="2"/>
  <c r="CY66" i="2"/>
  <c r="CY25" i="2"/>
  <c r="CU49" i="3"/>
  <c r="CU24" i="2"/>
  <c r="CU67" i="17"/>
  <c r="CU10" i="2"/>
  <c r="CL84" i="17"/>
  <c r="CL66" i="2"/>
  <c r="CL25" i="2"/>
  <c r="CJ84" i="17"/>
  <c r="CJ25" i="2"/>
  <c r="CH66" i="2"/>
  <c r="CH84" i="17"/>
  <c r="CH25" i="2"/>
  <c r="CH45" i="3"/>
  <c r="CH41" i="3"/>
  <c r="CF67" i="17"/>
  <c r="CF82" i="17" s="1"/>
  <c r="CF49" i="3"/>
  <c r="CF88" i="17"/>
  <c r="CF24" i="2"/>
  <c r="CF10" i="2"/>
  <c r="CG12" i="2" s="1"/>
  <c r="CB67" i="17"/>
  <c r="CB82" i="17" s="1"/>
  <c r="CB88" i="17"/>
  <c r="CB49" i="3"/>
  <c r="CB24" i="2"/>
  <c r="CB10" i="2"/>
  <c r="AI41" i="3"/>
  <c r="AI45" i="3"/>
  <c r="AA41" i="3"/>
  <c r="AA45" i="3"/>
  <c r="S41" i="3"/>
  <c r="S45" i="3"/>
  <c r="K41" i="3"/>
  <c r="K45" i="3"/>
  <c r="CH40" i="3"/>
  <c r="CH54" i="3" s="1"/>
  <c r="CH72" i="3" s="1"/>
  <c r="CF40" i="3"/>
  <c r="CF54" i="3" s="1"/>
  <c r="CF72" i="3" s="1"/>
  <c r="CD40" i="3"/>
  <c r="CD54" i="3" s="1"/>
  <c r="CD72" i="3" s="1"/>
  <c r="AG89" i="2"/>
  <c r="AG82" i="2"/>
  <c r="AG98" i="2"/>
  <c r="Y89" i="2"/>
  <c r="Y82" i="2"/>
  <c r="Y98" i="2"/>
  <c r="Q89" i="2"/>
  <c r="Q82" i="2"/>
  <c r="Q98" i="2"/>
  <c r="E89" i="2"/>
  <c r="E82" i="2"/>
  <c r="E98" i="2"/>
  <c r="F64" i="17"/>
  <c r="BJ49" i="17"/>
  <c r="BH54" i="17"/>
  <c r="DA53" i="17"/>
  <c r="BE51" i="17"/>
  <c r="BA51" i="17"/>
  <c r="AW51" i="17"/>
  <c r="BF49" i="17"/>
  <c r="BB49" i="17"/>
  <c r="BB55" i="17"/>
  <c r="BI54" i="17"/>
  <c r="CK53" i="17"/>
  <c r="BI63" i="17"/>
  <c r="DB48" i="17"/>
  <c r="DB51" i="17" s="1"/>
  <c r="BI44" i="17"/>
  <c r="BI35" i="17"/>
  <c r="Y12" i="17"/>
  <c r="S12" i="17"/>
  <c r="D12" i="17"/>
  <c r="CZ9" i="17"/>
  <c r="CZ12" i="17" s="1"/>
  <c r="CV9" i="17"/>
  <c r="CV12" i="17" s="1"/>
  <c r="CH9" i="17"/>
  <c r="I64" i="17"/>
  <c r="AH23" i="17"/>
  <c r="AD12" i="17"/>
  <c r="E12" i="17"/>
  <c r="AQ10" i="17"/>
  <c r="AM10" i="17"/>
  <c r="AI10" i="17"/>
  <c r="CY9" i="17"/>
  <c r="CY63" i="17" s="1"/>
  <c r="AP69" i="17"/>
  <c r="Z69" i="17"/>
  <c r="J69" i="17"/>
  <c r="AX49" i="17"/>
  <c r="AK24" i="17"/>
  <c r="AX61" i="17"/>
  <c r="BI45" i="17"/>
  <c r="AD64" i="17"/>
  <c r="AX33" i="17"/>
  <c r="CJ33" i="17" s="1"/>
  <c r="CZ61" i="17"/>
  <c r="BB33" i="17"/>
  <c r="AH28" i="17"/>
  <c r="AT64" i="17"/>
  <c r="BD61" i="17"/>
  <c r="BH33" i="17"/>
  <c r="BD55" i="17"/>
  <c r="DB53" i="17"/>
  <c r="CM53" i="17"/>
  <c r="BC63" i="17"/>
  <c r="BC69" i="17" s="1"/>
  <c r="CZ29" i="17"/>
  <c r="AU19" i="17"/>
  <c r="AC12" i="17"/>
  <c r="U12" i="17"/>
  <c r="J12" i="17"/>
  <c r="F12" i="17"/>
  <c r="F10" i="17"/>
  <c r="AC64" i="17"/>
  <c r="U64" i="17"/>
  <c r="T12" i="17"/>
  <c r="J10" i="17"/>
  <c r="CE9" i="17"/>
  <c r="AR65" i="17"/>
  <c r="AN65" i="17"/>
  <c r="AF11" i="17"/>
  <c r="BD33" i="17"/>
  <c r="BE34" i="17" s="1"/>
  <c r="BJ33" i="17"/>
  <c r="BF33" i="17"/>
  <c r="BA79" i="17"/>
  <c r="BJ61" i="17"/>
  <c r="DC53" i="17"/>
  <c r="CL53" i="17"/>
  <c r="BJ55" i="17"/>
  <c r="BF55" i="17"/>
  <c r="AZ34" i="17"/>
  <c r="AD10" i="17"/>
  <c r="AS65" i="17"/>
  <c r="AO69" i="17"/>
  <c r="AC69" i="17"/>
  <c r="U69" i="17"/>
  <c r="AG25" i="17"/>
  <c r="CW22" i="17"/>
  <c r="S10" i="17"/>
  <c r="AR64" i="17"/>
  <c r="AJ64" i="17"/>
  <c r="N63" i="17"/>
  <c r="O64" i="17" s="1"/>
  <c r="CK105" i="17"/>
  <c r="CK106" i="17" s="1"/>
  <c r="BF61" i="17"/>
  <c r="Z64" i="17"/>
  <c r="R64" i="17"/>
  <c r="AW34" i="17"/>
  <c r="AV63" i="17"/>
  <c r="AV36" i="17" s="1"/>
  <c r="AV38" i="17" s="1"/>
  <c r="CZ38" i="17" s="1"/>
  <c r="BE35" i="17"/>
  <c r="R10" i="17"/>
  <c r="AS64" i="17"/>
  <c r="S64" i="17"/>
  <c r="Q69" i="17"/>
  <c r="CA27" i="17"/>
  <c r="CA30" i="17" s="1"/>
  <c r="Z12" i="17"/>
  <c r="R12" i="17"/>
  <c r="AA10" i="17"/>
  <c r="CU9" i="17"/>
  <c r="AT69" i="17"/>
  <c r="AP64" i="17"/>
  <c r="L63" i="17"/>
  <c r="L69" i="17" s="1"/>
  <c r="AD11" i="17"/>
  <c r="AW79" i="17"/>
  <c r="AH63" i="17"/>
  <c r="AL11" i="17"/>
  <c r="AH11" i="17"/>
  <c r="CZ51" i="17"/>
  <c r="Z10" i="17"/>
  <c r="AU64" i="17"/>
  <c r="AQ64" i="17"/>
  <c r="AM64" i="17"/>
  <c r="AC65" i="17"/>
  <c r="M63" i="17"/>
  <c r="M69" i="17" s="1"/>
  <c r="AC11" i="17"/>
  <c r="Q10" i="17"/>
  <c r="CS9" i="17"/>
  <c r="CI105" i="17"/>
  <c r="CI106" i="17" s="1"/>
  <c r="AY81" i="17"/>
  <c r="AY82" i="17" s="1"/>
  <c r="AY41" i="17"/>
  <c r="DC45" i="17"/>
  <c r="BH77" i="17"/>
  <c r="BD77" i="17"/>
  <c r="AY76" i="17"/>
  <c r="AY79" i="17" s="1"/>
  <c r="AZ69" i="17"/>
  <c r="CI30" i="17"/>
  <c r="CE30" i="17"/>
  <c r="CZ24" i="17"/>
  <c r="CZ25" i="17"/>
  <c r="CV24" i="17"/>
  <c r="CV25" i="17"/>
  <c r="CH24" i="17"/>
  <c r="CH25" i="17"/>
  <c r="AS16" i="17"/>
  <c r="AO16" i="17"/>
  <c r="AK16" i="17"/>
  <c r="AK15" i="17"/>
  <c r="CX63" i="17"/>
  <c r="CX12" i="17"/>
  <c r="CH63" i="17"/>
  <c r="CH30" i="17"/>
  <c r="AG30" i="17"/>
  <c r="AK29" i="17"/>
  <c r="AG29" i="17"/>
  <c r="CW27" i="17"/>
  <c r="AG9" i="17"/>
  <c r="CW25" i="17"/>
  <c r="CW24" i="17"/>
  <c r="CG25" i="17"/>
  <c r="CG24" i="17"/>
  <c r="AR19" i="17"/>
  <c r="AJ19" i="17"/>
  <c r="AR15" i="17"/>
  <c r="AN16" i="17"/>
  <c r="CH14" i="17"/>
  <c r="AJ16" i="17"/>
  <c r="AJ15" i="17"/>
  <c r="CA12" i="17"/>
  <c r="CK77" i="17"/>
  <c r="AV69" i="17"/>
  <c r="BG65" i="17"/>
  <c r="BC65" i="17"/>
  <c r="BA65" i="17"/>
  <c r="AY69" i="17"/>
  <c r="AY65" i="17"/>
  <c r="AW69" i="17"/>
  <c r="AW65" i="17"/>
  <c r="CJ51" i="17"/>
  <c r="BA36" i="17"/>
  <c r="BA38" i="17" s="1"/>
  <c r="AW36" i="17"/>
  <c r="AW38" i="17" s="1"/>
  <c r="CY30" i="17"/>
  <c r="CY29" i="17"/>
  <c r="CG29" i="17"/>
  <c r="CX24" i="17"/>
  <c r="CX25" i="17"/>
  <c r="CF24" i="17"/>
  <c r="AU16" i="17"/>
  <c r="AQ16" i="17"/>
  <c r="AQ15" i="17"/>
  <c r="AM16" i="17"/>
  <c r="BP41" i="17"/>
  <c r="CV30" i="17"/>
  <c r="CV29" i="17"/>
  <c r="CF29" i="17"/>
  <c r="M30" i="17"/>
  <c r="CR27" i="17"/>
  <c r="CY25" i="17"/>
  <c r="CY24" i="17"/>
  <c r="CI25" i="17"/>
  <c r="CI24" i="17"/>
  <c r="CE25" i="17"/>
  <c r="CE24" i="17"/>
  <c r="AT19" i="17"/>
  <c r="AT16" i="17"/>
  <c r="AP16" i="17"/>
  <c r="AP15" i="17"/>
  <c r="CY11" i="17"/>
  <c r="CG12" i="17"/>
  <c r="CE57" i="4"/>
  <c r="CE58" i="4" s="1"/>
  <c r="CE34" i="4"/>
  <c r="BJ46" i="4"/>
  <c r="AT46" i="4"/>
  <c r="AD46" i="4"/>
  <c r="N46" i="4"/>
  <c r="CM45" i="4"/>
  <c r="CM42" i="4"/>
  <c r="CI42" i="4"/>
  <c r="CI46" i="4" s="1"/>
  <c r="CE42" i="4"/>
  <c r="CE46" i="4" s="1"/>
  <c r="CA42" i="4"/>
  <c r="CA46" i="4" s="1"/>
  <c r="CL41" i="4"/>
  <c r="CH41" i="4"/>
  <c r="BM41" i="4"/>
  <c r="CL38" i="4"/>
  <c r="CH38" i="4"/>
  <c r="BM38" i="4"/>
  <c r="BM37" i="4"/>
  <c r="BC46" i="4"/>
  <c r="AU46" i="4"/>
  <c r="AM46" i="4"/>
  <c r="AE46" i="4"/>
  <c r="W46" i="4"/>
  <c r="O46" i="4"/>
  <c r="G46" i="4"/>
  <c r="CL32" i="4"/>
  <c r="CH32" i="4"/>
  <c r="CD32" i="4"/>
  <c r="BM32" i="4"/>
  <c r="DC44" i="4"/>
  <c r="DA43" i="4"/>
  <c r="CY43" i="4"/>
  <c r="CW43" i="4"/>
  <c r="CS43" i="4"/>
  <c r="CR40" i="4"/>
  <c r="DC39" i="4"/>
  <c r="CY39" i="4"/>
  <c r="CR39" i="4"/>
  <c r="DC38" i="4"/>
  <c r="CY38" i="4"/>
  <c r="CR38" i="4"/>
  <c r="CZ37" i="4"/>
  <c r="CR37" i="4"/>
  <c r="CV33" i="4"/>
  <c r="DD32" i="4"/>
  <c r="CJ31" i="4"/>
  <c r="DC31" i="4"/>
  <c r="AX57" i="4"/>
  <c r="AX58" i="4" s="1"/>
  <c r="AX34" i="4"/>
  <c r="AY30" i="4"/>
  <c r="DA30" i="4" s="1"/>
  <c r="AH57" i="4"/>
  <c r="AH58" i="4" s="1"/>
  <c r="AH34" i="4"/>
  <c r="AI30" i="4"/>
  <c r="CW30" i="4" s="1"/>
  <c r="R57" i="4"/>
  <c r="R58" i="4" s="1"/>
  <c r="R34" i="4"/>
  <c r="S30" i="4"/>
  <c r="CS30" i="4" s="1"/>
  <c r="CL78" i="17"/>
  <c r="CL72" i="4"/>
  <c r="CL70" i="4" s="1"/>
  <c r="CL69" i="4" s="1"/>
  <c r="CL73" i="4" s="1"/>
  <c r="CH78" i="17"/>
  <c r="CH72" i="4"/>
  <c r="CH70" i="4" s="1"/>
  <c r="CH69" i="4" s="1"/>
  <c r="CH73" i="4" s="1"/>
  <c r="CD78" i="17"/>
  <c r="CD72" i="4"/>
  <c r="CD70" i="4" s="1"/>
  <c r="CD69" i="4" s="1"/>
  <c r="CD73" i="4" s="1"/>
  <c r="BZ78" i="17"/>
  <c r="BZ72" i="4"/>
  <c r="BZ70" i="4" s="1"/>
  <c r="BZ69" i="4" s="1"/>
  <c r="BZ73" i="4" s="1"/>
  <c r="DD45" i="4"/>
  <c r="CX45" i="4"/>
  <c r="CT45" i="4"/>
  <c r="BY45" i="4"/>
  <c r="CU43" i="4"/>
  <c r="BZ43" i="4"/>
  <c r="DD41" i="4"/>
  <c r="CT40" i="4"/>
  <c r="BY40" i="4"/>
  <c r="DA39" i="4"/>
  <c r="CT38" i="4"/>
  <c r="BY38" i="4"/>
  <c r="CX37" i="4"/>
  <c r="BY37" i="4"/>
  <c r="BM31" i="4"/>
  <c r="DD31" i="4"/>
  <c r="CK31" i="4"/>
  <c r="CZ31" i="4"/>
  <c r="CG31" i="4"/>
  <c r="CV31" i="4"/>
  <c r="CC31" i="4"/>
  <c r="CR31" i="4"/>
  <c r="BY31" i="4"/>
  <c r="CX57" i="4"/>
  <c r="CX58" i="4" s="1"/>
  <c r="BJ34" i="4"/>
  <c r="BC57" i="4"/>
  <c r="BC58" i="4" s="1"/>
  <c r="BC34" i="4"/>
  <c r="CK30" i="4"/>
  <c r="AT34" i="4"/>
  <c r="AM57" i="4"/>
  <c r="AM58" i="4" s="1"/>
  <c r="AM34" i="4"/>
  <c r="CG30" i="4"/>
  <c r="AD34" i="4"/>
  <c r="W57" i="4"/>
  <c r="W58" i="4" s="1"/>
  <c r="W34" i="4"/>
  <c r="CC30" i="4"/>
  <c r="N34" i="4"/>
  <c r="G57" i="4"/>
  <c r="G58" i="4" s="1"/>
  <c r="G34" i="4"/>
  <c r="BY30" i="4"/>
  <c r="DC25" i="4"/>
  <c r="CJ25" i="4"/>
  <c r="CY25" i="4"/>
  <c r="CF25" i="4"/>
  <c r="CU25" i="4"/>
  <c r="CJ22" i="4"/>
  <c r="CF22" i="4"/>
  <c r="CB22" i="4"/>
  <c r="BM20" i="4"/>
  <c r="CL19" i="4"/>
  <c r="CH19" i="4"/>
  <c r="CD19" i="4"/>
  <c r="BM19" i="4"/>
  <c r="CE18" i="4"/>
  <c r="CA18" i="4"/>
  <c r="CL15" i="4"/>
  <c r="CH15" i="4"/>
  <c r="CD15" i="4"/>
  <c r="BM14" i="4"/>
  <c r="BJ72" i="4"/>
  <c r="BJ144" i="2"/>
  <c r="AW73" i="4"/>
  <c r="DA69" i="4"/>
  <c r="DA73" i="4" s="1"/>
  <c r="AT72" i="4"/>
  <c r="AT70" i="4" s="1"/>
  <c r="AT69" i="4" s="1"/>
  <c r="AU11" i="4"/>
  <c r="AT144" i="2"/>
  <c r="AL72" i="4"/>
  <c r="AL70" i="4" s="1"/>
  <c r="AL69" i="4" s="1"/>
  <c r="AM11" i="4"/>
  <c r="AL144" i="2"/>
  <c r="AD72" i="4"/>
  <c r="AD70" i="4" s="1"/>
  <c r="AD69" i="4" s="1"/>
  <c r="AE11" i="4"/>
  <c r="AD144" i="2"/>
  <c r="V72" i="4"/>
  <c r="V70" i="4" s="1"/>
  <c r="V69" i="4" s="1"/>
  <c r="W11" i="4"/>
  <c r="V144" i="2"/>
  <c r="N72" i="4"/>
  <c r="N70" i="4" s="1"/>
  <c r="N69" i="4" s="1"/>
  <c r="O11" i="4"/>
  <c r="N144" i="2"/>
  <c r="F72" i="4"/>
  <c r="F70" i="4" s="1"/>
  <c r="F69" i="4" s="1"/>
  <c r="F73" i="4" s="1"/>
  <c r="G11" i="4"/>
  <c r="F144" i="2"/>
  <c r="AY10" i="4"/>
  <c r="AI10" i="4"/>
  <c r="S10" i="4"/>
  <c r="DB23" i="4"/>
  <c r="CX23" i="4"/>
  <c r="CT23" i="4"/>
  <c r="BY23" i="4"/>
  <c r="CU20" i="4"/>
  <c r="CS20" i="4"/>
  <c r="CV18" i="4"/>
  <c r="CV60" i="4" s="1"/>
  <c r="CR18" i="4"/>
  <c r="CR60" i="4" s="1"/>
  <c r="DC17" i="4"/>
  <c r="CZ17" i="4"/>
  <c r="CF17" i="4"/>
  <c r="DC15" i="4"/>
  <c r="CY15" i="4"/>
  <c r="CU15" i="4"/>
  <c r="BZ15" i="4"/>
  <c r="DB14" i="4"/>
  <c r="CX14" i="4"/>
  <c r="CT14" i="4"/>
  <c r="BY14" i="4"/>
  <c r="DA13" i="4"/>
  <c r="CW13" i="4"/>
  <c r="CS13" i="4"/>
  <c r="DC12" i="4"/>
  <c r="CY12" i="4"/>
  <c r="CU12" i="4"/>
  <c r="BZ12" i="4"/>
  <c r="DC24" i="4"/>
  <c r="CU24" i="4"/>
  <c r="CZ23" i="4"/>
  <c r="CV23" i="4"/>
  <c r="CR23" i="4"/>
  <c r="DA22" i="4"/>
  <c r="CW22" i="4"/>
  <c r="CS22" i="4"/>
  <c r="DD20" i="4"/>
  <c r="CZ20" i="4"/>
  <c r="DD19" i="4"/>
  <c r="CT18" i="4"/>
  <c r="CT60" i="4" s="1"/>
  <c r="BY18" i="4"/>
  <c r="DB17" i="4"/>
  <c r="CH17" i="4"/>
  <c r="CC17" i="4"/>
  <c r="BY17" i="4"/>
  <c r="CX16" i="4"/>
  <c r="BY16" i="4"/>
  <c r="DA15" i="4"/>
  <c r="CW15" i="4"/>
  <c r="CS15" i="4"/>
  <c r="DD14" i="4"/>
  <c r="CZ14" i="4"/>
  <c r="CV14" i="4"/>
  <c r="CR14" i="4"/>
  <c r="DC13" i="4"/>
  <c r="CY13" i="4"/>
  <c r="CU13" i="4"/>
  <c r="BZ13" i="4"/>
  <c r="CW12" i="4"/>
  <c r="CK46" i="4"/>
  <c r="CG46" i="4"/>
  <c r="CC46" i="4"/>
  <c r="BM39" i="4"/>
  <c r="BG37" i="4"/>
  <c r="BF46" i="4"/>
  <c r="AY37" i="4"/>
  <c r="AY46" i="4" s="1"/>
  <c r="AX46" i="4"/>
  <c r="AQ37" i="4"/>
  <c r="AP46" i="4"/>
  <c r="AI37" i="4"/>
  <c r="AI46" i="4" s="1"/>
  <c r="AH46" i="4"/>
  <c r="AA37" i="4"/>
  <c r="Z46" i="4"/>
  <c r="S37" i="4"/>
  <c r="S46" i="4" s="1"/>
  <c r="R46" i="4"/>
  <c r="K37" i="4"/>
  <c r="J46" i="4"/>
  <c r="CZ45" i="4"/>
  <c r="CV45" i="4"/>
  <c r="CR45" i="4"/>
  <c r="DB44" i="4"/>
  <c r="DB43" i="4"/>
  <c r="CZ43" i="4"/>
  <c r="CX43" i="4"/>
  <c r="DB42" i="4"/>
  <c r="CX42" i="4"/>
  <c r="CT42" i="4"/>
  <c r="BY42" i="4"/>
  <c r="DA41" i="4"/>
  <c r="DB40" i="4"/>
  <c r="DD39" i="4"/>
  <c r="CV39" i="4"/>
  <c r="DD38" i="4"/>
  <c r="CV38" i="4"/>
  <c r="DD37" i="4"/>
  <c r="CV37" i="4"/>
  <c r="CZ33" i="4"/>
  <c r="DC32" i="4"/>
  <c r="CY32" i="4"/>
  <c r="CU32" i="4"/>
  <c r="BZ32" i="4"/>
  <c r="BF57" i="4"/>
  <c r="BF58" i="4" s="1"/>
  <c r="BF34" i="4"/>
  <c r="BG30" i="4"/>
  <c r="CL30" i="4" s="1"/>
  <c r="AP57" i="4"/>
  <c r="AP58" i="4" s="1"/>
  <c r="AP34" i="4"/>
  <c r="AQ30" i="4"/>
  <c r="CY30" i="4" s="1"/>
  <c r="Z57" i="4"/>
  <c r="Z58" i="4" s="1"/>
  <c r="Z34" i="4"/>
  <c r="AA30" i="4"/>
  <c r="CD30" i="4" s="1"/>
  <c r="J57" i="4"/>
  <c r="J58" i="4" s="1"/>
  <c r="J34" i="4"/>
  <c r="K30" i="4"/>
  <c r="CJ78" i="17"/>
  <c r="CJ72" i="4"/>
  <c r="CJ70" i="4" s="1"/>
  <c r="CJ69" i="4" s="1"/>
  <c r="CJ73" i="4" s="1"/>
  <c r="CF78" i="17"/>
  <c r="CF72" i="4"/>
  <c r="CF70" i="4" s="1"/>
  <c r="CF69" i="4" s="1"/>
  <c r="CF73" i="4" s="1"/>
  <c r="CB78" i="17"/>
  <c r="CB72" i="4"/>
  <c r="CB70" i="4" s="1"/>
  <c r="CB69" i="4" s="1"/>
  <c r="CB73" i="4" s="1"/>
  <c r="BI73" i="4"/>
  <c r="BA73" i="4"/>
  <c r="CZ42" i="4"/>
  <c r="CV42" i="4"/>
  <c r="CR42" i="4"/>
  <c r="DC41" i="4"/>
  <c r="CY41" i="4"/>
  <c r="CZ40" i="4"/>
  <c r="CT39" i="4"/>
  <c r="BY39" i="4"/>
  <c r="DA38" i="4"/>
  <c r="DB37" i="4"/>
  <c r="DB46" i="4" s="1"/>
  <c r="CT37" i="4"/>
  <c r="CT46" i="4" s="1"/>
  <c r="DB33" i="4"/>
  <c r="CX33" i="4"/>
  <c r="CT33" i="4"/>
  <c r="BY33" i="4"/>
  <c r="DA32" i="4"/>
  <c r="CW32" i="4"/>
  <c r="CS32" i="4"/>
  <c r="DB31" i="4"/>
  <c r="CX31" i="4"/>
  <c r="CX34" i="4" s="1"/>
  <c r="CT31" i="4"/>
  <c r="DB57" i="4"/>
  <c r="DB58" i="4" s="1"/>
  <c r="CT57" i="4"/>
  <c r="CT58" i="4" s="1"/>
  <c r="CI57" i="4"/>
  <c r="CI58" i="4" s="1"/>
  <c r="CI34" i="4"/>
  <c r="CA57" i="4"/>
  <c r="CA58" i="4" s="1"/>
  <c r="CA34" i="4"/>
  <c r="BJ58" i="4"/>
  <c r="BB34" i="4"/>
  <c r="AU57" i="4"/>
  <c r="AU58" i="4" s="1"/>
  <c r="AU34" i="4"/>
  <c r="CZ30" i="4"/>
  <c r="AL34" i="4"/>
  <c r="AE57" i="4"/>
  <c r="AE58" i="4" s="1"/>
  <c r="AE34" i="4"/>
  <c r="CV30" i="4"/>
  <c r="V34" i="4"/>
  <c r="O57" i="4"/>
  <c r="O58" i="4" s="1"/>
  <c r="O34" i="4"/>
  <c r="CR30" i="4"/>
  <c r="F34" i="4"/>
  <c r="DA25" i="4"/>
  <c r="CW25" i="4"/>
  <c r="BJ60" i="4"/>
  <c r="BB60" i="4"/>
  <c r="BC18" i="4"/>
  <c r="AT60" i="4"/>
  <c r="AU18" i="4"/>
  <c r="AL60" i="4"/>
  <c r="AM18" i="4"/>
  <c r="DD13" i="4"/>
  <c r="BE73" i="4"/>
  <c r="DC69" i="4"/>
  <c r="DC73" i="4" s="1"/>
  <c r="BB78" i="17"/>
  <c r="BB72" i="4"/>
  <c r="BB70" i="4" s="1"/>
  <c r="BB69" i="4" s="1"/>
  <c r="BB73" i="4" s="1"/>
  <c r="BC11" i="4"/>
  <c r="DB11" i="4" s="1"/>
  <c r="BB144" i="2"/>
  <c r="AQ72" i="4"/>
  <c r="AQ70" i="4" s="1"/>
  <c r="AQ69" i="4" s="1"/>
  <c r="AQ144" i="2"/>
  <c r="AI72" i="4"/>
  <c r="AI70" i="4" s="1"/>
  <c r="AI69" i="4" s="1"/>
  <c r="AI144" i="2"/>
  <c r="AA72" i="4"/>
  <c r="AA70" i="4" s="1"/>
  <c r="AA69" i="4" s="1"/>
  <c r="AA144" i="2"/>
  <c r="S72" i="4"/>
  <c r="S70" i="4" s="1"/>
  <c r="S69" i="4" s="1"/>
  <c r="S144" i="2"/>
  <c r="K72" i="4"/>
  <c r="K70" i="4" s="1"/>
  <c r="K69" i="4" s="1"/>
  <c r="K73" i="4" s="1"/>
  <c r="K144" i="2"/>
  <c r="BG10" i="4"/>
  <c r="AQ10" i="4"/>
  <c r="AA10" i="4"/>
  <c r="K10" i="4"/>
  <c r="DA24" i="4"/>
  <c r="CW24" i="4"/>
  <c r="CS24" i="4"/>
  <c r="DC22" i="4"/>
  <c r="CY22" i="4"/>
  <c r="CU22" i="4"/>
  <c r="BZ22" i="4"/>
  <c r="DB20" i="4"/>
  <c r="CT20" i="4"/>
  <c r="BY20" i="4"/>
  <c r="DA19" i="4"/>
  <c r="CW19" i="4"/>
  <c r="CS19" i="4"/>
  <c r="DD17" i="4"/>
  <c r="CJ17" i="4"/>
  <c r="CE17" i="4"/>
  <c r="CA17" i="4"/>
  <c r="CZ16" i="4"/>
  <c r="CV16" i="4"/>
  <c r="CR16" i="4"/>
  <c r="DD15" i="4"/>
  <c r="CY24" i="4"/>
  <c r="BZ24" i="4"/>
  <c r="CW20" i="4"/>
  <c r="DC19" i="4"/>
  <c r="CY19" i="4"/>
  <c r="CU19" i="4"/>
  <c r="BZ19" i="4"/>
  <c r="CX17" i="4"/>
  <c r="DB16" i="4"/>
  <c r="CT16" i="4"/>
  <c r="DA12" i="4"/>
  <c r="CS12" i="4"/>
  <c r="DE55" i="3"/>
  <c r="BQ55" i="3"/>
  <c r="BR55" i="3" s="1"/>
  <c r="BS55" i="3" s="1"/>
  <c r="CO55" i="3" s="1"/>
  <c r="DD57" i="3"/>
  <c r="BM57" i="3"/>
  <c r="BN57" i="3" s="1"/>
  <c r="BO57" i="3" s="1"/>
  <c r="BN56" i="3"/>
  <c r="CN31" i="3"/>
  <c r="BP31" i="3"/>
  <c r="BL79" i="3"/>
  <c r="BL80" i="3" s="1"/>
  <c r="DD30" i="3"/>
  <c r="DD79" i="3" s="1"/>
  <c r="DD80" i="3" s="1"/>
  <c r="DD40" i="4"/>
  <c r="BM30" i="3"/>
  <c r="CM40" i="4"/>
  <c r="BJ83" i="3"/>
  <c r="BJ35" i="3"/>
  <c r="BJ37" i="3" s="1"/>
  <c r="DD16" i="4"/>
  <c r="BN19" i="3"/>
  <c r="BN16" i="4" s="1"/>
  <c r="BM16" i="4"/>
  <c r="BJ47" i="3"/>
  <c r="BJ46" i="3"/>
  <c r="BN17" i="3"/>
  <c r="CM18" i="3"/>
  <c r="CI81" i="2" l="1"/>
  <c r="M98" i="2"/>
  <c r="CY107" i="2"/>
  <c r="AM83" i="2"/>
  <c r="AM94" i="2" s="1"/>
  <c r="CH107" i="2"/>
  <c r="CZ81" i="2"/>
  <c r="CZ67" i="2"/>
  <c r="CF62" i="2"/>
  <c r="AK82" i="2"/>
  <c r="AW98" i="2"/>
  <c r="AM69" i="2"/>
  <c r="BE98" i="2"/>
  <c r="BE113" i="2" s="1"/>
  <c r="CN76" i="2"/>
  <c r="BE82" i="2"/>
  <c r="CO34" i="2"/>
  <c r="AQ143" i="2"/>
  <c r="AQ142" i="2" s="1"/>
  <c r="AQ83" i="2"/>
  <c r="AQ102" i="2" s="1"/>
  <c r="AY143" i="2"/>
  <c r="AY142" i="2" s="1"/>
  <c r="BG143" i="2"/>
  <c r="BG142" i="2" s="1"/>
  <c r="AY69" i="2"/>
  <c r="BG69" i="2"/>
  <c r="X98" i="2"/>
  <c r="X82" i="2"/>
  <c r="DB45" i="17"/>
  <c r="CB63" i="17"/>
  <c r="CT9" i="17"/>
  <c r="CT63" i="17" s="1"/>
  <c r="CT69" i="17" s="1"/>
  <c r="CH105" i="17"/>
  <c r="CH106" i="17" s="1"/>
  <c r="AL16" i="17"/>
  <c r="CG30" i="17"/>
  <c r="BE36" i="17"/>
  <c r="BE38" i="17" s="1"/>
  <c r="BA69" i="17"/>
  <c r="BE69" i="17"/>
  <c r="BG69" i="17"/>
  <c r="CI12" i="17"/>
  <c r="CG14" i="17"/>
  <c r="CG16" i="17" s="1"/>
  <c r="AN15" i="17"/>
  <c r="CI14" i="17"/>
  <c r="CI18" i="17"/>
  <c r="AO15" i="17"/>
  <c r="BG36" i="17"/>
  <c r="BG38" i="17" s="1"/>
  <c r="BK40" i="17" s="1"/>
  <c r="AZ36" i="17"/>
  <c r="AZ38" i="17" s="1"/>
  <c r="CK55" i="17"/>
  <c r="BC76" i="17"/>
  <c r="CS63" i="17"/>
  <c r="CS69" i="17" s="1"/>
  <c r="BC35" i="17"/>
  <c r="AZ35" i="17"/>
  <c r="CV11" i="17"/>
  <c r="CD9" i="17"/>
  <c r="CD12" i="17" s="1"/>
  <c r="CZ33" i="17"/>
  <c r="CZ6" i="17" s="1"/>
  <c r="AN64" i="17"/>
  <c r="CC9" i="17"/>
  <c r="CC12" i="17" s="1"/>
  <c r="BG34" i="17"/>
  <c r="AK64" i="17"/>
  <c r="BA34" i="17"/>
  <c r="CE63" i="17"/>
  <c r="BG35" i="17"/>
  <c r="AL64" i="17"/>
  <c r="Y10" i="17"/>
  <c r="CK33" i="17"/>
  <c r="DC48" i="17"/>
  <c r="AM65" i="17"/>
  <c r="BA35" i="17"/>
  <c r="AO65" i="17"/>
  <c r="BV43" i="3"/>
  <c r="BU42" i="3"/>
  <c r="BM100" i="2"/>
  <c r="CZ63" i="17"/>
  <c r="CL61" i="17"/>
  <c r="CH11" i="17"/>
  <c r="BI69" i="17"/>
  <c r="DD109" i="2"/>
  <c r="DD111" i="2" s="1"/>
  <c r="DD101" i="2" s="1"/>
  <c r="CN17" i="2"/>
  <c r="CV63" i="17"/>
  <c r="AV64" i="17"/>
  <c r="AV81" i="17"/>
  <c r="AV82" i="17" s="1"/>
  <c r="AX34" i="17"/>
  <c r="DA33" i="17"/>
  <c r="AY34" i="17"/>
  <c r="BZ22" i="2"/>
  <c r="CW22" i="2"/>
  <c r="DF34" i="2"/>
  <c r="BZ62" i="2"/>
  <c r="AK98" i="2"/>
  <c r="AK113" i="2" s="1"/>
  <c r="AO89" i="2"/>
  <c r="M89" i="2"/>
  <c r="BI82" i="2"/>
  <c r="AO98" i="2"/>
  <c r="AO113" i="2" s="1"/>
  <c r="CM46" i="4"/>
  <c r="BK60" i="3"/>
  <c r="BK66" i="3" s="1"/>
  <c r="BK69" i="3" s="1"/>
  <c r="BK296" i="3"/>
  <c r="CN55" i="2"/>
  <c r="BG49" i="17"/>
  <c r="CL48" i="17"/>
  <c r="CG105" i="17"/>
  <c r="CG106" i="17" s="1"/>
  <c r="CP91" i="2"/>
  <c r="BJ63" i="17"/>
  <c r="BK64" i="17" s="1"/>
  <c r="BK34" i="17"/>
  <c r="BK35" i="17"/>
  <c r="CO45" i="2"/>
  <c r="DF45" i="2"/>
  <c r="BU45" i="2"/>
  <c r="BV45" i="2" s="1"/>
  <c r="BW45" i="2" s="1"/>
  <c r="BS57" i="2"/>
  <c r="CO57" i="2" s="1"/>
  <c r="BU34" i="2"/>
  <c r="BV34" i="2" s="1"/>
  <c r="BW34" i="2" s="1"/>
  <c r="AP65" i="17"/>
  <c r="AK19" i="17"/>
  <c r="CF51" i="2"/>
  <c r="CB49" i="2"/>
  <c r="CF22" i="2"/>
  <c r="AO19" i="17"/>
  <c r="AN19" i="17"/>
  <c r="BG51" i="17"/>
  <c r="BG50" i="17"/>
  <c r="AE63" i="17"/>
  <c r="AI11" i="17"/>
  <c r="AE12" i="17"/>
  <c r="AE10" i="17"/>
  <c r="AE11" i="17"/>
  <c r="AW49" i="17"/>
  <c r="DA48" i="17"/>
  <c r="BI50" i="17"/>
  <c r="BI49" i="17"/>
  <c r="BC50" i="17"/>
  <c r="BH49" i="17"/>
  <c r="X63" i="17"/>
  <c r="AB65" i="17" s="1"/>
  <c r="X12" i="17"/>
  <c r="W63" i="17"/>
  <c r="W12" i="17"/>
  <c r="W10" i="17"/>
  <c r="CJ58" i="17"/>
  <c r="CJ61" i="17" s="1"/>
  <c r="AW61" i="17"/>
  <c r="DA58" i="17"/>
  <c r="AW59" i="17"/>
  <c r="AX59" i="17"/>
  <c r="CK58" i="17"/>
  <c r="BA59" i="17"/>
  <c r="BA60" i="17"/>
  <c r="BA61" i="17"/>
  <c r="BB59" i="17"/>
  <c r="DC58" i="17"/>
  <c r="DC60" i="17" s="1"/>
  <c r="BE61" i="17"/>
  <c r="BF59" i="17"/>
  <c r="BE60" i="17"/>
  <c r="BI59" i="17"/>
  <c r="BI60" i="17"/>
  <c r="BI61" i="17"/>
  <c r="BN42" i="4"/>
  <c r="BO10" i="3"/>
  <c r="CN9" i="3"/>
  <c r="BP9" i="3"/>
  <c r="CN24" i="3"/>
  <c r="BP24" i="3"/>
  <c r="CM55" i="17"/>
  <c r="CJ105" i="17"/>
  <c r="CJ106" i="17" s="1"/>
  <c r="DB61" i="17"/>
  <c r="CK50" i="17"/>
  <c r="DB55" i="17"/>
  <c r="CK63" i="17"/>
  <c r="CK36" i="17" s="1"/>
  <c r="CC63" i="17"/>
  <c r="CC69" i="17" s="1"/>
  <c r="AL15" i="17"/>
  <c r="AT15" i="17"/>
  <c r="CF30" i="17"/>
  <c r="AM15" i="17"/>
  <c r="BA64" i="17"/>
  <c r="CL55" i="17"/>
  <c r="DC55" i="17"/>
  <c r="CU63" i="17"/>
  <c r="CU69" i="17" s="1"/>
  <c r="AZ64" i="17"/>
  <c r="BB34" i="17"/>
  <c r="N30" i="17"/>
  <c r="BN53" i="2"/>
  <c r="CN75" i="2"/>
  <c r="CN78" i="2"/>
  <c r="BY25" i="17"/>
  <c r="BI98" i="2"/>
  <c r="BI99" i="2" s="1"/>
  <c r="DE55" i="2"/>
  <c r="DE90" i="2"/>
  <c r="D98" i="2"/>
  <c r="D89" i="2"/>
  <c r="D82" i="2"/>
  <c r="AF98" i="2"/>
  <c r="AF89" i="2"/>
  <c r="AF82" i="2"/>
  <c r="P98" i="2"/>
  <c r="P89" i="2"/>
  <c r="P82" i="2"/>
  <c r="CT34" i="4"/>
  <c r="DB34" i="4"/>
  <c r="N64" i="17"/>
  <c r="CB12" i="17"/>
  <c r="DA63" i="17"/>
  <c r="DA36" i="17" s="1"/>
  <c r="AQ19" i="17"/>
  <c r="CH18" i="17"/>
  <c r="CI19" i="17" s="1"/>
  <c r="AP19" i="17"/>
  <c r="CG18" i="17"/>
  <c r="CG20" i="17" s="1"/>
  <c r="AL19" i="17"/>
  <c r="P63" i="17"/>
  <c r="P12" i="17"/>
  <c r="CR9" i="17"/>
  <c r="CR63" i="17" s="1"/>
  <c r="CR69" i="17" s="1"/>
  <c r="AF63" i="17"/>
  <c r="AJ11" i="17"/>
  <c r="AF10" i="17"/>
  <c r="AF12" i="17"/>
  <c r="AB69" i="17"/>
  <c r="K63" i="17"/>
  <c r="L10" i="17"/>
  <c r="K12" i="17"/>
  <c r="K10" i="17"/>
  <c r="BZ9" i="17"/>
  <c r="AA81" i="2"/>
  <c r="AA67" i="2"/>
  <c r="AI81" i="2"/>
  <c r="AI67" i="2"/>
  <c r="CJ63" i="17"/>
  <c r="CJ56" i="17" s="1"/>
  <c r="CN73" i="3"/>
  <c r="CG137" i="2"/>
  <c r="CG62" i="2"/>
  <c r="CG66" i="2" s="1"/>
  <c r="H98" i="2"/>
  <c r="H82" i="2"/>
  <c r="H89" i="2"/>
  <c r="T98" i="2"/>
  <c r="T82" i="2"/>
  <c r="T89" i="2"/>
  <c r="AJ98" i="2"/>
  <c r="AJ82" i="2"/>
  <c r="AJ89" i="2"/>
  <c r="AR98" i="2"/>
  <c r="AR82" i="2"/>
  <c r="AR89" i="2"/>
  <c r="M113" i="2"/>
  <c r="M99" i="2"/>
  <c r="M116" i="2"/>
  <c r="AC113" i="2"/>
  <c r="AC99" i="2"/>
  <c r="AC116" i="2"/>
  <c r="BA113" i="2"/>
  <c r="BA99" i="2"/>
  <c r="BA116" i="2"/>
  <c r="AU102" i="2"/>
  <c r="AU84" i="2"/>
  <c r="AU94" i="2"/>
  <c r="CW79" i="2"/>
  <c r="CW77" i="2"/>
  <c r="G28" i="17"/>
  <c r="BY27" i="17"/>
  <c r="BY30" i="17" s="1"/>
  <c r="BY60" i="2"/>
  <c r="BY28" i="2"/>
  <c r="BY26" i="2"/>
  <c r="BY41" i="3"/>
  <c r="BY45" i="3"/>
  <c r="BY100" i="17"/>
  <c r="BY103" i="17"/>
  <c r="BY104" i="17"/>
  <c r="BY99" i="17"/>
  <c r="BY124" i="17"/>
  <c r="BY102" i="17"/>
  <c r="BY101" i="17"/>
  <c r="CC84" i="17"/>
  <c r="CC25" i="2"/>
  <c r="CR25" i="2"/>
  <c r="CR26" i="2"/>
  <c r="CR60" i="2"/>
  <c r="CR28" i="2"/>
  <c r="CV25" i="2"/>
  <c r="CV66" i="2"/>
  <c r="CV45" i="3"/>
  <c r="CV41" i="3"/>
  <c r="BO9" i="2"/>
  <c r="CN9" i="2" s="1"/>
  <c r="G27" i="2"/>
  <c r="G68" i="2"/>
  <c r="O27" i="2"/>
  <c r="O68" i="2"/>
  <c r="W27" i="2"/>
  <c r="W68" i="2"/>
  <c r="AE29" i="2"/>
  <c r="AE70" i="2"/>
  <c r="CG29" i="2"/>
  <c r="CG70" i="2"/>
  <c r="CY12" i="17"/>
  <c r="CZ11" i="17"/>
  <c r="CF25" i="17"/>
  <c r="BC36" i="17"/>
  <c r="BC38" i="17" s="1"/>
  <c r="BG40" i="17" s="1"/>
  <c r="BI36" i="17"/>
  <c r="BI38" i="17" s="1"/>
  <c r="BI81" i="17" s="1"/>
  <c r="BI82" i="17" s="1"/>
  <c r="N69" i="17"/>
  <c r="CE12" i="17"/>
  <c r="CI11" i="17"/>
  <c r="CH12" i="17"/>
  <c r="BI65" i="17"/>
  <c r="DB33" i="17"/>
  <c r="CZ41" i="17"/>
  <c r="Q113" i="2"/>
  <c r="Q99" i="2"/>
  <c r="Q116" i="2"/>
  <c r="AG113" i="2"/>
  <c r="AG99" i="2"/>
  <c r="AG116" i="2"/>
  <c r="CB28" i="2"/>
  <c r="CB26" i="2"/>
  <c r="CB12" i="2"/>
  <c r="CB60" i="2"/>
  <c r="CB45" i="3"/>
  <c r="CC41" i="3"/>
  <c r="CC45" i="3"/>
  <c r="CB41" i="3"/>
  <c r="CF28" i="2"/>
  <c r="CF26" i="2"/>
  <c r="CF12" i="2"/>
  <c r="CF60" i="2"/>
  <c r="CF101" i="17"/>
  <c r="CF100" i="17"/>
  <c r="CF99" i="17"/>
  <c r="CF124" i="17"/>
  <c r="CF103" i="17"/>
  <c r="CF102" i="17"/>
  <c r="CF104" i="17"/>
  <c r="CU41" i="3"/>
  <c r="CU45" i="3"/>
  <c r="CY81" i="2"/>
  <c r="CY67" i="2"/>
  <c r="DA81" i="2"/>
  <c r="DA67" i="2"/>
  <c r="DC81" i="2"/>
  <c r="DC67" i="2"/>
  <c r="D83" i="2"/>
  <c r="D69" i="2"/>
  <c r="D143" i="2"/>
  <c r="F147" i="2"/>
  <c r="F85" i="2"/>
  <c r="F71" i="2"/>
  <c r="H143" i="2"/>
  <c r="H83" i="2"/>
  <c r="H69" i="2"/>
  <c r="J147" i="2"/>
  <c r="J146" i="2" s="1"/>
  <c r="J85" i="2"/>
  <c r="J71" i="2"/>
  <c r="L83" i="2"/>
  <c r="L69" i="2"/>
  <c r="L143" i="2"/>
  <c r="N147" i="2"/>
  <c r="N85" i="2"/>
  <c r="N71" i="2"/>
  <c r="P143" i="2"/>
  <c r="P83" i="2"/>
  <c r="P69" i="2"/>
  <c r="R147" i="2"/>
  <c r="R146" i="2" s="1"/>
  <c r="R85" i="2"/>
  <c r="R71" i="2"/>
  <c r="T83" i="2"/>
  <c r="T69" i="2"/>
  <c r="T143" i="2"/>
  <c r="V147" i="2"/>
  <c r="V85" i="2"/>
  <c r="V71" i="2"/>
  <c r="X143" i="2"/>
  <c r="X83" i="2"/>
  <c r="X69" i="2"/>
  <c r="Z147" i="2"/>
  <c r="Z146" i="2" s="1"/>
  <c r="Z85" i="2"/>
  <c r="Z71" i="2"/>
  <c r="AB83" i="2"/>
  <c r="AB69" i="2"/>
  <c r="AB143" i="2"/>
  <c r="AD143" i="2"/>
  <c r="AD142" i="2" s="1"/>
  <c r="AD83" i="2"/>
  <c r="AD69" i="2"/>
  <c r="AF143" i="2"/>
  <c r="AF83" i="2"/>
  <c r="AF69" i="2"/>
  <c r="AH143" i="2"/>
  <c r="AH142" i="2" s="1"/>
  <c r="AH83" i="2"/>
  <c r="AH69" i="2"/>
  <c r="AJ83" i="2"/>
  <c r="AJ69" i="2"/>
  <c r="AJ143" i="2"/>
  <c r="AL143" i="2"/>
  <c r="AL142" i="2" s="1"/>
  <c r="AL83" i="2"/>
  <c r="AL69" i="2"/>
  <c r="AN143" i="2"/>
  <c r="AN83" i="2"/>
  <c r="AN69" i="2"/>
  <c r="AP143" i="2"/>
  <c r="AP142" i="2" s="1"/>
  <c r="AP83" i="2"/>
  <c r="AP69" i="2"/>
  <c r="AR147" i="2"/>
  <c r="AR85" i="2"/>
  <c r="AR71" i="2"/>
  <c r="AT147" i="2"/>
  <c r="AT85" i="2"/>
  <c r="AT71" i="2"/>
  <c r="AV147" i="2"/>
  <c r="AV85" i="2"/>
  <c r="AV71" i="2"/>
  <c r="AX147" i="2"/>
  <c r="AX146" i="2" s="1"/>
  <c r="AX85" i="2"/>
  <c r="AX71" i="2"/>
  <c r="AZ147" i="2"/>
  <c r="AZ85" i="2"/>
  <c r="AZ71" i="2"/>
  <c r="BB147" i="2"/>
  <c r="BB85" i="2"/>
  <c r="BB71" i="2"/>
  <c r="BD147" i="2"/>
  <c r="BD85" i="2"/>
  <c r="BD71" i="2"/>
  <c r="BF147" i="2"/>
  <c r="BF146" i="2" s="1"/>
  <c r="BF85" i="2"/>
  <c r="BF71" i="2"/>
  <c r="BH147" i="2"/>
  <c r="BH146" i="2" s="1"/>
  <c r="BH85" i="2"/>
  <c r="BH71" i="2"/>
  <c r="BJ147" i="2"/>
  <c r="BJ85" i="2"/>
  <c r="BJ71" i="2"/>
  <c r="CJ68" i="2"/>
  <c r="CJ27" i="2"/>
  <c r="CY70" i="2"/>
  <c r="CY29" i="2"/>
  <c r="DC68" i="2"/>
  <c r="DC27" i="2"/>
  <c r="I147" i="2"/>
  <c r="I146" i="2" s="1"/>
  <c r="I85" i="2"/>
  <c r="I71" i="2"/>
  <c r="Q147" i="2"/>
  <c r="Q85" i="2"/>
  <c r="Q71" i="2"/>
  <c r="Y147" i="2"/>
  <c r="Y85" i="2"/>
  <c r="Y71" i="2"/>
  <c r="AG147" i="2"/>
  <c r="AG85" i="2"/>
  <c r="AG71" i="2"/>
  <c r="AO147" i="2"/>
  <c r="AO85" i="2"/>
  <c r="AO71" i="2"/>
  <c r="AW147" i="2"/>
  <c r="AW85" i="2"/>
  <c r="AW71" i="2"/>
  <c r="BE147" i="2"/>
  <c r="BE85" i="2"/>
  <c r="BE71" i="2"/>
  <c r="CC54" i="3"/>
  <c r="CB54" i="3"/>
  <c r="BZ28" i="2"/>
  <c r="BZ26" i="2"/>
  <c r="BZ12" i="2"/>
  <c r="BZ60" i="2"/>
  <c r="BZ84" i="17"/>
  <c r="BZ66" i="2"/>
  <c r="BZ25" i="2"/>
  <c r="BZ104" i="17"/>
  <c r="BZ101" i="17"/>
  <c r="BZ99" i="17"/>
  <c r="BZ103" i="17"/>
  <c r="BZ100" i="17"/>
  <c r="BZ102" i="17"/>
  <c r="BZ124" i="17"/>
  <c r="CD84" i="17"/>
  <c r="CD25" i="2"/>
  <c r="CS66" i="2"/>
  <c r="CS25" i="2"/>
  <c r="CW66" i="2"/>
  <c r="CW25" i="2"/>
  <c r="CH70" i="2"/>
  <c r="CH29" i="2"/>
  <c r="CL27" i="2"/>
  <c r="DA70" i="2"/>
  <c r="DA29" i="2"/>
  <c r="CW20" i="2"/>
  <c r="CF40" i="2"/>
  <c r="CF64" i="2"/>
  <c r="CF49" i="2"/>
  <c r="CW51" i="2"/>
  <c r="BO47" i="2"/>
  <c r="CN47" i="2" s="1"/>
  <c r="DE53" i="2"/>
  <c r="BO53" i="2"/>
  <c r="CN54" i="2"/>
  <c r="L98" i="2"/>
  <c r="L82" i="2"/>
  <c r="L89" i="2"/>
  <c r="AB98" i="2"/>
  <c r="AB82" i="2"/>
  <c r="AB89" i="2"/>
  <c r="AN98" i="2"/>
  <c r="AN82" i="2"/>
  <c r="AN89" i="2"/>
  <c r="BE116" i="2"/>
  <c r="CZ82" i="2"/>
  <c r="CZ98" i="2"/>
  <c r="CZ89" i="2"/>
  <c r="BO74" i="2"/>
  <c r="CN74" i="2" s="1"/>
  <c r="BN73" i="2"/>
  <c r="CS79" i="2"/>
  <c r="CS77" i="2"/>
  <c r="CY6" i="4"/>
  <c r="CY6" i="3"/>
  <c r="CZ7" i="2"/>
  <c r="CA12" i="2"/>
  <c r="CA26" i="2"/>
  <c r="CA60" i="2"/>
  <c r="CA28" i="2"/>
  <c r="CA100" i="17"/>
  <c r="CA124" i="17"/>
  <c r="CA104" i="17"/>
  <c r="CA101" i="17"/>
  <c r="CA103" i="17"/>
  <c r="CA102" i="17"/>
  <c r="CA99" i="17"/>
  <c r="CE41" i="3"/>
  <c r="CE45" i="3"/>
  <c r="CE101" i="17"/>
  <c r="CE100" i="17"/>
  <c r="CE124" i="17"/>
  <c r="CE104" i="17"/>
  <c r="CE102" i="17"/>
  <c r="CE99" i="17"/>
  <c r="CE103" i="17"/>
  <c r="CT25" i="2"/>
  <c r="CT66" i="2"/>
  <c r="K29" i="2"/>
  <c r="K70" i="2"/>
  <c r="S27" i="2"/>
  <c r="S68" i="2"/>
  <c r="AA27" i="2"/>
  <c r="AA68" i="2"/>
  <c r="CI27" i="2"/>
  <c r="CX29" i="2"/>
  <c r="CX70" i="2"/>
  <c r="DB29" i="2"/>
  <c r="CF44" i="3"/>
  <c r="CF43" i="3"/>
  <c r="CF42" i="3" s="1"/>
  <c r="CF20" i="2"/>
  <c r="K81" i="2"/>
  <c r="K67" i="2"/>
  <c r="S81" i="2"/>
  <c r="S67" i="2"/>
  <c r="CK85" i="17"/>
  <c r="CK81" i="2"/>
  <c r="CK67" i="2"/>
  <c r="BZ64" i="2"/>
  <c r="BZ40" i="2"/>
  <c r="CW63" i="2"/>
  <c r="CW38" i="2"/>
  <c r="CD51" i="2"/>
  <c r="CU49" i="2"/>
  <c r="J98" i="2"/>
  <c r="J82" i="2"/>
  <c r="J89" i="2"/>
  <c r="R98" i="2"/>
  <c r="R82" i="2"/>
  <c r="R89" i="2"/>
  <c r="Z98" i="2"/>
  <c r="Z82" i="2"/>
  <c r="Z89" i="2"/>
  <c r="AH98" i="2"/>
  <c r="AH82" i="2"/>
  <c r="AH89" i="2"/>
  <c r="AP98" i="2"/>
  <c r="AP82" i="2"/>
  <c r="AP89" i="2"/>
  <c r="BY22" i="2"/>
  <c r="CV44" i="3"/>
  <c r="CV43" i="3"/>
  <c r="CV42" i="3" s="1"/>
  <c r="CA137" i="2"/>
  <c r="CE64" i="2"/>
  <c r="CE40" i="2"/>
  <c r="CT38" i="2"/>
  <c r="CT63" i="2"/>
  <c r="CT64" i="2"/>
  <c r="CT40" i="2"/>
  <c r="CT137" i="2"/>
  <c r="BY49" i="2"/>
  <c r="CK49" i="2"/>
  <c r="CK63" i="2"/>
  <c r="CT51" i="2"/>
  <c r="DB51" i="2"/>
  <c r="DB64" i="2"/>
  <c r="DB70" i="2" s="1"/>
  <c r="AV98" i="2"/>
  <c r="AV82" i="2"/>
  <c r="AV89" i="2"/>
  <c r="BD98" i="2"/>
  <c r="BD82" i="2"/>
  <c r="BD89" i="2"/>
  <c r="CC25" i="17"/>
  <c r="CB40" i="2"/>
  <c r="CB64" i="2"/>
  <c r="CL63" i="2"/>
  <c r="CL38" i="2"/>
  <c r="CU64" i="2"/>
  <c r="CU40" i="2"/>
  <c r="CB51" i="2"/>
  <c r="CS49" i="2"/>
  <c r="BQ55" i="2"/>
  <c r="BP53" i="2"/>
  <c r="BQ56" i="2"/>
  <c r="I113" i="2"/>
  <c r="I99" i="2"/>
  <c r="I116" i="2"/>
  <c r="U113" i="2"/>
  <c r="U99" i="2"/>
  <c r="U116" i="2"/>
  <c r="AS113" i="2"/>
  <c r="AS99" i="2"/>
  <c r="AS116" i="2"/>
  <c r="BI116" i="2"/>
  <c r="BQ90" i="2"/>
  <c r="G9" i="17"/>
  <c r="BY84" i="17"/>
  <c r="BY25" i="2"/>
  <c r="BY66" i="2"/>
  <c r="CC12" i="2"/>
  <c r="CC28" i="2"/>
  <c r="CC26" i="2"/>
  <c r="CC60" i="2"/>
  <c r="CC103" i="17"/>
  <c r="CC124" i="17"/>
  <c r="CC104" i="17"/>
  <c r="CC99" i="17"/>
  <c r="CC100" i="17"/>
  <c r="CC102" i="17"/>
  <c r="CC101" i="17"/>
  <c r="CR45" i="3"/>
  <c r="CR41" i="3"/>
  <c r="CV26" i="2"/>
  <c r="CV12" i="2"/>
  <c r="CV60" i="2"/>
  <c r="CV28" i="2"/>
  <c r="G29" i="2"/>
  <c r="G70" i="2"/>
  <c r="O29" i="2"/>
  <c r="O70" i="2"/>
  <c r="W29" i="2"/>
  <c r="W70" i="2"/>
  <c r="AE27" i="2"/>
  <c r="AE68" i="2"/>
  <c r="CG27" i="2"/>
  <c r="CG68" i="2"/>
  <c r="CK27" i="2"/>
  <c r="CZ29" i="2"/>
  <c r="CZ70" i="2"/>
  <c r="CB44" i="3"/>
  <c r="CB43" i="3"/>
  <c r="CC44" i="3"/>
  <c r="CC43" i="3"/>
  <c r="CB20" i="2"/>
  <c r="CU22" i="2"/>
  <c r="DE17" i="2"/>
  <c r="CX81" i="2"/>
  <c r="CX67" i="2"/>
  <c r="E143" i="2"/>
  <c r="E142" i="2" s="1"/>
  <c r="E83" i="2"/>
  <c r="E69" i="2"/>
  <c r="M143" i="2"/>
  <c r="M83" i="2"/>
  <c r="M69" i="2"/>
  <c r="U143" i="2"/>
  <c r="U83" i="2"/>
  <c r="U69" i="2"/>
  <c r="AC143" i="2"/>
  <c r="AC83" i="2"/>
  <c r="AC69" i="2"/>
  <c r="AK143" i="2"/>
  <c r="AK83" i="2"/>
  <c r="AK69" i="2"/>
  <c r="AS143" i="2"/>
  <c r="AS83" i="2"/>
  <c r="AS69" i="2"/>
  <c r="BA143" i="2"/>
  <c r="BA83" i="2"/>
  <c r="BA69" i="2"/>
  <c r="BI143" i="2"/>
  <c r="BI142" i="2" s="1"/>
  <c r="BI83" i="2"/>
  <c r="BI69" i="2"/>
  <c r="AQ147" i="2"/>
  <c r="AQ85" i="2"/>
  <c r="AQ71" i="2"/>
  <c r="AY147" i="2"/>
  <c r="AY146" i="2" s="1"/>
  <c r="AY85" i="2"/>
  <c r="AY71" i="2"/>
  <c r="BG147" i="2"/>
  <c r="BG146" i="2" s="1"/>
  <c r="BG85" i="2"/>
  <c r="BG71" i="2"/>
  <c r="CD62" i="2"/>
  <c r="CD66" i="2" s="1"/>
  <c r="CD63" i="2"/>
  <c r="CD38" i="2"/>
  <c r="CS63" i="2"/>
  <c r="CS38" i="2"/>
  <c r="BZ49" i="2"/>
  <c r="BN46" i="2"/>
  <c r="F98" i="2"/>
  <c r="F82" i="2"/>
  <c r="F89" i="2"/>
  <c r="N98" i="2"/>
  <c r="N82" i="2"/>
  <c r="N89" i="2"/>
  <c r="V98" i="2"/>
  <c r="V82" i="2"/>
  <c r="V89" i="2"/>
  <c r="AD98" i="2"/>
  <c r="AD82" i="2"/>
  <c r="AD89" i="2"/>
  <c r="AL98" i="2"/>
  <c r="AL82" i="2"/>
  <c r="AL89" i="2"/>
  <c r="AT98" i="2"/>
  <c r="AT82" i="2"/>
  <c r="AT89" i="2"/>
  <c r="CD79" i="2"/>
  <c r="CD77" i="2"/>
  <c r="BQ75" i="2"/>
  <c r="BQ76" i="2"/>
  <c r="BQ78" i="2"/>
  <c r="BN92" i="2"/>
  <c r="BM123" i="2"/>
  <c r="BO125" i="2"/>
  <c r="CB76" i="3"/>
  <c r="CB74" i="3"/>
  <c r="CC74" i="3"/>
  <c r="CC76" i="3"/>
  <c r="CG76" i="3"/>
  <c r="CG74" i="3"/>
  <c r="CI76" i="3"/>
  <c r="CI74" i="3"/>
  <c r="CK74" i="3"/>
  <c r="CK76" i="3"/>
  <c r="BM44" i="4"/>
  <c r="BM62" i="3" s="1"/>
  <c r="BN131" i="2"/>
  <c r="DD44" i="4"/>
  <c r="DD46" i="4" s="1"/>
  <c r="CE20" i="2"/>
  <c r="CE22" i="2"/>
  <c r="CE44" i="3"/>
  <c r="CE43" i="3"/>
  <c r="CE42" i="3" s="1"/>
  <c r="CT22" i="2"/>
  <c r="BY38" i="2"/>
  <c r="BY63" i="2"/>
  <c r="BY64" i="2"/>
  <c r="BY40" i="2"/>
  <c r="BY137" i="2"/>
  <c r="CC62" i="2"/>
  <c r="CC66" i="2" s="1"/>
  <c r="CR38" i="2"/>
  <c r="CR63" i="2"/>
  <c r="CR62" i="2"/>
  <c r="CR66" i="2" s="1"/>
  <c r="CV64" i="2"/>
  <c r="CV40" i="2"/>
  <c r="CV38" i="2"/>
  <c r="CV63" i="2"/>
  <c r="CZ38" i="2"/>
  <c r="CZ63" i="2"/>
  <c r="CZ68" i="2" s="1"/>
  <c r="CA51" i="2"/>
  <c r="CE49" i="2"/>
  <c r="CR51" i="2"/>
  <c r="CV49" i="2"/>
  <c r="BC143" i="2"/>
  <c r="BC83" i="2"/>
  <c r="BC69" i="2"/>
  <c r="BB98" i="2"/>
  <c r="BB82" i="2"/>
  <c r="BB89" i="2"/>
  <c r="BJ98" i="2"/>
  <c r="BJ82" i="2"/>
  <c r="BJ89" i="2"/>
  <c r="BN110" i="2"/>
  <c r="BO110" i="2" s="1"/>
  <c r="BP110" i="2" s="1"/>
  <c r="CI82" i="2"/>
  <c r="CI98" i="2"/>
  <c r="CI89" i="2"/>
  <c r="AT65" i="17"/>
  <c r="CB25" i="17"/>
  <c r="AQ89" i="2"/>
  <c r="AQ98" i="2"/>
  <c r="AQ82" i="2"/>
  <c r="AY89" i="2"/>
  <c r="AY98" i="2"/>
  <c r="AY82" i="2"/>
  <c r="BG89" i="2"/>
  <c r="BG98" i="2"/>
  <c r="BG82" i="2"/>
  <c r="CB30" i="17"/>
  <c r="CA25" i="17"/>
  <c r="CD25" i="17"/>
  <c r="E113" i="2"/>
  <c r="E99" i="2"/>
  <c r="E116" i="2"/>
  <c r="Y113" i="2"/>
  <c r="Y99" i="2"/>
  <c r="Y116" i="2"/>
  <c r="CB84" i="17"/>
  <c r="CB66" i="2"/>
  <c r="CB25" i="2"/>
  <c r="CB103" i="17"/>
  <c r="CB100" i="17"/>
  <c r="CB124" i="17"/>
  <c r="CB102" i="17"/>
  <c r="CB99" i="17"/>
  <c r="CB101" i="17"/>
  <c r="CB104" i="17"/>
  <c r="CF84" i="17"/>
  <c r="CF66" i="2"/>
  <c r="CF25" i="2"/>
  <c r="CF45" i="3"/>
  <c r="CF41" i="3"/>
  <c r="CH85" i="17"/>
  <c r="CH81" i="2"/>
  <c r="CH67" i="2"/>
  <c r="CJ85" i="17"/>
  <c r="CJ81" i="2"/>
  <c r="CJ67" i="2"/>
  <c r="CL85" i="17"/>
  <c r="CL81" i="2"/>
  <c r="CL67" i="2"/>
  <c r="CU28" i="2"/>
  <c r="CU26" i="2"/>
  <c r="CU60" i="2"/>
  <c r="CU25" i="2"/>
  <c r="CJ70" i="2"/>
  <c r="CJ29" i="2"/>
  <c r="CY27" i="2"/>
  <c r="DC70" i="2"/>
  <c r="DC29" i="2"/>
  <c r="BM109" i="2"/>
  <c r="BM111" i="2" s="1"/>
  <c r="BM101" i="2" s="1"/>
  <c r="BN18" i="2"/>
  <c r="K28" i="17"/>
  <c r="BZ27" i="17"/>
  <c r="BZ30" i="17" s="1"/>
  <c r="BZ45" i="3"/>
  <c r="BZ41" i="3"/>
  <c r="CD28" i="2"/>
  <c r="CD26" i="2"/>
  <c r="CD60" i="2"/>
  <c r="CD45" i="3"/>
  <c r="CD41" i="3"/>
  <c r="CD101" i="17"/>
  <c r="CD100" i="17"/>
  <c r="CD102" i="17"/>
  <c r="CD103" i="17"/>
  <c r="CD104" i="17"/>
  <c r="CD99" i="17"/>
  <c r="CD124" i="17"/>
  <c r="CS28" i="2"/>
  <c r="CS26" i="2"/>
  <c r="CS60" i="2"/>
  <c r="CS41" i="3"/>
  <c r="CS45" i="3"/>
  <c r="CW28" i="2"/>
  <c r="CW26" i="2"/>
  <c r="CW12" i="2"/>
  <c r="CW60" i="2"/>
  <c r="CW41" i="3"/>
  <c r="CW45" i="3"/>
  <c r="D147" i="2"/>
  <c r="D85" i="2"/>
  <c r="D71" i="2"/>
  <c r="F143" i="2"/>
  <c r="F142" i="2" s="1"/>
  <c r="F83" i="2"/>
  <c r="F69" i="2"/>
  <c r="H147" i="2"/>
  <c r="H85" i="2"/>
  <c r="H71" i="2"/>
  <c r="J143" i="2"/>
  <c r="J142" i="2" s="1"/>
  <c r="J83" i="2"/>
  <c r="J69" i="2"/>
  <c r="L147" i="2"/>
  <c r="L85" i="2"/>
  <c r="L71" i="2"/>
  <c r="N143" i="2"/>
  <c r="N142" i="2" s="1"/>
  <c r="N83" i="2"/>
  <c r="N69" i="2"/>
  <c r="P147" i="2"/>
  <c r="P85" i="2"/>
  <c r="P71" i="2"/>
  <c r="R143" i="2"/>
  <c r="R142" i="2" s="1"/>
  <c r="R83" i="2"/>
  <c r="R69" i="2"/>
  <c r="T147" i="2"/>
  <c r="T85" i="2"/>
  <c r="T71" i="2"/>
  <c r="V143" i="2"/>
  <c r="V142" i="2" s="1"/>
  <c r="V83" i="2"/>
  <c r="V69" i="2"/>
  <c r="X147" i="2"/>
  <c r="X85" i="2"/>
  <c r="X71" i="2"/>
  <c r="Z143" i="2"/>
  <c r="Z142" i="2" s="1"/>
  <c r="Z83" i="2"/>
  <c r="Z69" i="2"/>
  <c r="AB147" i="2"/>
  <c r="AB85" i="2"/>
  <c r="AB71" i="2"/>
  <c r="AD147" i="2"/>
  <c r="AD85" i="2"/>
  <c r="AD71" i="2"/>
  <c r="AF147" i="2"/>
  <c r="AF85" i="2"/>
  <c r="AF71" i="2"/>
  <c r="AH147" i="2"/>
  <c r="AH146" i="2" s="1"/>
  <c r="AH85" i="2"/>
  <c r="AH71" i="2"/>
  <c r="AJ147" i="2"/>
  <c r="AJ85" i="2"/>
  <c r="AJ71" i="2"/>
  <c r="AL147" i="2"/>
  <c r="AL85" i="2"/>
  <c r="AL71" i="2"/>
  <c r="AN147" i="2"/>
  <c r="AN85" i="2"/>
  <c r="AN71" i="2"/>
  <c r="AP147" i="2"/>
  <c r="AP146" i="2" s="1"/>
  <c r="AP85" i="2"/>
  <c r="AP71" i="2"/>
  <c r="AR83" i="2"/>
  <c r="AR69" i="2"/>
  <c r="AR143" i="2"/>
  <c r="AT143" i="2"/>
  <c r="AT142" i="2" s="1"/>
  <c r="AT83" i="2"/>
  <c r="AT69" i="2"/>
  <c r="AV143" i="2"/>
  <c r="AV83" i="2"/>
  <c r="AV69" i="2"/>
  <c r="AX143" i="2"/>
  <c r="AX142" i="2" s="1"/>
  <c r="AX83" i="2"/>
  <c r="AX69" i="2"/>
  <c r="AZ83" i="2"/>
  <c r="AZ69" i="2"/>
  <c r="AZ143" i="2"/>
  <c r="BB143" i="2"/>
  <c r="BB142" i="2" s="1"/>
  <c r="BB83" i="2"/>
  <c r="BB69" i="2"/>
  <c r="BD143" i="2"/>
  <c r="BD83" i="2"/>
  <c r="BD69" i="2"/>
  <c r="BF143" i="2"/>
  <c r="BF142" i="2" s="1"/>
  <c r="BF83" i="2"/>
  <c r="BF69" i="2"/>
  <c r="BH83" i="2"/>
  <c r="BH69" i="2"/>
  <c r="BH143" i="2"/>
  <c r="BH142" i="2" s="1"/>
  <c r="BJ143" i="2"/>
  <c r="BJ142" i="2" s="1"/>
  <c r="BJ83" i="2"/>
  <c r="BJ69" i="2"/>
  <c r="CH68" i="2"/>
  <c r="CH27" i="2"/>
  <c r="CL70" i="2"/>
  <c r="CL29" i="2"/>
  <c r="DA68" i="2"/>
  <c r="DA27" i="2"/>
  <c r="CS20" i="2"/>
  <c r="E147" i="2"/>
  <c r="E146" i="2" s="1"/>
  <c r="E85" i="2"/>
  <c r="E71" i="2"/>
  <c r="M147" i="2"/>
  <c r="M85" i="2"/>
  <c r="M71" i="2"/>
  <c r="U147" i="2"/>
  <c r="U85" i="2"/>
  <c r="U71" i="2"/>
  <c r="AC147" i="2"/>
  <c r="AC85" i="2"/>
  <c r="AC71" i="2"/>
  <c r="AK147" i="2"/>
  <c r="AK85" i="2"/>
  <c r="AK71" i="2"/>
  <c r="AS147" i="2"/>
  <c r="AS85" i="2"/>
  <c r="AS71" i="2"/>
  <c r="BA147" i="2"/>
  <c r="BA85" i="2"/>
  <c r="BA71" i="2"/>
  <c r="BI147" i="2"/>
  <c r="BI146" i="2" s="1"/>
  <c r="BI85" i="2"/>
  <c r="BI71" i="2"/>
  <c r="CF63" i="2"/>
  <c r="CF38" i="2"/>
  <c r="BN36" i="2"/>
  <c r="BO36" i="2" s="1"/>
  <c r="BP36" i="2" s="1"/>
  <c r="CW49" i="2"/>
  <c r="AW113" i="2"/>
  <c r="AW99" i="2"/>
  <c r="AW116" i="2"/>
  <c r="AY102" i="2"/>
  <c r="AY84" i="2"/>
  <c r="AY94" i="2"/>
  <c r="BM79" i="2"/>
  <c r="BM77" i="2"/>
  <c r="CR76" i="3"/>
  <c r="CR74" i="3"/>
  <c r="CT76" i="3"/>
  <c r="CT74" i="3"/>
  <c r="CV76" i="3"/>
  <c r="CV74" i="3"/>
  <c r="CX74" i="3"/>
  <c r="CX76" i="3"/>
  <c r="CZ76" i="3"/>
  <c r="CZ74" i="3"/>
  <c r="CA84" i="17"/>
  <c r="CA25" i="2"/>
  <c r="CA66" i="2"/>
  <c r="CA41" i="3"/>
  <c r="CA45" i="3"/>
  <c r="CE84" i="17"/>
  <c r="CE25" i="2"/>
  <c r="CE66" i="2"/>
  <c r="CE26" i="2"/>
  <c r="CE12" i="2"/>
  <c r="CE60" i="2"/>
  <c r="CE28" i="2"/>
  <c r="CT60" i="2"/>
  <c r="CT28" i="2"/>
  <c r="CT26" i="2"/>
  <c r="CT45" i="3"/>
  <c r="CT41" i="3"/>
  <c r="K27" i="2"/>
  <c r="K68" i="2"/>
  <c r="S29" i="2"/>
  <c r="S70" i="2"/>
  <c r="AA29" i="2"/>
  <c r="AA70" i="2"/>
  <c r="AI27" i="2"/>
  <c r="AI68" i="2"/>
  <c r="AI29" i="2"/>
  <c r="AI70" i="2"/>
  <c r="CI29" i="2"/>
  <c r="CI70" i="2"/>
  <c r="CX27" i="2"/>
  <c r="CX68" i="2"/>
  <c r="DB27" i="2"/>
  <c r="DB81" i="2"/>
  <c r="DB67" i="2"/>
  <c r="I143" i="2"/>
  <c r="I142" i="2" s="1"/>
  <c r="I83" i="2"/>
  <c r="I69" i="2"/>
  <c r="Q143" i="2"/>
  <c r="Q83" i="2"/>
  <c r="Q69" i="2"/>
  <c r="Y143" i="2"/>
  <c r="Y83" i="2"/>
  <c r="Y69" i="2"/>
  <c r="AG143" i="2"/>
  <c r="AG83" i="2"/>
  <c r="AG69" i="2"/>
  <c r="AO143" i="2"/>
  <c r="AO83" i="2"/>
  <c r="AO69" i="2"/>
  <c r="AW143" i="2"/>
  <c r="AW83" i="2"/>
  <c r="AW69" i="2"/>
  <c r="BE143" i="2"/>
  <c r="BE83" i="2"/>
  <c r="BE69" i="2"/>
  <c r="AM147" i="2"/>
  <c r="AM85" i="2"/>
  <c r="AM71" i="2"/>
  <c r="AU147" i="2"/>
  <c r="AU85" i="2"/>
  <c r="AU71" i="2"/>
  <c r="BC147" i="2"/>
  <c r="BC85" i="2"/>
  <c r="BC71" i="2"/>
  <c r="BZ63" i="2"/>
  <c r="BZ38" i="2"/>
  <c r="CW40" i="2"/>
  <c r="CW64" i="2"/>
  <c r="BO35" i="2"/>
  <c r="BP35" i="2" s="1"/>
  <c r="CD49" i="2"/>
  <c r="CU51" i="2"/>
  <c r="BN58" i="2"/>
  <c r="BO58" i="2" s="1"/>
  <c r="BP58" i="2" s="1"/>
  <c r="BY44" i="3"/>
  <c r="BY43" i="3"/>
  <c r="BY42" i="3" s="1"/>
  <c r="CR44" i="3"/>
  <c r="CR43" i="3"/>
  <c r="CR42" i="3" s="1"/>
  <c r="CA64" i="2"/>
  <c r="CA40" i="2"/>
  <c r="CA38" i="2"/>
  <c r="CA63" i="2"/>
  <c r="CE38" i="2"/>
  <c r="CE63" i="2"/>
  <c r="CI38" i="2"/>
  <c r="CI63" i="2"/>
  <c r="CK51" i="2"/>
  <c r="CK64" i="2"/>
  <c r="CK70" i="2" s="1"/>
  <c r="CT49" i="2"/>
  <c r="DB49" i="2"/>
  <c r="DB63" i="2"/>
  <c r="DB68" i="2" s="1"/>
  <c r="AZ98" i="2"/>
  <c r="AZ82" i="2"/>
  <c r="AZ89" i="2"/>
  <c r="BH98" i="2"/>
  <c r="BH82" i="2"/>
  <c r="BH89" i="2"/>
  <c r="BY76" i="3"/>
  <c r="BY74" i="3"/>
  <c r="DB76" i="3"/>
  <c r="DB74" i="3"/>
  <c r="CB63" i="2"/>
  <c r="CB38" i="2"/>
  <c r="CU62" i="2"/>
  <c r="CU66" i="2" s="1"/>
  <c r="CU63" i="2"/>
  <c r="CU38" i="2"/>
  <c r="CS51" i="2"/>
  <c r="CK29" i="2"/>
  <c r="CZ27" i="2"/>
  <c r="CB22" i="2"/>
  <c r="CU20" i="2"/>
  <c r="CU44" i="3"/>
  <c r="CU43" i="3"/>
  <c r="CU42" i="3" s="1"/>
  <c r="BO16" i="2"/>
  <c r="BN107" i="2"/>
  <c r="BN10" i="4" s="1"/>
  <c r="BQ17" i="2"/>
  <c r="G81" i="2"/>
  <c r="G67" i="2"/>
  <c r="O81" i="2"/>
  <c r="O67" i="2"/>
  <c r="W81" i="2"/>
  <c r="W67" i="2"/>
  <c r="AE81" i="2"/>
  <c r="AE67" i="2"/>
  <c r="CD64" i="2"/>
  <c r="CD40" i="2"/>
  <c r="CS40" i="2"/>
  <c r="CS64" i="2"/>
  <c r="CY63" i="2"/>
  <c r="CY68" i="2" s="1"/>
  <c r="CY38" i="2"/>
  <c r="BZ51" i="2"/>
  <c r="CB79" i="2"/>
  <c r="CB77" i="2"/>
  <c r="CF79" i="2"/>
  <c r="CF77" i="2"/>
  <c r="DE75" i="2"/>
  <c r="DE76" i="2"/>
  <c r="DE78" i="2"/>
  <c r="DD122" i="2"/>
  <c r="DD127" i="2" s="1"/>
  <c r="CM122" i="2"/>
  <c r="CM127" i="2" s="1"/>
  <c r="CA20" i="2"/>
  <c r="CA22" i="2"/>
  <c r="CA44" i="3"/>
  <c r="CA43" i="3"/>
  <c r="CA42" i="3" s="1"/>
  <c r="CT20" i="2"/>
  <c r="CT44" i="3"/>
  <c r="CT43" i="3"/>
  <c r="CT42" i="3" s="1"/>
  <c r="CC38" i="2"/>
  <c r="CC63" i="2"/>
  <c r="CC64" i="2"/>
  <c r="CC40" i="2"/>
  <c r="CR64" i="2"/>
  <c r="CR40" i="2"/>
  <c r="CV137" i="2"/>
  <c r="CA49" i="2"/>
  <c r="CE51" i="2"/>
  <c r="CR49" i="2"/>
  <c r="CV51" i="2"/>
  <c r="AX98" i="2"/>
  <c r="AX82" i="2"/>
  <c r="AX89" i="2"/>
  <c r="BF98" i="2"/>
  <c r="BF82" i="2"/>
  <c r="BF89" i="2"/>
  <c r="BP126" i="2"/>
  <c r="BO73" i="3"/>
  <c r="DE126" i="2"/>
  <c r="DC76" i="3"/>
  <c r="DC74" i="3"/>
  <c r="BG102" i="2"/>
  <c r="BG84" i="2"/>
  <c r="BG94" i="2"/>
  <c r="AM89" i="2"/>
  <c r="AM98" i="2"/>
  <c r="AM82" i="2"/>
  <c r="AU89" i="2"/>
  <c r="AU98" i="2"/>
  <c r="AU82" i="2"/>
  <c r="BC89" i="2"/>
  <c r="BC98" i="2"/>
  <c r="BC82" i="2"/>
  <c r="CC30" i="17"/>
  <c r="CD30" i="17"/>
  <c r="BZ25" i="17"/>
  <c r="AZ65" i="17"/>
  <c r="AV41" i="17"/>
  <c r="BD34" i="17"/>
  <c r="BD63" i="17"/>
  <c r="BD65" i="17" s="1"/>
  <c r="BH63" i="17"/>
  <c r="BI64" i="17" s="1"/>
  <c r="AX63" i="17"/>
  <c r="BB35" i="17"/>
  <c r="BC34" i="17"/>
  <c r="BB63" i="17"/>
  <c r="CL33" i="17"/>
  <c r="BI34" i="17"/>
  <c r="BH34" i="17"/>
  <c r="BJ69" i="17"/>
  <c r="BJ64" i="17"/>
  <c r="BJ36" i="17"/>
  <c r="BJ38" i="17" s="1"/>
  <c r="CJ46" i="17"/>
  <c r="CA63" i="17"/>
  <c r="CA69" i="17" s="1"/>
  <c r="DB35" i="17"/>
  <c r="DC33" i="17"/>
  <c r="BF34" i="17"/>
  <c r="CE11" i="17"/>
  <c r="BH35" i="17"/>
  <c r="BD35" i="17"/>
  <c r="BF35" i="17"/>
  <c r="BF63" i="17"/>
  <c r="CM33" i="17"/>
  <c r="BJ34" i="17"/>
  <c r="BJ35" i="17"/>
  <c r="CK46" i="17"/>
  <c r="M64" i="17"/>
  <c r="CD63" i="17"/>
  <c r="CD76" i="17" s="1"/>
  <c r="AW64" i="17"/>
  <c r="AV65" i="17"/>
  <c r="AV76" i="17"/>
  <c r="AV79" i="17" s="1"/>
  <c r="AH69" i="17"/>
  <c r="AH65" i="17"/>
  <c r="AI64" i="17"/>
  <c r="CK35" i="17"/>
  <c r="AL65" i="17"/>
  <c r="CC73" i="17"/>
  <c r="CY69" i="17"/>
  <c r="CY65" i="17"/>
  <c r="CV69" i="17"/>
  <c r="CV65" i="17"/>
  <c r="CZ69" i="17"/>
  <c r="CZ65" i="17"/>
  <c r="CZ36" i="17"/>
  <c r="BA81" i="17"/>
  <c r="BA82" i="17" s="1"/>
  <c r="BA41" i="17"/>
  <c r="BA40" i="17"/>
  <c r="BA39" i="17"/>
  <c r="CM58" i="17"/>
  <c r="CL77" i="17"/>
  <c r="CK76" i="17"/>
  <c r="CI69" i="17"/>
  <c r="CI65" i="17"/>
  <c r="CI73" i="17"/>
  <c r="CI76" i="17"/>
  <c r="CH15" i="17"/>
  <c r="CH16" i="17"/>
  <c r="CI20" i="17"/>
  <c r="AG63" i="17"/>
  <c r="AG12" i="17"/>
  <c r="AH10" i="17"/>
  <c r="CF9" i="17"/>
  <c r="AG11" i="17"/>
  <c r="AG10" i="17"/>
  <c r="CW9" i="17"/>
  <c r="AK11" i="17"/>
  <c r="CH76" i="17"/>
  <c r="CH73" i="17"/>
  <c r="CH69" i="17"/>
  <c r="CH65" i="17"/>
  <c r="BG81" i="17"/>
  <c r="BG82" i="17" s="1"/>
  <c r="BG41" i="17"/>
  <c r="CZ56" i="17"/>
  <c r="BE77" i="17"/>
  <c r="BI77" i="17"/>
  <c r="DA65" i="17"/>
  <c r="CG69" i="17"/>
  <c r="CG73" i="17"/>
  <c r="CG76" i="17"/>
  <c r="BQ41" i="17"/>
  <c r="AW81" i="17"/>
  <c r="AW82" i="17" s="1"/>
  <c r="AW41" i="17"/>
  <c r="AW39" i="17"/>
  <c r="BC40" i="17"/>
  <c r="BE81" i="17"/>
  <c r="BE82" i="17" s="1"/>
  <c r="BE41" i="17"/>
  <c r="BE40" i="17"/>
  <c r="CZ46" i="17"/>
  <c r="CE69" i="17"/>
  <c r="CE76" i="17"/>
  <c r="CE73" i="17"/>
  <c r="CI16" i="17"/>
  <c r="CI15" i="17"/>
  <c r="CH19" i="17"/>
  <c r="CW30" i="17"/>
  <c r="CW29" i="17"/>
  <c r="CX29" i="17"/>
  <c r="CB73" i="17"/>
  <c r="CB69" i="17"/>
  <c r="CX69" i="17"/>
  <c r="AZ81" i="17"/>
  <c r="AZ82" i="17" s="1"/>
  <c r="AZ40" i="17"/>
  <c r="AZ39" i="17"/>
  <c r="AZ41" i="17"/>
  <c r="CM48" i="17"/>
  <c r="CK56" i="17"/>
  <c r="CJ65" i="17"/>
  <c r="DB72" i="4"/>
  <c r="DB70" i="4" s="1"/>
  <c r="CD57" i="4"/>
  <c r="CD58" i="4" s="1"/>
  <c r="CD34" i="4"/>
  <c r="CL57" i="4"/>
  <c r="CL58" i="4" s="1"/>
  <c r="CL34" i="4"/>
  <c r="CS57" i="4"/>
  <c r="CS58" i="4" s="1"/>
  <c r="CS34" i="4"/>
  <c r="DA57" i="4"/>
  <c r="DA58" i="4" s="1"/>
  <c r="DA34" i="4"/>
  <c r="CY57" i="4"/>
  <c r="CY58" i="4" s="1"/>
  <c r="CY34" i="4"/>
  <c r="CW57" i="4"/>
  <c r="CW58" i="4" s="1"/>
  <c r="CW34" i="4"/>
  <c r="CD10" i="4"/>
  <c r="CU10" i="4"/>
  <c r="CL10" i="4"/>
  <c r="DC10" i="4"/>
  <c r="K148" i="2"/>
  <c r="BZ144" i="2"/>
  <c r="S148" i="2"/>
  <c r="CB144" i="2"/>
  <c r="CS144" i="2"/>
  <c r="AA148" i="2"/>
  <c r="CD144" i="2"/>
  <c r="CU144" i="2"/>
  <c r="AI148" i="2"/>
  <c r="CF144" i="2"/>
  <c r="CW144" i="2"/>
  <c r="AQ148" i="2"/>
  <c r="CH144" i="2"/>
  <c r="CY144" i="2"/>
  <c r="BB148" i="2"/>
  <c r="CM65" i="3"/>
  <c r="BL65" i="3"/>
  <c r="AM60" i="4"/>
  <c r="CG18" i="4"/>
  <c r="AU60" i="4"/>
  <c r="CZ18" i="4"/>
  <c r="CZ60" i="4" s="1"/>
  <c r="BC60" i="4"/>
  <c r="CK18" i="4"/>
  <c r="CK60" i="4" s="1"/>
  <c r="DD18" i="4"/>
  <c r="DD60" i="4" s="1"/>
  <c r="CR57" i="4"/>
  <c r="CR58" i="4" s="1"/>
  <c r="CR34" i="4"/>
  <c r="CV57" i="4"/>
  <c r="CV58" i="4" s="1"/>
  <c r="CV34" i="4"/>
  <c r="CZ57" i="4"/>
  <c r="CZ58" i="4" s="1"/>
  <c r="CZ34" i="4"/>
  <c r="CU30" i="4"/>
  <c r="DC30" i="4"/>
  <c r="BN39" i="4"/>
  <c r="CB10" i="4"/>
  <c r="CS10" i="4"/>
  <c r="CJ10" i="4"/>
  <c r="DA10" i="4"/>
  <c r="G72" i="4"/>
  <c r="G70" i="4" s="1"/>
  <c r="G69" i="4" s="1"/>
  <c r="G73" i="4" s="1"/>
  <c r="G144" i="2"/>
  <c r="BY144" i="2" s="1"/>
  <c r="BY11" i="4"/>
  <c r="N148" i="2"/>
  <c r="N73" i="4"/>
  <c r="W72" i="4"/>
  <c r="W70" i="4" s="1"/>
  <c r="W69" i="4" s="1"/>
  <c r="W73" i="4" s="1"/>
  <c r="W144" i="2"/>
  <c r="CC144" i="2" s="1"/>
  <c r="CC11" i="4"/>
  <c r="CT11" i="4"/>
  <c r="AD148" i="2"/>
  <c r="AD73" i="4"/>
  <c r="AM72" i="4"/>
  <c r="AM70" i="4" s="1"/>
  <c r="AM69" i="4" s="1"/>
  <c r="AM73" i="4" s="1"/>
  <c r="AM144" i="2"/>
  <c r="CX144" i="2" s="1"/>
  <c r="CG11" i="4"/>
  <c r="CX11" i="4"/>
  <c r="AT148" i="2"/>
  <c r="AT73" i="4"/>
  <c r="BJ70" i="4"/>
  <c r="BJ69" i="4" s="1"/>
  <c r="BN14" i="4"/>
  <c r="CM59" i="3"/>
  <c r="BL59" i="3"/>
  <c r="CM58" i="3"/>
  <c r="BL58" i="3"/>
  <c r="BN20" i="4"/>
  <c r="BY57" i="4"/>
  <c r="BY58" i="4" s="1"/>
  <c r="BY34" i="4"/>
  <c r="CC57" i="4"/>
  <c r="CC58" i="4" s="1"/>
  <c r="CC34" i="4"/>
  <c r="CG57" i="4"/>
  <c r="CG58" i="4" s="1"/>
  <c r="CG34" i="4"/>
  <c r="CK57" i="4"/>
  <c r="CK58" i="4" s="1"/>
  <c r="CK34" i="4"/>
  <c r="CX46" i="4"/>
  <c r="CR46" i="4"/>
  <c r="BN32" i="4"/>
  <c r="BN37" i="4"/>
  <c r="CS37" i="4"/>
  <c r="CS46" i="4" s="1"/>
  <c r="DA37" i="4"/>
  <c r="DA46" i="4" s="1"/>
  <c r="CF37" i="4"/>
  <c r="CF46" i="4" s="1"/>
  <c r="CI18" i="4"/>
  <c r="CM18" i="4"/>
  <c r="CM60" i="4" s="1"/>
  <c r="BZ10" i="4"/>
  <c r="CH10" i="4"/>
  <c r="CY10" i="4"/>
  <c r="S73" i="4"/>
  <c r="CS69" i="4"/>
  <c r="CS73" i="4" s="1"/>
  <c r="AA73" i="4"/>
  <c r="CU69" i="4"/>
  <c r="CU73" i="4" s="1"/>
  <c r="AI73" i="4"/>
  <c r="CW69" i="4"/>
  <c r="CW73" i="4" s="1"/>
  <c r="AQ73" i="4"/>
  <c r="CY69" i="4"/>
  <c r="CY73" i="4" s="1"/>
  <c r="BC78" i="17"/>
  <c r="BC79" i="17" s="1"/>
  <c r="BC72" i="4"/>
  <c r="BC70" i="4" s="1"/>
  <c r="BC69" i="4" s="1"/>
  <c r="BC73" i="4" s="1"/>
  <c r="BC144" i="2"/>
  <c r="CK11" i="4"/>
  <c r="BM13" i="4"/>
  <c r="DB69" i="4"/>
  <c r="DB73" i="4" s="1"/>
  <c r="K57" i="4"/>
  <c r="K58" i="4" s="1"/>
  <c r="K34" i="4"/>
  <c r="AA57" i="4"/>
  <c r="AA58" i="4" s="1"/>
  <c r="AA34" i="4"/>
  <c r="AQ57" i="4"/>
  <c r="AQ58" i="4" s="1"/>
  <c r="AQ34" i="4"/>
  <c r="BG57" i="4"/>
  <c r="BG58" i="4" s="1"/>
  <c r="BG34" i="4"/>
  <c r="CV46" i="4"/>
  <c r="K46" i="4"/>
  <c r="BZ37" i="4"/>
  <c r="BZ46" i="4" s="1"/>
  <c r="AA46" i="4"/>
  <c r="CD37" i="4"/>
  <c r="CD46" i="4" s="1"/>
  <c r="CU37" i="4"/>
  <c r="CU46" i="4" s="1"/>
  <c r="AQ46" i="4"/>
  <c r="CH37" i="4"/>
  <c r="CH46" i="4" s="1"/>
  <c r="CY37" i="4"/>
  <c r="CY46" i="4" s="1"/>
  <c r="BG46" i="4"/>
  <c r="CL37" i="4"/>
  <c r="CL46" i="4" s="1"/>
  <c r="DC37" i="4"/>
  <c r="DC46" i="4" s="1"/>
  <c r="BN45" i="4"/>
  <c r="BO45" i="4" s="1"/>
  <c r="BP45" i="4" s="1"/>
  <c r="CF10" i="4"/>
  <c r="CW10" i="4"/>
  <c r="F148" i="2"/>
  <c r="O72" i="4"/>
  <c r="O70" i="4" s="1"/>
  <c r="O69" i="4" s="1"/>
  <c r="O73" i="4" s="1"/>
  <c r="O144" i="2"/>
  <c r="CR144" i="2" s="1"/>
  <c r="CR11" i="4"/>
  <c r="CA11" i="4"/>
  <c r="V148" i="2"/>
  <c r="V73" i="4"/>
  <c r="AE72" i="4"/>
  <c r="AE70" i="4" s="1"/>
  <c r="AE69" i="4" s="1"/>
  <c r="AE73" i="4" s="1"/>
  <c r="AE144" i="2"/>
  <c r="CE144" i="2" s="1"/>
  <c r="CV11" i="4"/>
  <c r="CE11" i="4"/>
  <c r="AL148" i="2"/>
  <c r="AL73" i="4"/>
  <c r="CX69" i="4"/>
  <c r="AU72" i="4"/>
  <c r="AU70" i="4" s="1"/>
  <c r="AU69" i="4" s="1"/>
  <c r="AU73" i="4" s="1"/>
  <c r="AU144" i="2"/>
  <c r="CZ144" i="2" s="1"/>
  <c r="CZ11" i="4"/>
  <c r="CI11" i="4"/>
  <c r="BJ148" i="2"/>
  <c r="BM15" i="4"/>
  <c r="BM17" i="4"/>
  <c r="BN19" i="4"/>
  <c r="BO19" i="4" s="1"/>
  <c r="BP19" i="4" s="1"/>
  <c r="BN31" i="4"/>
  <c r="BO31" i="4" s="1"/>
  <c r="BP31" i="4" s="1"/>
  <c r="BY46" i="4"/>
  <c r="S57" i="4"/>
  <c r="S58" i="4" s="1"/>
  <c r="S34" i="4"/>
  <c r="CB30" i="4"/>
  <c r="AI57" i="4"/>
  <c r="AI58" i="4" s="1"/>
  <c r="AI34" i="4"/>
  <c r="CF30" i="4"/>
  <c r="AY57" i="4"/>
  <c r="AY58" i="4" s="1"/>
  <c r="AY34" i="4"/>
  <c r="CJ30" i="4"/>
  <c r="CZ46" i="4"/>
  <c r="CW37" i="4"/>
  <c r="CW46" i="4" s="1"/>
  <c r="BN38" i="4"/>
  <c r="BO38" i="4" s="1"/>
  <c r="BP38" i="4" s="1"/>
  <c r="DE38" i="4" s="1"/>
  <c r="BN41" i="4"/>
  <c r="BO41" i="4" s="1"/>
  <c r="BP41" i="4" s="1"/>
  <c r="BZ30" i="4"/>
  <c r="CH30" i="4"/>
  <c r="CB37" i="4"/>
  <c r="CB46" i="4" s="1"/>
  <c r="CJ37" i="4"/>
  <c r="CJ46" i="4" s="1"/>
  <c r="CX18" i="4"/>
  <c r="CX60" i="4" s="1"/>
  <c r="DB18" i="4"/>
  <c r="DB60" i="4" s="1"/>
  <c r="BP57" i="3"/>
  <c r="CN57" i="3"/>
  <c r="BO56" i="3"/>
  <c r="BM40" i="4"/>
  <c r="BN30" i="3"/>
  <c r="BM79" i="3"/>
  <c r="BM80" i="3" s="1"/>
  <c r="DE31" i="3"/>
  <c r="BQ31" i="3"/>
  <c r="BR31" i="3" s="1"/>
  <c r="BS31" i="3" s="1"/>
  <c r="BO19" i="3"/>
  <c r="BO16" i="4" s="1"/>
  <c r="CN16" i="4" s="1"/>
  <c r="CM33" i="4"/>
  <c r="BM18" i="3"/>
  <c r="BM33" i="4" s="1"/>
  <c r="DD18" i="3"/>
  <c r="DD12" i="4"/>
  <c r="BO17" i="3"/>
  <c r="CM12" i="4"/>
  <c r="AM84" i="2" l="1"/>
  <c r="AM102" i="2"/>
  <c r="AM103" i="2" s="1"/>
  <c r="BE99" i="2"/>
  <c r="AQ94" i="2"/>
  <c r="AK116" i="2"/>
  <c r="AK99" i="2"/>
  <c r="AQ84" i="2"/>
  <c r="X116" i="2"/>
  <c r="X113" i="2"/>
  <c r="X99" i="2"/>
  <c r="CN53" i="2"/>
  <c r="DC51" i="17"/>
  <c r="DC50" i="17"/>
  <c r="BV42" i="3"/>
  <c r="BW43" i="3"/>
  <c r="BW42" i="3" s="1"/>
  <c r="AO116" i="2"/>
  <c r="CN110" i="2"/>
  <c r="AO99" i="2"/>
  <c r="CK68" i="2"/>
  <c r="CK83" i="2" s="1"/>
  <c r="CL51" i="17"/>
  <c r="CL50" i="17"/>
  <c r="BJ39" i="17"/>
  <c r="BK39" i="17"/>
  <c r="CO31" i="3"/>
  <c r="BT31" i="3"/>
  <c r="CP34" i="2"/>
  <c r="BR78" i="2"/>
  <c r="BS78" i="2" s="1"/>
  <c r="BT78" i="2" s="1"/>
  <c r="BR90" i="2"/>
  <c r="BS90" i="2" s="1"/>
  <c r="BT90" i="2" s="1"/>
  <c r="BT57" i="2"/>
  <c r="DF57" i="2" s="1"/>
  <c r="BR76" i="2"/>
  <c r="BS76" i="2" s="1"/>
  <c r="BT76" i="2" s="1"/>
  <c r="BR56" i="2"/>
  <c r="BS56" i="2" s="1"/>
  <c r="BT56" i="2" s="1"/>
  <c r="BR17" i="2"/>
  <c r="BS17" i="2" s="1"/>
  <c r="BT17" i="2" s="1"/>
  <c r="BR75" i="2"/>
  <c r="BS75" i="2" s="1"/>
  <c r="BT75" i="2" s="1"/>
  <c r="CP45" i="2"/>
  <c r="DA56" i="17"/>
  <c r="CH20" i="17"/>
  <c r="BI41" i="17"/>
  <c r="DA69" i="17"/>
  <c r="CK69" i="17"/>
  <c r="DA46" i="17"/>
  <c r="CN73" i="2"/>
  <c r="CK60" i="17"/>
  <c r="CL60" i="17"/>
  <c r="CK61" i="17"/>
  <c r="W69" i="17"/>
  <c r="W64" i="17"/>
  <c r="X69" i="17"/>
  <c r="Y64" i="17"/>
  <c r="DA50" i="17"/>
  <c r="DA51" i="17"/>
  <c r="DB50" i="17"/>
  <c r="AE65" i="17"/>
  <c r="AI65" i="17"/>
  <c r="AE69" i="17"/>
  <c r="AE64" i="17"/>
  <c r="DB60" i="17"/>
  <c r="DA61" i="17"/>
  <c r="DC61" i="17"/>
  <c r="DE41" i="4"/>
  <c r="CT69" i="4"/>
  <c r="DE24" i="3"/>
  <c r="BQ24" i="3"/>
  <c r="BR24" i="3" s="1"/>
  <c r="BS24" i="3" s="1"/>
  <c r="DE9" i="3"/>
  <c r="BQ9" i="3"/>
  <c r="BR9" i="3" s="1"/>
  <c r="BS9" i="3" s="1"/>
  <c r="BO42" i="4"/>
  <c r="CN42" i="4" s="1"/>
  <c r="BP10" i="3"/>
  <c r="CN10" i="3"/>
  <c r="CG144" i="2"/>
  <c r="CE65" i="17"/>
  <c r="BJ41" i="17"/>
  <c r="CT144" i="2"/>
  <c r="BJ81" i="17"/>
  <c r="BJ82" i="17" s="1"/>
  <c r="BC81" i="17"/>
  <c r="BC82" i="17" s="1"/>
  <c r="BI113" i="2"/>
  <c r="BI8" i="4" s="1"/>
  <c r="BI27" i="4" s="1"/>
  <c r="CD73" i="17"/>
  <c r="CD79" i="17" s="1"/>
  <c r="CL35" i="17"/>
  <c r="BH64" i="17"/>
  <c r="AF116" i="2"/>
  <c r="AF99" i="2"/>
  <c r="AF113" i="2"/>
  <c r="P113" i="2"/>
  <c r="P116" i="2"/>
  <c r="P99" i="2"/>
  <c r="D116" i="2"/>
  <c r="D99" i="2"/>
  <c r="D113" i="2"/>
  <c r="DE45" i="4"/>
  <c r="CJ69" i="17"/>
  <c r="BC41" i="17"/>
  <c r="BH76" i="17"/>
  <c r="BH79" i="17" s="1"/>
  <c r="CK65" i="17"/>
  <c r="CJ76" i="17"/>
  <c r="BH65" i="17"/>
  <c r="BI85" i="3"/>
  <c r="CD69" i="17"/>
  <c r="AF64" i="17"/>
  <c r="AF69" i="17"/>
  <c r="AJ65" i="17"/>
  <c r="AF65" i="17"/>
  <c r="BJ85" i="3"/>
  <c r="BI40" i="17"/>
  <c r="BD76" i="17"/>
  <c r="BD79" i="17" s="1"/>
  <c r="CA73" i="17"/>
  <c r="CE105" i="17"/>
  <c r="CE106" i="17" s="1"/>
  <c r="CA105" i="17"/>
  <c r="CA106" i="17" s="1"/>
  <c r="P69" i="17"/>
  <c r="Q64" i="17"/>
  <c r="CU81" i="2"/>
  <c r="CU67" i="2"/>
  <c r="CY83" i="2"/>
  <c r="CY69" i="2"/>
  <c r="DB83" i="2"/>
  <c r="DB69" i="2"/>
  <c r="CR81" i="2"/>
  <c r="CR67" i="2"/>
  <c r="CD85" i="17"/>
  <c r="CD81" i="2"/>
  <c r="CD67" i="2"/>
  <c r="CC85" i="17"/>
  <c r="CC81" i="2"/>
  <c r="CC67" i="2"/>
  <c r="DB85" i="2"/>
  <c r="DB71" i="2"/>
  <c r="BH36" i="17"/>
  <c r="BH38" i="17" s="1"/>
  <c r="BI39" i="17" s="1"/>
  <c r="BH69" i="17"/>
  <c r="BC116" i="2"/>
  <c r="BC99" i="2"/>
  <c r="BC113" i="2"/>
  <c r="AM116" i="2"/>
  <c r="AM99" i="2"/>
  <c r="AM113" i="2"/>
  <c r="BG117" i="2"/>
  <c r="BG103" i="2"/>
  <c r="AX116" i="2"/>
  <c r="AX113" i="2"/>
  <c r="AX99" i="2"/>
  <c r="BM122" i="2"/>
  <c r="CO17" i="2"/>
  <c r="BO107" i="2"/>
  <c r="BO10" i="4" s="1"/>
  <c r="CN10" i="4" s="1"/>
  <c r="BP16" i="2"/>
  <c r="CN16" i="2"/>
  <c r="CN107" i="2" s="1"/>
  <c r="BH116" i="2"/>
  <c r="BH113" i="2"/>
  <c r="BH99" i="2"/>
  <c r="DE58" i="2"/>
  <c r="CN35" i="2"/>
  <c r="AU104" i="2"/>
  <c r="AU86" i="2"/>
  <c r="AU96" i="2"/>
  <c r="BE102" i="2"/>
  <c r="BE84" i="2"/>
  <c r="BE94" i="2"/>
  <c r="AW142" i="2"/>
  <c r="DA143" i="2"/>
  <c r="DA142" i="2" s="1"/>
  <c r="AO102" i="2"/>
  <c r="AO84" i="2"/>
  <c r="AO94" i="2"/>
  <c r="AG142" i="2"/>
  <c r="Y102" i="2"/>
  <c r="Y84" i="2"/>
  <c r="Y94" i="2"/>
  <c r="Q142" i="2"/>
  <c r="I102" i="2"/>
  <c r="I84" i="2"/>
  <c r="I94" i="2"/>
  <c r="CX83" i="2"/>
  <c r="CX69" i="2"/>
  <c r="CI85" i="2"/>
  <c r="CI71" i="2"/>
  <c r="AI147" i="2"/>
  <c r="CF147" i="2" s="1"/>
  <c r="AI85" i="2"/>
  <c r="AI71" i="2"/>
  <c r="AI143" i="2"/>
  <c r="AI142" i="2" s="1"/>
  <c r="AI83" i="2"/>
  <c r="AI69" i="2"/>
  <c r="AA147" i="2"/>
  <c r="CD147" i="2" s="1"/>
  <c r="AA85" i="2"/>
  <c r="AA71" i="2"/>
  <c r="S147" i="2"/>
  <c r="S146" i="2" s="1"/>
  <c r="S85" i="2"/>
  <c r="S71" i="2"/>
  <c r="K143" i="2"/>
  <c r="K142" i="2" s="1"/>
  <c r="K83" i="2"/>
  <c r="K69" i="2"/>
  <c r="CT27" i="2"/>
  <c r="CT68" i="2"/>
  <c r="CE27" i="2"/>
  <c r="CE68" i="2"/>
  <c r="CA85" i="17"/>
  <c r="CA81" i="2"/>
  <c r="CA67" i="2"/>
  <c r="AW8" i="4"/>
  <c r="AW114" i="2"/>
  <c r="AW296" i="3"/>
  <c r="DE36" i="2"/>
  <c r="BA104" i="2"/>
  <c r="BA86" i="2"/>
  <c r="BA96" i="2"/>
  <c r="CZ147" i="2"/>
  <c r="AS146" i="2"/>
  <c r="AK104" i="2"/>
  <c r="AK86" i="2"/>
  <c r="AK96" i="2"/>
  <c r="AC146" i="2"/>
  <c r="U104" i="2"/>
  <c r="U86" i="2"/>
  <c r="U96" i="2"/>
  <c r="M146" i="2"/>
  <c r="E104" i="2"/>
  <c r="E86" i="2"/>
  <c r="E96" i="2"/>
  <c r="DA83" i="2"/>
  <c r="DA69" i="2"/>
  <c r="CL85" i="2"/>
  <c r="CL71" i="2"/>
  <c r="CH83" i="2"/>
  <c r="CH69" i="2"/>
  <c r="BJ102" i="2"/>
  <c r="BJ84" i="2"/>
  <c r="BJ94" i="2"/>
  <c r="BH102" i="2"/>
  <c r="BH84" i="2"/>
  <c r="BH94" i="2"/>
  <c r="BF102" i="2"/>
  <c r="BF84" i="2"/>
  <c r="BF94" i="2"/>
  <c r="BD142" i="2"/>
  <c r="CL143" i="2"/>
  <c r="CL142" i="2" s="1"/>
  <c r="BB102" i="2"/>
  <c r="BB84" i="2"/>
  <c r="BB94" i="2"/>
  <c r="CK143" i="2"/>
  <c r="AZ142" i="2"/>
  <c r="AZ102" i="2"/>
  <c r="AZ84" i="2"/>
  <c r="AZ94" i="2"/>
  <c r="AX102" i="2"/>
  <c r="AX84" i="2"/>
  <c r="AX94" i="2"/>
  <c r="CJ143" i="2"/>
  <c r="CJ142" i="2" s="1"/>
  <c r="AV142" i="2"/>
  <c r="AY85" i="3" s="1"/>
  <c r="CJ85" i="3" s="1"/>
  <c r="AT102" i="2"/>
  <c r="AT84" i="2"/>
  <c r="AT94" i="2"/>
  <c r="CI143" i="2"/>
  <c r="AR142" i="2"/>
  <c r="AR102" i="2"/>
  <c r="AR84" i="2"/>
  <c r="AR94" i="2"/>
  <c r="AP104" i="2"/>
  <c r="AP86" i="2"/>
  <c r="AP96" i="2"/>
  <c r="CH147" i="2"/>
  <c r="AN146" i="2"/>
  <c r="AL104" i="2"/>
  <c r="AL86" i="2"/>
  <c r="AL96" i="2"/>
  <c r="CG147" i="2"/>
  <c r="AJ146" i="2"/>
  <c r="AH104" i="2"/>
  <c r="AH86" i="2"/>
  <c r="AH96" i="2"/>
  <c r="AF146" i="2"/>
  <c r="AD104" i="2"/>
  <c r="AD86" i="2"/>
  <c r="AD96" i="2"/>
  <c r="AB146" i="2"/>
  <c r="Z102" i="2"/>
  <c r="Z84" i="2"/>
  <c r="Z94" i="2"/>
  <c r="X146" i="2"/>
  <c r="V102" i="2"/>
  <c r="V84" i="2"/>
  <c r="V94" i="2"/>
  <c r="T146" i="2"/>
  <c r="R102" i="2"/>
  <c r="R84" i="2"/>
  <c r="R94" i="2"/>
  <c r="CB147" i="2"/>
  <c r="P146" i="2"/>
  <c r="N102" i="2"/>
  <c r="N84" i="2"/>
  <c r="N94" i="2"/>
  <c r="L146" i="2"/>
  <c r="J102" i="2"/>
  <c r="J84" i="2"/>
  <c r="J94" i="2"/>
  <c r="H146" i="2"/>
  <c r="F102" i="2"/>
  <c r="F84" i="2"/>
  <c r="F94" i="2"/>
  <c r="D146" i="2"/>
  <c r="CW70" i="2"/>
  <c r="CW29" i="2"/>
  <c r="CS68" i="2"/>
  <c r="CS27" i="2"/>
  <c r="CD105" i="17"/>
  <c r="CD106" i="17" s="1"/>
  <c r="CD70" i="2"/>
  <c r="CD29" i="2"/>
  <c r="DC85" i="2"/>
  <c r="DC71" i="2"/>
  <c r="CJ85" i="2"/>
  <c r="CJ71" i="2"/>
  <c r="CU68" i="2"/>
  <c r="CU27" i="2"/>
  <c r="CJ98" i="2"/>
  <c r="CJ82" i="2"/>
  <c r="CJ89" i="2"/>
  <c r="CF85" i="17"/>
  <c r="CF81" i="2"/>
  <c r="CF67" i="2"/>
  <c r="CB105" i="17"/>
  <c r="CB106" i="17" s="1"/>
  <c r="CB85" i="17"/>
  <c r="CB81" i="2"/>
  <c r="CB67" i="2"/>
  <c r="Y8" i="4"/>
  <c r="Y114" i="2"/>
  <c r="Y296" i="3"/>
  <c r="AY116" i="2"/>
  <c r="AY99" i="2"/>
  <c r="AY113" i="2"/>
  <c r="CI113" i="2"/>
  <c r="CI99" i="2"/>
  <c r="CI116" i="2"/>
  <c r="DE110" i="2"/>
  <c r="BJ116" i="2"/>
  <c r="BJ113" i="2"/>
  <c r="BJ99" i="2"/>
  <c r="DD62" i="3"/>
  <c r="BO92" i="2"/>
  <c r="CN92" i="2" s="1"/>
  <c r="AT116" i="2"/>
  <c r="AT113" i="2"/>
  <c r="AT99" i="2"/>
  <c r="AD116" i="2"/>
  <c r="AD113" i="2"/>
  <c r="AD99" i="2"/>
  <c r="N116" i="2"/>
  <c r="N113" i="2"/>
  <c r="N99" i="2"/>
  <c r="AY104" i="2"/>
  <c r="AY86" i="2"/>
  <c r="AY96" i="2"/>
  <c r="BI102" i="2"/>
  <c r="BI84" i="2"/>
  <c r="BI94" i="2"/>
  <c r="DB143" i="2"/>
  <c r="BA142" i="2"/>
  <c r="AS102" i="2"/>
  <c r="AS84" i="2"/>
  <c r="AS94" i="2"/>
  <c r="CX143" i="2"/>
  <c r="CX142" i="2" s="1"/>
  <c r="AK142" i="2"/>
  <c r="AC102" i="2"/>
  <c r="AC84" i="2"/>
  <c r="AC94" i="2"/>
  <c r="U142" i="2"/>
  <c r="M102" i="2"/>
  <c r="M84" i="2"/>
  <c r="M94" i="2"/>
  <c r="CX98" i="2"/>
  <c r="CX82" i="2"/>
  <c r="CX89" i="2"/>
  <c r="CV27" i="2"/>
  <c r="CV68" i="2"/>
  <c r="CC27" i="2"/>
  <c r="CC68" i="2"/>
  <c r="G63" i="17"/>
  <c r="G12" i="17"/>
  <c r="G10" i="17"/>
  <c r="BY9" i="17"/>
  <c r="AK8" i="4"/>
  <c r="AK114" i="2"/>
  <c r="AK296" i="3"/>
  <c r="I8" i="4"/>
  <c r="I27" i="4" s="1"/>
  <c r="I114" i="2"/>
  <c r="I296" i="3"/>
  <c r="AV116" i="2"/>
  <c r="AV113" i="2"/>
  <c r="AV99" i="2"/>
  <c r="AP116" i="2"/>
  <c r="AP113" i="2"/>
  <c r="AP99" i="2"/>
  <c r="Z116" i="2"/>
  <c r="Z113" i="2"/>
  <c r="Z99" i="2"/>
  <c r="J116" i="2"/>
  <c r="J113" i="2"/>
  <c r="J99" i="2"/>
  <c r="S98" i="2"/>
  <c r="S82" i="2"/>
  <c r="S89" i="2"/>
  <c r="K98" i="2"/>
  <c r="K82" i="2"/>
  <c r="K89" i="2"/>
  <c r="CX85" i="2"/>
  <c r="CX71" i="2"/>
  <c r="CI68" i="2"/>
  <c r="AA143" i="2"/>
  <c r="AA142" i="2" s="1"/>
  <c r="AA83" i="2"/>
  <c r="AA69" i="2"/>
  <c r="S143" i="2"/>
  <c r="S142" i="2" s="1"/>
  <c r="S83" i="2"/>
  <c r="S69" i="2"/>
  <c r="K147" i="2"/>
  <c r="BZ147" i="2" s="1"/>
  <c r="K85" i="2"/>
  <c r="K71" i="2"/>
  <c r="CA29" i="2"/>
  <c r="CA70" i="2"/>
  <c r="CA27" i="2"/>
  <c r="CA68" i="2"/>
  <c r="CZ6" i="4"/>
  <c r="CZ6" i="3"/>
  <c r="DA7" i="2"/>
  <c r="BN79" i="2"/>
  <c r="BN77" i="2"/>
  <c r="AQ117" i="2"/>
  <c r="AQ103" i="2"/>
  <c r="CZ113" i="2"/>
  <c r="CZ114" i="2" s="1"/>
  <c r="CZ99" i="2"/>
  <c r="CZ116" i="2"/>
  <c r="BE8" i="4"/>
  <c r="BE114" i="2"/>
  <c r="BE296" i="3"/>
  <c r="AB116" i="2"/>
  <c r="AB113" i="2"/>
  <c r="AB99" i="2"/>
  <c r="BP47" i="2"/>
  <c r="DE47" i="2" s="1"/>
  <c r="CH85" i="2"/>
  <c r="CH71" i="2"/>
  <c r="BZ105" i="17"/>
  <c r="BZ106" i="17" s="1"/>
  <c r="BZ85" i="17"/>
  <c r="BZ81" i="2"/>
  <c r="BZ67" i="2"/>
  <c r="BZ68" i="2"/>
  <c r="BZ27" i="2"/>
  <c r="CB72" i="3"/>
  <c r="CC72" i="3"/>
  <c r="BE104" i="2"/>
  <c r="BE86" i="2"/>
  <c r="BE96" i="2"/>
  <c r="DA147" i="2"/>
  <c r="DA146" i="2" s="1"/>
  <c r="AW146" i="2"/>
  <c r="AO104" i="2"/>
  <c r="AO86" i="2"/>
  <c r="AO96" i="2"/>
  <c r="AG146" i="2"/>
  <c r="Y104" i="2"/>
  <c r="Y86" i="2"/>
  <c r="Y96" i="2"/>
  <c r="Q146" i="2"/>
  <c r="I104" i="2"/>
  <c r="I86" i="2"/>
  <c r="I96" i="2"/>
  <c r="BH104" i="2"/>
  <c r="BH86" i="2"/>
  <c r="BH96" i="2"/>
  <c r="BD104" i="2"/>
  <c r="BD86" i="2"/>
  <c r="BD96" i="2"/>
  <c r="AZ104" i="2"/>
  <c r="AZ86" i="2"/>
  <c r="AZ96" i="2"/>
  <c r="AV104" i="2"/>
  <c r="AV86" i="2"/>
  <c r="AV96" i="2"/>
  <c r="AR104" i="2"/>
  <c r="AR86" i="2"/>
  <c r="AR96" i="2"/>
  <c r="AN102" i="2"/>
  <c r="AN84" i="2"/>
  <c r="AN94" i="2"/>
  <c r="AF102" i="2"/>
  <c r="AF84" i="2"/>
  <c r="AF94" i="2"/>
  <c r="X102" i="2"/>
  <c r="X84" i="2"/>
  <c r="X94" i="2"/>
  <c r="P102" i="2"/>
  <c r="P84" i="2"/>
  <c r="P94" i="2"/>
  <c r="H102" i="2"/>
  <c r="H84" i="2"/>
  <c r="H94" i="2"/>
  <c r="CF105" i="17"/>
  <c r="CF106" i="17" s="1"/>
  <c r="CF70" i="2"/>
  <c r="CF29" i="2"/>
  <c r="CB70" i="2"/>
  <c r="CB29" i="2"/>
  <c r="AG8" i="4"/>
  <c r="AG114" i="2"/>
  <c r="AG296" i="3"/>
  <c r="BP9" i="2"/>
  <c r="CV81" i="2"/>
  <c r="CV67" i="2"/>
  <c r="CR29" i="2"/>
  <c r="CR70" i="2"/>
  <c r="CR27" i="2"/>
  <c r="CR68" i="2"/>
  <c r="BY29" i="2"/>
  <c r="BY70" i="2"/>
  <c r="AU117" i="2"/>
  <c r="AU103" i="2"/>
  <c r="AO8" i="4"/>
  <c r="AO114" i="2"/>
  <c r="AO296" i="3"/>
  <c r="M8" i="4"/>
  <c r="M114" i="2"/>
  <c r="M296" i="3"/>
  <c r="AJ116" i="2"/>
  <c r="AJ113" i="2"/>
  <c r="AJ99" i="2"/>
  <c r="H116" i="2"/>
  <c r="H113" i="2"/>
  <c r="H99" i="2"/>
  <c r="DE35" i="2"/>
  <c r="CJ36" i="17"/>
  <c r="BZ63" i="17"/>
  <c r="BZ12" i="17"/>
  <c r="K69" i="17"/>
  <c r="K64" i="17"/>
  <c r="AU116" i="2"/>
  <c r="AU99" i="2"/>
  <c r="AU113" i="2"/>
  <c r="DE73" i="3"/>
  <c r="BP73" i="3"/>
  <c r="BQ126" i="2"/>
  <c r="BF116" i="2"/>
  <c r="BF113" i="2"/>
  <c r="BF99" i="2"/>
  <c r="AE98" i="2"/>
  <c r="AE82" i="2"/>
  <c r="AE89" i="2"/>
  <c r="W98" i="2"/>
  <c r="W82" i="2"/>
  <c r="W89" i="2"/>
  <c r="O98" i="2"/>
  <c r="O82" i="2"/>
  <c r="O89" i="2"/>
  <c r="G98" i="2"/>
  <c r="G82" i="2"/>
  <c r="G89" i="2"/>
  <c r="CZ83" i="2"/>
  <c r="CZ69" i="2"/>
  <c r="CK85" i="2"/>
  <c r="CK71" i="2"/>
  <c r="AZ116" i="2"/>
  <c r="AZ113" i="2"/>
  <c r="AZ99" i="2"/>
  <c r="BQ58" i="2"/>
  <c r="BQ35" i="2"/>
  <c r="BC104" i="2"/>
  <c r="BC86" i="2"/>
  <c r="BC96" i="2"/>
  <c r="AM104" i="2"/>
  <c r="AM86" i="2"/>
  <c r="AM96" i="2"/>
  <c r="BE142" i="2"/>
  <c r="BH85" i="3" s="1"/>
  <c r="DC85" i="3" s="1"/>
  <c r="DC143" i="2"/>
  <c r="DC142" i="2" s="1"/>
  <c r="AW102" i="2"/>
  <c r="AW84" i="2"/>
  <c r="AW94" i="2"/>
  <c r="CY143" i="2"/>
  <c r="CY142" i="2" s="1"/>
  <c r="AO142" i="2"/>
  <c r="AG102" i="2"/>
  <c r="AG84" i="2"/>
  <c r="AG94" i="2"/>
  <c r="Y142" i="2"/>
  <c r="Q102" i="2"/>
  <c r="Q84" i="2"/>
  <c r="Q94" i="2"/>
  <c r="DB98" i="2"/>
  <c r="DB82" i="2"/>
  <c r="DB89" i="2"/>
  <c r="CT29" i="2"/>
  <c r="CT70" i="2"/>
  <c r="CE29" i="2"/>
  <c r="CE70" i="2"/>
  <c r="CE85" i="17"/>
  <c r="CE81" i="2"/>
  <c r="CE67" i="2"/>
  <c r="AY117" i="2"/>
  <c r="AY103" i="2"/>
  <c r="BQ36" i="2"/>
  <c r="BI104" i="2"/>
  <c r="BI86" i="2"/>
  <c r="BI96" i="2"/>
  <c r="DB147" i="2"/>
  <c r="BA146" i="2"/>
  <c r="AS104" i="2"/>
  <c r="AS86" i="2"/>
  <c r="AS96" i="2"/>
  <c r="CX147" i="2"/>
  <c r="AK146" i="2"/>
  <c r="AC104" i="2"/>
  <c r="AC86" i="2"/>
  <c r="AC96" i="2"/>
  <c r="U146" i="2"/>
  <c r="M104" i="2"/>
  <c r="M86" i="2"/>
  <c r="M96" i="2"/>
  <c r="BD102" i="2"/>
  <c r="BD84" i="2"/>
  <c r="BD94" i="2"/>
  <c r="AV102" i="2"/>
  <c r="AV84" i="2"/>
  <c r="AV94" i="2"/>
  <c r="AN104" i="2"/>
  <c r="AN86" i="2"/>
  <c r="AN96" i="2"/>
  <c r="AJ104" i="2"/>
  <c r="AJ86" i="2"/>
  <c r="AJ96" i="2"/>
  <c r="AF104" i="2"/>
  <c r="AF86" i="2"/>
  <c r="AF96" i="2"/>
  <c r="AB104" i="2"/>
  <c r="AB86" i="2"/>
  <c r="AB96" i="2"/>
  <c r="X104" i="2"/>
  <c r="X86" i="2"/>
  <c r="X96" i="2"/>
  <c r="T104" i="2"/>
  <c r="T86" i="2"/>
  <c r="T96" i="2"/>
  <c r="P104" i="2"/>
  <c r="P86" i="2"/>
  <c r="P96" i="2"/>
  <c r="L104" i="2"/>
  <c r="L86" i="2"/>
  <c r="L96" i="2"/>
  <c r="H104" i="2"/>
  <c r="H86" i="2"/>
  <c r="H96" i="2"/>
  <c r="D104" i="2"/>
  <c r="D86" i="2"/>
  <c r="D96" i="2"/>
  <c r="CW68" i="2"/>
  <c r="CW27" i="2"/>
  <c r="CS70" i="2"/>
  <c r="CS29" i="2"/>
  <c r="CD68" i="2"/>
  <c r="CD27" i="2"/>
  <c r="BN109" i="2"/>
  <c r="BN111" i="2" s="1"/>
  <c r="BN101" i="2" s="1"/>
  <c r="BO18" i="2"/>
  <c r="CN18" i="2" s="1"/>
  <c r="CU70" i="2"/>
  <c r="CU29" i="2"/>
  <c r="CL98" i="2"/>
  <c r="CL82" i="2"/>
  <c r="CL89" i="2"/>
  <c r="CH98" i="2"/>
  <c r="CH82" i="2"/>
  <c r="CH89" i="2"/>
  <c r="E8" i="4"/>
  <c r="E27" i="4" s="1"/>
  <c r="E114" i="2"/>
  <c r="E296" i="3"/>
  <c r="BG116" i="2"/>
  <c r="BG99" i="2"/>
  <c r="BG113" i="2"/>
  <c r="AQ116" i="2"/>
  <c r="AQ99" i="2"/>
  <c r="AQ113" i="2"/>
  <c r="BQ110" i="2"/>
  <c r="BB116" i="2"/>
  <c r="BB113" i="2"/>
  <c r="BB99" i="2"/>
  <c r="BC102" i="2"/>
  <c r="BC84" i="2"/>
  <c r="BC94" i="2"/>
  <c r="BN44" i="4"/>
  <c r="BN62" i="3" s="1"/>
  <c r="BO131" i="2"/>
  <c r="BP125" i="2"/>
  <c r="DE125" i="2" s="1"/>
  <c r="CN125" i="2"/>
  <c r="BN123" i="2"/>
  <c r="BO123" i="2" s="1"/>
  <c r="AL116" i="2"/>
  <c r="AL113" i="2"/>
  <c r="AL99" i="2"/>
  <c r="V116" i="2"/>
  <c r="V113" i="2"/>
  <c r="V99" i="2"/>
  <c r="F116" i="2"/>
  <c r="F113" i="2"/>
  <c r="F99" i="2"/>
  <c r="BO46" i="2"/>
  <c r="BP46" i="2" s="1"/>
  <c r="BG104" i="2"/>
  <c r="BG86" i="2"/>
  <c r="BG96" i="2"/>
  <c r="AQ104" i="2"/>
  <c r="AQ86" i="2"/>
  <c r="AQ96" i="2"/>
  <c r="BA102" i="2"/>
  <c r="BA84" i="2"/>
  <c r="BA94" i="2"/>
  <c r="CZ143" i="2"/>
  <c r="CZ142" i="2" s="1"/>
  <c r="AS142" i="2"/>
  <c r="AK102" i="2"/>
  <c r="AK84" i="2"/>
  <c r="AK94" i="2"/>
  <c r="AC142" i="2"/>
  <c r="U102" i="2"/>
  <c r="U84" i="2"/>
  <c r="U94" i="2"/>
  <c r="M142" i="2"/>
  <c r="E102" i="2"/>
  <c r="E84" i="2"/>
  <c r="E94" i="2"/>
  <c r="CB42" i="3"/>
  <c r="CC42" i="3"/>
  <c r="CZ85" i="2"/>
  <c r="CZ71" i="2"/>
  <c r="CG83" i="2"/>
  <c r="CG69" i="2"/>
  <c r="AE143" i="2"/>
  <c r="CV143" i="2" s="1"/>
  <c r="AE83" i="2"/>
  <c r="AE69" i="2"/>
  <c r="W147" i="2"/>
  <c r="CC147" i="2" s="1"/>
  <c r="W85" i="2"/>
  <c r="W71" i="2"/>
  <c r="O147" i="2"/>
  <c r="CR147" i="2" s="1"/>
  <c r="O85" i="2"/>
  <c r="O71" i="2"/>
  <c r="G147" i="2"/>
  <c r="BY147" i="2" s="1"/>
  <c r="G85" i="2"/>
  <c r="G71" i="2"/>
  <c r="CV29" i="2"/>
  <c r="CV70" i="2"/>
  <c r="CC105" i="17"/>
  <c r="CC106" i="17" s="1"/>
  <c r="CC29" i="2"/>
  <c r="CC70" i="2"/>
  <c r="BY85" i="17"/>
  <c r="BY81" i="2"/>
  <c r="BY67" i="2"/>
  <c r="AS8" i="4"/>
  <c r="AS114" i="2"/>
  <c r="AS296" i="3"/>
  <c r="U8" i="4"/>
  <c r="U114" i="2"/>
  <c r="U296" i="3"/>
  <c r="BQ53" i="2"/>
  <c r="BR55" i="2"/>
  <c r="BD116" i="2"/>
  <c r="BD113" i="2"/>
  <c r="BD99" i="2"/>
  <c r="AH116" i="2"/>
  <c r="AH113" i="2"/>
  <c r="AH99" i="2"/>
  <c r="R116" i="2"/>
  <c r="R113" i="2"/>
  <c r="R99" i="2"/>
  <c r="CN58" i="2"/>
  <c r="CK98" i="2"/>
  <c r="CK82" i="2"/>
  <c r="CK89" i="2"/>
  <c r="CT81" i="2"/>
  <c r="CT67" i="2"/>
  <c r="CN79" i="2"/>
  <c r="CN77" i="2"/>
  <c r="BP74" i="2"/>
  <c r="DE74" i="2" s="1"/>
  <c r="DE73" i="2" s="1"/>
  <c r="BO73" i="2"/>
  <c r="AN116" i="2"/>
  <c r="AN113" i="2"/>
  <c r="AN99" i="2"/>
  <c r="L116" i="2"/>
  <c r="L113" i="2"/>
  <c r="L99" i="2"/>
  <c r="DA85" i="2"/>
  <c r="DA71" i="2"/>
  <c r="CL68" i="2"/>
  <c r="CW81" i="2"/>
  <c r="CW67" i="2"/>
  <c r="CS81" i="2"/>
  <c r="CS67" i="2"/>
  <c r="BZ70" i="2"/>
  <c r="BZ29" i="2"/>
  <c r="DC147" i="2"/>
  <c r="DC146" i="2" s="1"/>
  <c r="BE146" i="2"/>
  <c r="AW104" i="2"/>
  <c r="AW86" i="2"/>
  <c r="AW96" i="2"/>
  <c r="CY147" i="2"/>
  <c r="AO146" i="2"/>
  <c r="AG104" i="2"/>
  <c r="AG86" i="2"/>
  <c r="AG96" i="2"/>
  <c r="Y146" i="2"/>
  <c r="Q104" i="2"/>
  <c r="Q86" i="2"/>
  <c r="Q96" i="2"/>
  <c r="DC83" i="2"/>
  <c r="DC69" i="2"/>
  <c r="CY85" i="2"/>
  <c r="CY71" i="2"/>
  <c r="CJ83" i="2"/>
  <c r="CJ69" i="2"/>
  <c r="BJ104" i="2"/>
  <c r="BJ86" i="2"/>
  <c r="BJ96" i="2"/>
  <c r="BF104" i="2"/>
  <c r="BF86" i="2"/>
  <c r="BF96" i="2"/>
  <c r="CL147" i="2"/>
  <c r="CL146" i="2" s="1"/>
  <c r="BD146" i="2"/>
  <c r="BB104" i="2"/>
  <c r="BB86" i="2"/>
  <c r="BB96" i="2"/>
  <c r="CK147" i="2"/>
  <c r="AZ146" i="2"/>
  <c r="AX104" i="2"/>
  <c r="AX86" i="2"/>
  <c r="AX96" i="2"/>
  <c r="CJ147" i="2"/>
  <c r="CJ146" i="2" s="1"/>
  <c r="AV146" i="2"/>
  <c r="AT104" i="2"/>
  <c r="AT86" i="2"/>
  <c r="AT96" i="2"/>
  <c r="CI147" i="2"/>
  <c r="AR146" i="2"/>
  <c r="AP102" i="2"/>
  <c r="AP84" i="2"/>
  <c r="AP94" i="2"/>
  <c r="AN142" i="2"/>
  <c r="CH143" i="2"/>
  <c r="CH142" i="2" s="1"/>
  <c r="AL102" i="2"/>
  <c r="AL84" i="2"/>
  <c r="AL94" i="2"/>
  <c r="CG143" i="2"/>
  <c r="AJ142" i="2"/>
  <c r="AJ102" i="2"/>
  <c r="AJ84" i="2"/>
  <c r="AJ94" i="2"/>
  <c r="AH102" i="2"/>
  <c r="AH84" i="2"/>
  <c r="AH94" i="2"/>
  <c r="AF142" i="2"/>
  <c r="AD102" i="2"/>
  <c r="AD84" i="2"/>
  <c r="AD94" i="2"/>
  <c r="AB142" i="2"/>
  <c r="AB102" i="2"/>
  <c r="AB84" i="2"/>
  <c r="AB94" i="2"/>
  <c r="Z104" i="2"/>
  <c r="Z86" i="2"/>
  <c r="Z96" i="2"/>
  <c r="X142" i="2"/>
  <c r="V104" i="2"/>
  <c r="V86" i="2"/>
  <c r="V96" i="2"/>
  <c r="T142" i="2"/>
  <c r="T102" i="2"/>
  <c r="T84" i="2"/>
  <c r="T94" i="2"/>
  <c r="R104" i="2"/>
  <c r="R86" i="2"/>
  <c r="R96" i="2"/>
  <c r="P142" i="2"/>
  <c r="N104" i="2"/>
  <c r="N86" i="2"/>
  <c r="N96" i="2"/>
  <c r="L142" i="2"/>
  <c r="L102" i="2"/>
  <c r="L84" i="2"/>
  <c r="L94" i="2"/>
  <c r="J104" i="2"/>
  <c r="J86" i="2"/>
  <c r="J96" i="2"/>
  <c r="H142" i="2"/>
  <c r="F104" i="2"/>
  <c r="F86" i="2"/>
  <c r="F96" i="2"/>
  <c r="D142" i="2"/>
  <c r="F85" i="3" s="1"/>
  <c r="D102" i="2"/>
  <c r="D84" i="2"/>
  <c r="D94" i="2"/>
  <c r="DC98" i="2"/>
  <c r="DC82" i="2"/>
  <c r="DC89" i="2"/>
  <c r="DA98" i="2"/>
  <c r="DA82" i="2"/>
  <c r="DA89" i="2"/>
  <c r="CY98" i="2"/>
  <c r="CY82" i="2"/>
  <c r="CY89" i="2"/>
  <c r="CF68" i="2"/>
  <c r="CF27" i="2"/>
  <c r="CB68" i="2"/>
  <c r="CB27" i="2"/>
  <c r="Q8" i="4"/>
  <c r="Q114" i="2"/>
  <c r="Q296" i="3"/>
  <c r="CG85" i="2"/>
  <c r="CG71" i="2"/>
  <c r="AE147" i="2"/>
  <c r="CE147" i="2" s="1"/>
  <c r="AE85" i="2"/>
  <c r="AE71" i="2"/>
  <c r="W143" i="2"/>
  <c r="CT143" i="2" s="1"/>
  <c r="CT142" i="2" s="1"/>
  <c r="W83" i="2"/>
  <c r="W69" i="2"/>
  <c r="O143" i="2"/>
  <c r="CR143" i="2" s="1"/>
  <c r="CR142" i="2" s="1"/>
  <c r="O83" i="2"/>
  <c r="O69" i="2"/>
  <c r="G143" i="2"/>
  <c r="BY143" i="2" s="1"/>
  <c r="BY142" i="2" s="1"/>
  <c r="G83" i="2"/>
  <c r="G69" i="2"/>
  <c r="BN100" i="2"/>
  <c r="BY105" i="17"/>
  <c r="BY106" i="17" s="1"/>
  <c r="BY27" i="2"/>
  <c r="BY68" i="2"/>
  <c r="BA8" i="4"/>
  <c r="BA114" i="2"/>
  <c r="BA296" i="3"/>
  <c r="AC8" i="4"/>
  <c r="AC114" i="2"/>
  <c r="AC296" i="3"/>
  <c r="AR116" i="2"/>
  <c r="AR113" i="2"/>
  <c r="AR99" i="2"/>
  <c r="T116" i="2"/>
  <c r="T113" i="2"/>
  <c r="T99" i="2"/>
  <c r="CG85" i="17"/>
  <c r="CG81" i="2"/>
  <c r="CG67" i="2"/>
  <c r="CN36" i="2"/>
  <c r="DB63" i="17"/>
  <c r="AI98" i="2"/>
  <c r="AI82" i="2"/>
  <c r="AI89" i="2"/>
  <c r="AA98" i="2"/>
  <c r="AA82" i="2"/>
  <c r="AA89" i="2"/>
  <c r="BD36" i="17"/>
  <c r="BD38" i="17" s="1"/>
  <c r="BD64" i="17"/>
  <c r="BE64" i="17"/>
  <c r="BD69" i="17"/>
  <c r="AX65" i="17"/>
  <c r="AX76" i="17"/>
  <c r="AX79" i="17" s="1"/>
  <c r="AY64" i="17"/>
  <c r="AX69" i="17"/>
  <c r="AX64" i="17"/>
  <c r="AX36" i="17"/>
  <c r="AX38" i="17" s="1"/>
  <c r="BB65" i="17"/>
  <c r="BB76" i="17"/>
  <c r="BB79" i="17" s="1"/>
  <c r="BC64" i="17"/>
  <c r="BB69" i="17"/>
  <c r="BB64" i="17"/>
  <c r="BB36" i="17"/>
  <c r="BB38" i="17" s="1"/>
  <c r="CL63" i="17"/>
  <c r="CL76" i="17" s="1"/>
  <c r="DC63" i="17"/>
  <c r="DC35" i="17"/>
  <c r="CM35" i="17"/>
  <c r="CM63" i="17"/>
  <c r="BJ65" i="17"/>
  <c r="BF69" i="17"/>
  <c r="BF64" i="17"/>
  <c r="BG64" i="17"/>
  <c r="BF36" i="17"/>
  <c r="BF38" i="17" s="1"/>
  <c r="BF65" i="17"/>
  <c r="CH79" i="17"/>
  <c r="CM50" i="17"/>
  <c r="CM51" i="17"/>
  <c r="BJ77" i="17"/>
  <c r="BK77" i="17" s="1"/>
  <c r="BK76" i="17" s="1"/>
  <c r="BI76" i="17"/>
  <c r="BI79" i="17" s="1"/>
  <c r="BF77" i="17"/>
  <c r="BE76" i="17"/>
  <c r="BE79" i="17" s="1"/>
  <c r="CF63" i="17"/>
  <c r="CF12" i="17"/>
  <c r="CF11" i="17"/>
  <c r="CG11" i="17"/>
  <c r="CM61" i="17"/>
  <c r="CM60" i="17"/>
  <c r="BR41" i="17"/>
  <c r="CW63" i="17"/>
  <c r="CW11" i="17"/>
  <c r="CW12" i="17"/>
  <c r="CX11" i="17"/>
  <c r="AG69" i="17"/>
  <c r="AG65" i="17"/>
  <c r="AG64" i="17"/>
  <c r="AH64" i="17"/>
  <c r="AK65" i="17"/>
  <c r="CM77" i="17"/>
  <c r="CH57" i="4"/>
  <c r="CH58" i="4" s="1"/>
  <c r="CH34" i="4"/>
  <c r="CJ57" i="4"/>
  <c r="CJ58" i="4" s="1"/>
  <c r="CJ34" i="4"/>
  <c r="CB57" i="4"/>
  <c r="CB58" i="4" s="1"/>
  <c r="CB34" i="4"/>
  <c r="BQ31" i="4"/>
  <c r="BQ19" i="4"/>
  <c r="CZ72" i="4"/>
  <c r="CZ70" i="4" s="1"/>
  <c r="AL146" i="2"/>
  <c r="CV72" i="4"/>
  <c r="CV70" i="4" s="1"/>
  <c r="V146" i="2"/>
  <c r="CR72" i="4"/>
  <c r="CR70" i="4" s="1"/>
  <c r="BC148" i="2"/>
  <c r="BC146" i="2" s="1"/>
  <c r="BC142" i="2"/>
  <c r="BO37" i="4"/>
  <c r="BP37" i="4" s="1"/>
  <c r="BO32" i="4"/>
  <c r="BP32" i="4" s="1"/>
  <c r="BM58" i="3"/>
  <c r="BL60" i="3"/>
  <c r="DD58" i="3"/>
  <c r="BM59" i="3"/>
  <c r="DD59" i="3"/>
  <c r="BO14" i="4"/>
  <c r="BP14" i="4" s="1"/>
  <c r="BJ73" i="4"/>
  <c r="AT146" i="2"/>
  <c r="CG78" i="17"/>
  <c r="CG79" i="17" s="1"/>
  <c r="CG72" i="4"/>
  <c r="CG70" i="4" s="1"/>
  <c r="CG69" i="4" s="1"/>
  <c r="CG73" i="4" s="1"/>
  <c r="AD146" i="2"/>
  <c r="CC78" i="17"/>
  <c r="CC72" i="4"/>
  <c r="CC70" i="4" s="1"/>
  <c r="CC69" i="4" s="1"/>
  <c r="CC73" i="4" s="1"/>
  <c r="N146" i="2"/>
  <c r="G148" i="2"/>
  <c r="DC57" i="4"/>
  <c r="DC58" i="4" s="1"/>
  <c r="DC34" i="4"/>
  <c r="BL60" i="4"/>
  <c r="BM18" i="4"/>
  <c r="DD65" i="3"/>
  <c r="BM65" i="3"/>
  <c r="DB144" i="2"/>
  <c r="BB146" i="2"/>
  <c r="CK148" i="2"/>
  <c r="BZ148" i="2"/>
  <c r="CN31" i="4"/>
  <c r="CN19" i="4"/>
  <c r="BZ57" i="4"/>
  <c r="BZ58" i="4" s="1"/>
  <c r="BZ34" i="4"/>
  <c r="BQ41" i="4"/>
  <c r="BQ38" i="4"/>
  <c r="CF57" i="4"/>
  <c r="CF58" i="4" s="1"/>
  <c r="CF34" i="4"/>
  <c r="DE31" i="4"/>
  <c r="DE19" i="4"/>
  <c r="BN17" i="4"/>
  <c r="BN15" i="4"/>
  <c r="BJ146" i="2"/>
  <c r="CI78" i="17"/>
  <c r="CI79" i="17" s="1"/>
  <c r="CI72" i="4"/>
  <c r="CI70" i="4" s="1"/>
  <c r="CI69" i="4" s="1"/>
  <c r="CI73" i="4" s="1"/>
  <c r="AU148" i="2"/>
  <c r="AU146" i="2" s="1"/>
  <c r="AU142" i="2"/>
  <c r="CE78" i="17"/>
  <c r="CE79" i="17" s="1"/>
  <c r="CE72" i="4"/>
  <c r="CE70" i="4" s="1"/>
  <c r="CE69" i="4" s="1"/>
  <c r="CE73" i="4" s="1"/>
  <c r="AE148" i="2"/>
  <c r="CA78" i="17"/>
  <c r="CA72" i="4"/>
  <c r="CA70" i="4" s="1"/>
  <c r="CA69" i="4" s="1"/>
  <c r="CA73" i="4" s="1"/>
  <c r="O148" i="2"/>
  <c r="F146" i="2"/>
  <c r="BQ45" i="4"/>
  <c r="BN13" i="4"/>
  <c r="CK78" i="17"/>
  <c r="CK72" i="4"/>
  <c r="CK70" i="4" s="1"/>
  <c r="CK69" i="4" s="1"/>
  <c r="CK73" i="4" s="1"/>
  <c r="DE32" i="4"/>
  <c r="BO20" i="4"/>
  <c r="CN20" i="4" s="1"/>
  <c r="CM60" i="3"/>
  <c r="DE14" i="4"/>
  <c r="CZ69" i="4"/>
  <c r="CZ73" i="4" s="1"/>
  <c r="CI144" i="2"/>
  <c r="CX72" i="4"/>
  <c r="CX70" i="4" s="1"/>
  <c r="AM148" i="2"/>
  <c r="AM146" i="2" s="1"/>
  <c r="AM142" i="2"/>
  <c r="CV69" i="4"/>
  <c r="CV73" i="4" s="1"/>
  <c r="CV144" i="2"/>
  <c r="CT72" i="4"/>
  <c r="CT70" i="4" s="1"/>
  <c r="W148" i="2"/>
  <c r="CR69" i="4"/>
  <c r="CR73" i="4" s="1"/>
  <c r="CA144" i="2"/>
  <c r="BY78" i="17"/>
  <c r="BY72" i="4"/>
  <c r="BY70" i="4" s="1"/>
  <c r="BY69" i="4" s="1"/>
  <c r="BY73" i="4" s="1"/>
  <c r="BO39" i="4"/>
  <c r="CN39" i="4" s="1"/>
  <c r="CU57" i="4"/>
  <c r="CU58" i="4" s="1"/>
  <c r="CU34" i="4"/>
  <c r="CK144" i="2"/>
  <c r="AQ146" i="2"/>
  <c r="CY148" i="2"/>
  <c r="CH148" i="2"/>
  <c r="CW148" i="2"/>
  <c r="CF148" i="2"/>
  <c r="CU148" i="2"/>
  <c r="CD148" i="2"/>
  <c r="CB148" i="2"/>
  <c r="CS148" i="2"/>
  <c r="CN38" i="4"/>
  <c r="CN45" i="4"/>
  <c r="CN41" i="4"/>
  <c r="DE57" i="3"/>
  <c r="BQ57" i="3"/>
  <c r="BR57" i="3" s="1"/>
  <c r="BS57" i="3" s="1"/>
  <c r="CN56" i="3"/>
  <c r="BP56" i="3"/>
  <c r="BN79" i="3"/>
  <c r="BN80" i="3" s="1"/>
  <c r="BN40" i="4"/>
  <c r="BO30" i="3"/>
  <c r="BM46" i="4"/>
  <c r="CN19" i="3"/>
  <c r="BP19" i="3"/>
  <c r="BP16" i="4" s="1"/>
  <c r="BM12" i="4"/>
  <c r="BM46" i="3"/>
  <c r="CN17" i="3"/>
  <c r="BP17" i="3"/>
  <c r="BN18" i="3"/>
  <c r="DD33" i="4"/>
  <c r="AM117" i="2" l="1"/>
  <c r="CO75" i="2"/>
  <c r="CO76" i="2"/>
  <c r="CS147" i="2"/>
  <c r="CS146" i="2" s="1"/>
  <c r="X296" i="3"/>
  <c r="X8" i="4"/>
  <c r="X27" i="4" s="1"/>
  <c r="X50" i="4" s="1"/>
  <c r="X114" i="2"/>
  <c r="CO90" i="2"/>
  <c r="DF75" i="2"/>
  <c r="BI114" i="2"/>
  <c r="CK69" i="2"/>
  <c r="CI142" i="2"/>
  <c r="DF56" i="2"/>
  <c r="BI296" i="3"/>
  <c r="CB143" i="2"/>
  <c r="CB142" i="2" s="1"/>
  <c r="G146" i="2"/>
  <c r="K85" i="3"/>
  <c r="BZ85" i="3" s="1"/>
  <c r="AT85" i="3"/>
  <c r="AX85" i="3"/>
  <c r="CH146" i="2"/>
  <c r="CF143" i="2"/>
  <c r="CF142" i="2" s="1"/>
  <c r="AC85" i="3"/>
  <c r="G142" i="2"/>
  <c r="J85" i="3" s="1"/>
  <c r="CU143" i="2"/>
  <c r="CU142" i="2" s="1"/>
  <c r="BB85" i="3"/>
  <c r="BK78" i="17"/>
  <c r="BK79" i="17" s="1"/>
  <c r="BK144" i="2"/>
  <c r="CO57" i="3"/>
  <c r="BT57" i="3"/>
  <c r="CO9" i="3"/>
  <c r="BT9" i="3"/>
  <c r="BU31" i="3"/>
  <c r="BV31" i="3" s="1"/>
  <c r="BW31" i="3" s="1"/>
  <c r="CP31" i="3" s="1"/>
  <c r="DF31" i="3"/>
  <c r="CO24" i="3"/>
  <c r="BT24" i="3"/>
  <c r="BR36" i="2"/>
  <c r="BS36" i="2" s="1"/>
  <c r="BT36" i="2" s="1"/>
  <c r="CO78" i="2"/>
  <c r="CO56" i="2"/>
  <c r="DF17" i="2"/>
  <c r="DF76" i="2"/>
  <c r="DF90" i="2"/>
  <c r="BU17" i="2"/>
  <c r="BV17" i="2" s="1"/>
  <c r="BW17" i="2" s="1"/>
  <c r="BU76" i="2"/>
  <c r="BV76" i="2" s="1"/>
  <c r="BW76" i="2" s="1"/>
  <c r="BU90" i="2"/>
  <c r="BV90" i="2" s="1"/>
  <c r="BW90" i="2" s="1"/>
  <c r="BR35" i="2"/>
  <c r="BS35" i="2" s="1"/>
  <c r="BT35" i="2" s="1"/>
  <c r="DF78" i="2"/>
  <c r="BR110" i="2"/>
  <c r="BS110" i="2" s="1"/>
  <c r="BT110" i="2" s="1"/>
  <c r="BR58" i="2"/>
  <c r="BS58" i="2" s="1"/>
  <c r="BT58" i="2" s="1"/>
  <c r="BU75" i="2"/>
  <c r="BV75" i="2" s="1"/>
  <c r="BW75" i="2" s="1"/>
  <c r="BU56" i="2"/>
  <c r="BV56" i="2" s="1"/>
  <c r="BW56" i="2" s="1"/>
  <c r="BU57" i="2"/>
  <c r="BV57" i="2" s="1"/>
  <c r="BW57" i="2" s="1"/>
  <c r="BU78" i="2"/>
  <c r="BV78" i="2" s="1"/>
  <c r="BW78" i="2" s="1"/>
  <c r="BR45" i="4"/>
  <c r="BS45" i="4" s="1"/>
  <c r="BT45" i="4" s="1"/>
  <c r="BR38" i="4"/>
  <c r="BS38" i="4" s="1"/>
  <c r="BT38" i="4" s="1"/>
  <c r="BR19" i="4"/>
  <c r="BS19" i="4" s="1"/>
  <c r="BT19" i="4" s="1"/>
  <c r="BR41" i="4"/>
  <c r="BS41" i="4" s="1"/>
  <c r="BT41" i="4" s="1"/>
  <c r="BR31" i="4"/>
  <c r="BS31" i="4" s="1"/>
  <c r="BT31" i="4" s="1"/>
  <c r="CY146" i="2"/>
  <c r="CG142" i="2"/>
  <c r="DE37" i="4"/>
  <c r="AK85" i="3"/>
  <c r="L85" i="3"/>
  <c r="AJ85" i="3"/>
  <c r="CW85" i="3" s="1"/>
  <c r="BP42" i="4"/>
  <c r="DE10" i="3"/>
  <c r="BQ10" i="3"/>
  <c r="AS85" i="3"/>
  <c r="T85" i="3"/>
  <c r="CS85" i="3" s="1"/>
  <c r="M85" i="3"/>
  <c r="CK142" i="2"/>
  <c r="AW85" i="3"/>
  <c r="S85" i="3"/>
  <c r="CB85" i="3" s="1"/>
  <c r="CK146" i="2"/>
  <c r="AA85" i="3"/>
  <c r="CD85" i="3" s="1"/>
  <c r="CE143" i="2"/>
  <c r="CE142" i="2" s="1"/>
  <c r="AQ85" i="3"/>
  <c r="CH85" i="3" s="1"/>
  <c r="CU147" i="2"/>
  <c r="CU146" i="2" s="1"/>
  <c r="AD85" i="3"/>
  <c r="V85" i="3"/>
  <c r="N85" i="3"/>
  <c r="CB146" i="2"/>
  <c r="CD146" i="2"/>
  <c r="AA146" i="2"/>
  <c r="W142" i="2"/>
  <c r="Z85" i="3" s="1"/>
  <c r="AP85" i="3"/>
  <c r="O146" i="2"/>
  <c r="AE142" i="2"/>
  <c r="AG85" i="3" s="1"/>
  <c r="K146" i="2"/>
  <c r="DB142" i="2"/>
  <c r="BH41" i="17"/>
  <c r="CD143" i="2"/>
  <c r="CD142" i="2" s="1"/>
  <c r="CN46" i="2"/>
  <c r="CN100" i="2" s="1"/>
  <c r="AB85" i="3"/>
  <c r="CU85" i="3" s="1"/>
  <c r="AR85" i="3"/>
  <c r="CY85" i="3" s="1"/>
  <c r="U85" i="3"/>
  <c r="BC85" i="3"/>
  <c r="CK85" i="3" s="1"/>
  <c r="CF146" i="2"/>
  <c r="AI146" i="2"/>
  <c r="BE85" i="3"/>
  <c r="W146" i="2"/>
  <c r="BY148" i="2"/>
  <c r="BY146" i="2" s="1"/>
  <c r="O142" i="2"/>
  <c r="AE146" i="2"/>
  <c r="DB148" i="2"/>
  <c r="DB146" i="2" s="1"/>
  <c r="BF85" i="3"/>
  <c r="BH40" i="17"/>
  <c r="BH81" i="17"/>
  <c r="BH82" i="17" s="1"/>
  <c r="BZ143" i="2"/>
  <c r="BZ142" i="2" s="1"/>
  <c r="CW147" i="2"/>
  <c r="CW146" i="2" s="1"/>
  <c r="P8" i="4"/>
  <c r="P27" i="4" s="1"/>
  <c r="P50" i="4" s="1"/>
  <c r="P296" i="3"/>
  <c r="P114" i="2"/>
  <c r="D296" i="3"/>
  <c r="D8" i="4"/>
  <c r="D27" i="4" s="1"/>
  <c r="D50" i="4" s="1"/>
  <c r="D51" i="4" s="1"/>
  <c r="D114" i="2"/>
  <c r="AF296" i="3"/>
  <c r="AF114" i="2"/>
  <c r="AF8" i="4"/>
  <c r="AF27" i="4" s="1"/>
  <c r="AF50" i="4" s="1"/>
  <c r="BA85" i="3"/>
  <c r="AL85" i="3"/>
  <c r="BD85" i="3"/>
  <c r="DB85" i="3" s="1"/>
  <c r="AI85" i="3"/>
  <c r="CF85" i="3" s="1"/>
  <c r="AU85" i="3"/>
  <c r="CI85" i="3" s="1"/>
  <c r="AV85" i="3"/>
  <c r="CZ85" i="3" s="1"/>
  <c r="BZ146" i="2"/>
  <c r="CN109" i="2"/>
  <c r="CN111" i="2" s="1"/>
  <c r="CN101" i="2" s="1"/>
  <c r="AI116" i="2"/>
  <c r="AI99" i="2"/>
  <c r="AI113" i="2"/>
  <c r="CG98" i="2"/>
  <c r="CG82" i="2"/>
  <c r="CG89" i="2"/>
  <c r="AR296" i="3"/>
  <c r="AR114" i="2"/>
  <c r="AR8" i="4"/>
  <c r="AC27" i="4"/>
  <c r="BY83" i="2"/>
  <c r="BY69" i="2"/>
  <c r="O102" i="2"/>
  <c r="O84" i="2"/>
  <c r="O94" i="2"/>
  <c r="AE104" i="2"/>
  <c r="AE86" i="2"/>
  <c r="AE96" i="2"/>
  <c r="Q27" i="4"/>
  <c r="CY116" i="2"/>
  <c r="CY113" i="2"/>
  <c r="CY114" i="2" s="1"/>
  <c r="CY99" i="2"/>
  <c r="DC116" i="2"/>
  <c r="DC113" i="2"/>
  <c r="DC114" i="2" s="1"/>
  <c r="DC99" i="2"/>
  <c r="E85" i="3"/>
  <c r="D85" i="3"/>
  <c r="F118" i="2"/>
  <c r="F105" i="2"/>
  <c r="L117" i="2"/>
  <c r="L103" i="2"/>
  <c r="CA143" i="2"/>
  <c r="CA142" i="2" s="1"/>
  <c r="R118" i="2"/>
  <c r="R105" i="2"/>
  <c r="V118" i="2"/>
  <c r="V105" i="2"/>
  <c r="AB117" i="2"/>
  <c r="AB103" i="2"/>
  <c r="AH117" i="2"/>
  <c r="AH103" i="2"/>
  <c r="AL117" i="2"/>
  <c r="AL103" i="2"/>
  <c r="AT118" i="2"/>
  <c r="AT105" i="2"/>
  <c r="BB118" i="2"/>
  <c r="BB105" i="2"/>
  <c r="BJ118" i="2"/>
  <c r="BJ105" i="2"/>
  <c r="Q118" i="2"/>
  <c r="Q105" i="2"/>
  <c r="AW118" i="2"/>
  <c r="AW105" i="2"/>
  <c r="BZ85" i="2"/>
  <c r="BZ71" i="2"/>
  <c r="CS98" i="2"/>
  <c r="CS82" i="2"/>
  <c r="CS89" i="2"/>
  <c r="CW98" i="2"/>
  <c r="CW82" i="2"/>
  <c r="CW89" i="2"/>
  <c r="AN296" i="3"/>
  <c r="AN8" i="4"/>
  <c r="AN114" i="2"/>
  <c r="DE79" i="2"/>
  <c r="DE77" i="2"/>
  <c r="BQ74" i="2"/>
  <c r="BP73" i="2"/>
  <c r="CT98" i="2"/>
  <c r="CT82" i="2"/>
  <c r="CT89" i="2"/>
  <c r="R296" i="3"/>
  <c r="R8" i="4"/>
  <c r="R27" i="4" s="1"/>
  <c r="R114" i="2"/>
  <c r="BD296" i="3"/>
  <c r="BD8" i="4"/>
  <c r="BD114" i="2"/>
  <c r="BS55" i="2"/>
  <c r="CO55" i="2" s="1"/>
  <c r="BR53" i="2"/>
  <c r="AS27" i="4"/>
  <c r="BY98" i="2"/>
  <c r="BY82" i="2"/>
  <c r="BY89" i="2"/>
  <c r="CC85" i="2"/>
  <c r="CC71" i="2"/>
  <c r="G104" i="2"/>
  <c r="G86" i="2"/>
  <c r="G96" i="2"/>
  <c r="W104" i="2"/>
  <c r="W86" i="2"/>
  <c r="W96" i="2"/>
  <c r="CG102" i="2"/>
  <c r="CG84" i="2"/>
  <c r="CG94" i="2"/>
  <c r="CK102" i="2"/>
  <c r="CK84" i="2"/>
  <c r="CK94" i="2"/>
  <c r="CZ104" i="2"/>
  <c r="CZ86" i="2"/>
  <c r="CZ96" i="2"/>
  <c r="U117" i="2"/>
  <c r="U103" i="2"/>
  <c r="BA117" i="2"/>
  <c r="BA103" i="2"/>
  <c r="BG118" i="2"/>
  <c r="BG105" i="2"/>
  <c r="BQ46" i="2"/>
  <c r="F296" i="3"/>
  <c r="F8" i="4"/>
  <c r="F27" i="4" s="1"/>
  <c r="F114" i="2"/>
  <c r="AL296" i="3"/>
  <c r="AL8" i="4"/>
  <c r="AL27" i="4" s="1"/>
  <c r="AL114" i="2"/>
  <c r="BP123" i="2"/>
  <c r="CN131" i="2"/>
  <c r="BG8" i="4"/>
  <c r="BG27" i="4" s="1"/>
  <c r="BG296" i="3"/>
  <c r="BG114" i="2"/>
  <c r="CH116" i="2"/>
  <c r="CH113" i="2"/>
  <c r="CH99" i="2"/>
  <c r="BO109" i="2"/>
  <c r="BO111" i="2" s="1"/>
  <c r="BO101" i="2" s="1"/>
  <c r="BP18" i="2"/>
  <c r="DE18" i="2" s="1"/>
  <c r="CS85" i="2"/>
  <c r="CS71" i="2"/>
  <c r="CW83" i="2"/>
  <c r="CW69" i="2"/>
  <c r="H118" i="2"/>
  <c r="H105" i="2"/>
  <c r="P118" i="2"/>
  <c r="P105" i="2"/>
  <c r="X118" i="2"/>
  <c r="X105" i="2"/>
  <c r="AF118" i="2"/>
  <c r="AF105" i="2"/>
  <c r="AN118" i="2"/>
  <c r="AN105" i="2"/>
  <c r="M118" i="2"/>
  <c r="M105" i="2"/>
  <c r="CT147" i="2"/>
  <c r="AS118" i="2"/>
  <c r="AS105" i="2"/>
  <c r="CE82" i="2"/>
  <c r="CE98" i="2"/>
  <c r="CE89" i="2"/>
  <c r="CE85" i="2"/>
  <c r="CE71" i="2"/>
  <c r="CT85" i="2"/>
  <c r="CT71" i="2"/>
  <c r="DB116" i="2"/>
  <c r="DB99" i="2"/>
  <c r="DB113" i="2"/>
  <c r="DB114" i="2" s="1"/>
  <c r="AG117" i="2"/>
  <c r="AG103" i="2"/>
  <c r="AM105" i="2"/>
  <c r="AM118" i="2"/>
  <c r="CO35" i="2"/>
  <c r="CK104" i="2"/>
  <c r="CK86" i="2"/>
  <c r="CK96" i="2"/>
  <c r="CZ102" i="2"/>
  <c r="CZ84" i="2"/>
  <c r="CZ94" i="2"/>
  <c r="G116" i="2"/>
  <c r="G99" i="2"/>
  <c r="G113" i="2"/>
  <c r="W116" i="2"/>
  <c r="W99" i="2"/>
  <c r="W113" i="2"/>
  <c r="BF296" i="3"/>
  <c r="BF8" i="4"/>
  <c r="BF27" i="4" s="1"/>
  <c r="BF114" i="2"/>
  <c r="BQ73" i="3"/>
  <c r="BR126" i="2"/>
  <c r="BZ73" i="17"/>
  <c r="BZ69" i="17"/>
  <c r="H296" i="3"/>
  <c r="H8" i="4"/>
  <c r="H114" i="2"/>
  <c r="AO27" i="4"/>
  <c r="CV82" i="2"/>
  <c r="CV98" i="2"/>
  <c r="CV89" i="2"/>
  <c r="BO100" i="2"/>
  <c r="P117" i="2"/>
  <c r="P103" i="2"/>
  <c r="AF117" i="2"/>
  <c r="AF103" i="2"/>
  <c r="AR118" i="2"/>
  <c r="AR105" i="2"/>
  <c r="AZ118" i="2"/>
  <c r="AZ105" i="2"/>
  <c r="BH118" i="2"/>
  <c r="BH105" i="2"/>
  <c r="Y118" i="2"/>
  <c r="Y105" i="2"/>
  <c r="BE118" i="2"/>
  <c r="BE105" i="2"/>
  <c r="BZ83" i="2"/>
  <c r="BZ69" i="2"/>
  <c r="BZ98" i="2"/>
  <c r="BZ82" i="2"/>
  <c r="BZ89" i="2"/>
  <c r="CH104" i="2"/>
  <c r="CH86" i="2"/>
  <c r="CH96" i="2"/>
  <c r="CA83" i="2"/>
  <c r="CA69" i="2"/>
  <c r="S102" i="2"/>
  <c r="S84" i="2"/>
  <c r="S94" i="2"/>
  <c r="K116" i="2"/>
  <c r="K99" i="2"/>
  <c r="K113" i="2"/>
  <c r="Z296" i="3"/>
  <c r="Z8" i="4"/>
  <c r="Z114" i="2"/>
  <c r="AV296" i="3"/>
  <c r="AV8" i="4"/>
  <c r="AV114" i="2"/>
  <c r="I76" i="4"/>
  <c r="I50" i="4"/>
  <c r="BI76" i="4"/>
  <c r="BI50" i="4"/>
  <c r="G69" i="17"/>
  <c r="G64" i="17"/>
  <c r="CV83" i="2"/>
  <c r="CV69" i="2"/>
  <c r="CX116" i="2"/>
  <c r="CX99" i="2"/>
  <c r="CX113" i="2"/>
  <c r="CX114" i="2" s="1"/>
  <c r="AC117" i="2"/>
  <c r="AC103" i="2"/>
  <c r="BI117" i="2"/>
  <c r="BI103" i="2"/>
  <c r="AD296" i="3"/>
  <c r="AD8" i="4"/>
  <c r="AD27" i="4" s="1"/>
  <c r="AD114" i="2"/>
  <c r="BJ8" i="4"/>
  <c r="BJ27" i="4" s="1"/>
  <c r="BJ114" i="2"/>
  <c r="BJ296" i="3"/>
  <c r="AY8" i="4"/>
  <c r="AY27" i="4" s="1"/>
  <c r="AY296" i="3"/>
  <c r="AY114" i="2"/>
  <c r="F117" i="2"/>
  <c r="F103" i="2"/>
  <c r="N117" i="2"/>
  <c r="N103" i="2"/>
  <c r="V117" i="2"/>
  <c r="V103" i="2"/>
  <c r="AD118" i="2"/>
  <c r="AD105" i="2"/>
  <c r="AL118" i="2"/>
  <c r="AL105" i="2"/>
  <c r="AR117" i="2"/>
  <c r="AR103" i="2"/>
  <c r="AX117" i="2"/>
  <c r="AX103" i="2"/>
  <c r="BB117" i="2"/>
  <c r="BB103" i="2"/>
  <c r="BG85" i="3"/>
  <c r="CL85" i="3" s="1"/>
  <c r="BH117" i="2"/>
  <c r="BH103" i="2"/>
  <c r="CH102" i="2"/>
  <c r="CH84" i="2"/>
  <c r="CH94" i="2"/>
  <c r="CL104" i="2"/>
  <c r="CL86" i="2"/>
  <c r="CL96" i="2"/>
  <c r="DA102" i="2"/>
  <c r="DA84" i="2"/>
  <c r="DA94" i="2"/>
  <c r="U118" i="2"/>
  <c r="U105" i="2"/>
  <c r="CV147" i="2"/>
  <c r="BA118" i="2"/>
  <c r="BA105" i="2"/>
  <c r="AW27" i="4"/>
  <c r="CA82" i="2"/>
  <c r="CA98" i="2"/>
  <c r="CA89" i="2"/>
  <c r="CE83" i="2"/>
  <c r="CE69" i="2"/>
  <c r="K102" i="2"/>
  <c r="K84" i="2"/>
  <c r="K94" i="2"/>
  <c r="AA104" i="2"/>
  <c r="AA86" i="2"/>
  <c r="AA96" i="2"/>
  <c r="AI104" i="2"/>
  <c r="AI86" i="2"/>
  <c r="AI96" i="2"/>
  <c r="I117" i="2"/>
  <c r="I103" i="2"/>
  <c r="CW143" i="2"/>
  <c r="CW142" i="2" s="1"/>
  <c r="AO117" i="2"/>
  <c r="AO103" i="2"/>
  <c r="AZ85" i="3"/>
  <c r="DA85" i="3" s="1"/>
  <c r="AU105" i="2"/>
  <c r="AU118" i="2"/>
  <c r="BH296" i="3"/>
  <c r="BH114" i="2"/>
  <c r="BH8" i="4"/>
  <c r="BH27" i="4" s="1"/>
  <c r="AX296" i="3"/>
  <c r="AX8" i="4"/>
  <c r="AX27" i="4" s="1"/>
  <c r="AX114" i="2"/>
  <c r="AM8" i="4"/>
  <c r="AM27" i="4" s="1"/>
  <c r="AM296" i="3"/>
  <c r="AM114" i="2"/>
  <c r="CN123" i="2"/>
  <c r="CC98" i="2"/>
  <c r="CC82" i="2"/>
  <c r="CC89" i="2"/>
  <c r="CR82" i="2"/>
  <c r="CR98" i="2"/>
  <c r="CR89" i="2"/>
  <c r="DB102" i="2"/>
  <c r="DB84" i="2"/>
  <c r="DB94" i="2"/>
  <c r="CV142" i="2"/>
  <c r="AA116" i="2"/>
  <c r="AA99" i="2"/>
  <c r="AA113" i="2"/>
  <c r="DB65" i="17"/>
  <c r="DB46" i="17"/>
  <c r="DB69" i="17"/>
  <c r="DB36" i="17"/>
  <c r="DB56" i="17"/>
  <c r="T296" i="3"/>
  <c r="T114" i="2"/>
  <c r="T8" i="4"/>
  <c r="BA27" i="4"/>
  <c r="G102" i="2"/>
  <c r="G84" i="2"/>
  <c r="G94" i="2"/>
  <c r="W102" i="2"/>
  <c r="W84" i="2"/>
  <c r="W94" i="2"/>
  <c r="CG104" i="2"/>
  <c r="CG86" i="2"/>
  <c r="CG96" i="2"/>
  <c r="CB83" i="2"/>
  <c r="CB69" i="2"/>
  <c r="CF83" i="2"/>
  <c r="CF69" i="2"/>
  <c r="DA116" i="2"/>
  <c r="DA113" i="2"/>
  <c r="DA114" i="2" s="1"/>
  <c r="DA99" i="2"/>
  <c r="D117" i="2"/>
  <c r="D103" i="2"/>
  <c r="J118" i="2"/>
  <c r="J105" i="2"/>
  <c r="N118" i="2"/>
  <c r="N105" i="2"/>
  <c r="T117" i="2"/>
  <c r="T103" i="2"/>
  <c r="CC143" i="2"/>
  <c r="CC142" i="2" s="1"/>
  <c r="Z118" i="2"/>
  <c r="Z105" i="2"/>
  <c r="AD117" i="2"/>
  <c r="AD103" i="2"/>
  <c r="AJ117" i="2"/>
  <c r="AJ103" i="2"/>
  <c r="AP117" i="2"/>
  <c r="AP103" i="2"/>
  <c r="AX118" i="2"/>
  <c r="AX105" i="2"/>
  <c r="BF118" i="2"/>
  <c r="BF105" i="2"/>
  <c r="CJ102" i="2"/>
  <c r="CJ84" i="2"/>
  <c r="CJ94" i="2"/>
  <c r="CY104" i="2"/>
  <c r="CY86" i="2"/>
  <c r="CY96" i="2"/>
  <c r="DC102" i="2"/>
  <c r="DC84" i="2"/>
  <c r="DC94" i="2"/>
  <c r="AG118" i="2"/>
  <c r="AG105" i="2"/>
  <c r="CL83" i="2"/>
  <c r="CL69" i="2"/>
  <c r="DA104" i="2"/>
  <c r="DA86" i="2"/>
  <c r="DA96" i="2"/>
  <c r="L296" i="3"/>
  <c r="L114" i="2"/>
  <c r="L8" i="4"/>
  <c r="BO79" i="2"/>
  <c r="BO77" i="2"/>
  <c r="CK116" i="2"/>
  <c r="CK99" i="2"/>
  <c r="CK113" i="2"/>
  <c r="AH296" i="3"/>
  <c r="AH8" i="4"/>
  <c r="AH27" i="4" s="1"/>
  <c r="AH114" i="2"/>
  <c r="U27" i="4"/>
  <c r="CV85" i="2"/>
  <c r="CV71" i="2"/>
  <c r="O104" i="2"/>
  <c r="O86" i="2"/>
  <c r="O96" i="2"/>
  <c r="AE102" i="2"/>
  <c r="AE84" i="2"/>
  <c r="AE94" i="2"/>
  <c r="E117" i="2"/>
  <c r="E103" i="2"/>
  <c r="AK117" i="2"/>
  <c r="AK103" i="2"/>
  <c r="AQ118" i="2"/>
  <c r="AQ105" i="2"/>
  <c r="V296" i="3"/>
  <c r="V8" i="4"/>
  <c r="V27" i="4" s="1"/>
  <c r="V114" i="2"/>
  <c r="BQ125" i="2"/>
  <c r="BO44" i="4"/>
  <c r="BO62" i="3" s="1"/>
  <c r="CN62" i="3" s="1"/>
  <c r="BP131" i="2"/>
  <c r="BC117" i="2"/>
  <c r="BC103" i="2"/>
  <c r="BB296" i="3"/>
  <c r="BB8" i="4"/>
  <c r="BB27" i="4" s="1"/>
  <c r="BB114" i="2"/>
  <c r="AQ8" i="4"/>
  <c r="AQ27" i="4" s="1"/>
  <c r="AQ296" i="3"/>
  <c r="AQ114" i="2"/>
  <c r="E76" i="4"/>
  <c r="E50" i="4"/>
  <c r="CL116" i="2"/>
  <c r="CL113" i="2"/>
  <c r="CL99" i="2"/>
  <c r="CU85" i="2"/>
  <c r="CU71" i="2"/>
  <c r="CD83" i="2"/>
  <c r="CD69" i="2"/>
  <c r="D118" i="2"/>
  <c r="D105" i="2"/>
  <c r="L118" i="2"/>
  <c r="L105" i="2"/>
  <c r="T118" i="2"/>
  <c r="T105" i="2"/>
  <c r="AB118" i="2"/>
  <c r="AB105" i="2"/>
  <c r="AJ118" i="2"/>
  <c r="AJ105" i="2"/>
  <c r="AV117" i="2"/>
  <c r="AV103" i="2"/>
  <c r="BD117" i="2"/>
  <c r="BD103" i="2"/>
  <c r="AC118" i="2"/>
  <c r="AC105" i="2"/>
  <c r="BI118" i="2"/>
  <c r="BI105" i="2"/>
  <c r="Q117" i="2"/>
  <c r="Q103" i="2"/>
  <c r="AW117" i="2"/>
  <c r="AW103" i="2"/>
  <c r="BC105" i="2"/>
  <c r="BC118" i="2"/>
  <c r="AZ296" i="3"/>
  <c r="AZ114" i="2"/>
  <c r="AZ8" i="4"/>
  <c r="O116" i="2"/>
  <c r="O99" i="2"/>
  <c r="O113" i="2"/>
  <c r="AE116" i="2"/>
  <c r="AE99" i="2"/>
  <c r="AE113" i="2"/>
  <c r="AU8" i="4"/>
  <c r="AU27" i="4" s="1"/>
  <c r="AU296" i="3"/>
  <c r="AU114" i="2"/>
  <c r="AJ296" i="3"/>
  <c r="AJ114" i="2"/>
  <c r="AJ8" i="4"/>
  <c r="M27" i="4"/>
  <c r="BY85" i="2"/>
  <c r="BY71" i="2"/>
  <c r="CR83" i="2"/>
  <c r="CR69" i="2"/>
  <c r="CR85" i="2"/>
  <c r="CR71" i="2"/>
  <c r="BP100" i="2"/>
  <c r="BQ9" i="2"/>
  <c r="DE9" i="2"/>
  <c r="AG27" i="4"/>
  <c r="CB85" i="2"/>
  <c r="CB71" i="2"/>
  <c r="CF85" i="2"/>
  <c r="CF71" i="2"/>
  <c r="H117" i="2"/>
  <c r="H103" i="2"/>
  <c r="X117" i="2"/>
  <c r="X103" i="2"/>
  <c r="AN117" i="2"/>
  <c r="AN103" i="2"/>
  <c r="AV118" i="2"/>
  <c r="AV105" i="2"/>
  <c r="BD118" i="2"/>
  <c r="BD105" i="2"/>
  <c r="I118" i="2"/>
  <c r="I105" i="2"/>
  <c r="AO118" i="2"/>
  <c r="AO105" i="2"/>
  <c r="BQ47" i="2"/>
  <c r="AB296" i="3"/>
  <c r="AB114" i="2"/>
  <c r="AB8" i="4"/>
  <c r="BE27" i="4"/>
  <c r="DA6" i="4"/>
  <c r="DA6" i="3"/>
  <c r="DB7" i="2"/>
  <c r="CA85" i="2"/>
  <c r="CA71" i="2"/>
  <c r="K104" i="2"/>
  <c r="K86" i="2"/>
  <c r="K96" i="2"/>
  <c r="AA102" i="2"/>
  <c r="AA84" i="2"/>
  <c r="AA94" i="2"/>
  <c r="CI83" i="2"/>
  <c r="CI69" i="2"/>
  <c r="CX104" i="2"/>
  <c r="CX86" i="2"/>
  <c r="CX96" i="2"/>
  <c r="S116" i="2"/>
  <c r="S99" i="2"/>
  <c r="S113" i="2"/>
  <c r="J296" i="3"/>
  <c r="J8" i="4"/>
  <c r="J27" i="4" s="1"/>
  <c r="J114" i="2"/>
  <c r="AP296" i="3"/>
  <c r="AP8" i="4"/>
  <c r="AP27" i="4" s="1"/>
  <c r="AP114" i="2"/>
  <c r="AK27" i="4"/>
  <c r="BY12" i="17"/>
  <c r="BY63" i="17"/>
  <c r="CC83" i="2"/>
  <c r="CC69" i="2"/>
  <c r="M117" i="2"/>
  <c r="M103" i="2"/>
  <c r="AS117" i="2"/>
  <c r="AS103" i="2"/>
  <c r="AY118" i="2"/>
  <c r="AY105" i="2"/>
  <c r="N296" i="3"/>
  <c r="N8" i="4"/>
  <c r="N27" i="4" s="1"/>
  <c r="N114" i="2"/>
  <c r="AT296" i="3"/>
  <c r="AT8" i="4"/>
  <c r="AT27" i="4" s="1"/>
  <c r="AT114" i="2"/>
  <c r="BP92" i="2"/>
  <c r="CI296" i="3"/>
  <c r="CI114" i="2"/>
  <c r="Y27" i="4"/>
  <c r="CB98" i="2"/>
  <c r="CB82" i="2"/>
  <c r="CB89" i="2"/>
  <c r="CF98" i="2"/>
  <c r="CF82" i="2"/>
  <c r="CF89" i="2"/>
  <c r="CJ116" i="2"/>
  <c r="CJ113" i="2"/>
  <c r="CJ99" i="2"/>
  <c r="CU83" i="2"/>
  <c r="CU69" i="2"/>
  <c r="CJ104" i="2"/>
  <c r="CJ86" i="2"/>
  <c r="CJ96" i="2"/>
  <c r="DC86" i="2"/>
  <c r="DC104" i="2"/>
  <c r="DC96" i="2"/>
  <c r="CD85" i="2"/>
  <c r="CD71" i="2"/>
  <c r="CS83" i="2"/>
  <c r="CS69" i="2"/>
  <c r="CW85" i="2"/>
  <c r="CW71" i="2"/>
  <c r="J117" i="2"/>
  <c r="J103" i="2"/>
  <c r="CA147" i="2"/>
  <c r="R117" i="2"/>
  <c r="R103" i="2"/>
  <c r="Z117" i="2"/>
  <c r="Z103" i="2"/>
  <c r="AH118" i="2"/>
  <c r="AH105" i="2"/>
  <c r="AP118" i="2"/>
  <c r="AP105" i="2"/>
  <c r="AT117" i="2"/>
  <c r="AT103" i="2"/>
  <c r="AZ117" i="2"/>
  <c r="AZ103" i="2"/>
  <c r="BF117" i="2"/>
  <c r="BF103" i="2"/>
  <c r="BJ117" i="2"/>
  <c r="BJ103" i="2"/>
  <c r="E118" i="2"/>
  <c r="E105" i="2"/>
  <c r="AK118" i="2"/>
  <c r="AK105" i="2"/>
  <c r="CT83" i="2"/>
  <c r="CT69" i="2"/>
  <c r="S104" i="2"/>
  <c r="S86" i="2"/>
  <c r="S96" i="2"/>
  <c r="AI102" i="2"/>
  <c r="AI84" i="2"/>
  <c r="AI94" i="2"/>
  <c r="CI104" i="2"/>
  <c r="CI86" i="2"/>
  <c r="CI96" i="2"/>
  <c r="CX102" i="2"/>
  <c r="CX84" i="2"/>
  <c r="CX94" i="2"/>
  <c r="CS143" i="2"/>
  <c r="CS142" i="2" s="1"/>
  <c r="Y117" i="2"/>
  <c r="Y103" i="2"/>
  <c r="BE117" i="2"/>
  <c r="BE103" i="2"/>
  <c r="BP107" i="2"/>
  <c r="BP10" i="4" s="1"/>
  <c r="BQ16" i="2"/>
  <c r="DE16" i="2"/>
  <c r="DE107" i="2" s="1"/>
  <c r="BN122" i="2"/>
  <c r="BM127" i="2"/>
  <c r="BC8" i="4"/>
  <c r="BC27" i="4" s="1"/>
  <c r="BC296" i="3"/>
  <c r="BC114" i="2"/>
  <c r="DB104" i="2"/>
  <c r="DB86" i="2"/>
  <c r="DB96" i="2"/>
  <c r="CD98" i="2"/>
  <c r="CD82" i="2"/>
  <c r="CD89" i="2"/>
  <c r="DE46" i="2"/>
  <c r="CY102" i="2"/>
  <c r="CY84" i="2"/>
  <c r="CY94" i="2"/>
  <c r="CU98" i="2"/>
  <c r="CU82" i="2"/>
  <c r="CU89" i="2"/>
  <c r="AX39" i="17"/>
  <c r="AX81" i="17"/>
  <c r="AX82" i="17" s="1"/>
  <c r="AX41" i="17"/>
  <c r="AY39" i="17"/>
  <c r="DA38" i="17"/>
  <c r="CJ38" i="17"/>
  <c r="BD81" i="17"/>
  <c r="BD82" i="17" s="1"/>
  <c r="BD41" i="17"/>
  <c r="BD40" i="17"/>
  <c r="BE39" i="17"/>
  <c r="DB38" i="17"/>
  <c r="BB81" i="17"/>
  <c r="BB82" i="17" s="1"/>
  <c r="BB39" i="17"/>
  <c r="CK38" i="17"/>
  <c r="BC39" i="17"/>
  <c r="BB40" i="17"/>
  <c r="BB41" i="17"/>
  <c r="CL56" i="17"/>
  <c r="CL69" i="17"/>
  <c r="CL36" i="17"/>
  <c r="CL65" i="17"/>
  <c r="CL46" i="17"/>
  <c r="DC69" i="17"/>
  <c r="DC46" i="17"/>
  <c r="DC36" i="17"/>
  <c r="DC65" i="17"/>
  <c r="DC56" i="17"/>
  <c r="CM38" i="17"/>
  <c r="BF40" i="17"/>
  <c r="BF39" i="17"/>
  <c r="DC38" i="17"/>
  <c r="BJ40" i="17"/>
  <c r="CL38" i="17"/>
  <c r="BF81" i="17"/>
  <c r="BF82" i="17" s="1"/>
  <c r="BF41" i="17"/>
  <c r="BG39" i="17"/>
  <c r="CM36" i="17"/>
  <c r="CM65" i="17"/>
  <c r="CM56" i="17"/>
  <c r="CM46" i="17"/>
  <c r="CF76" i="17"/>
  <c r="CF73" i="17"/>
  <c r="CF69" i="17"/>
  <c r="CF65" i="17"/>
  <c r="CG65" i="17"/>
  <c r="CN77" i="17"/>
  <c r="CM76" i="17"/>
  <c r="CW69" i="17"/>
  <c r="CW65" i="17"/>
  <c r="CX65" i="17"/>
  <c r="BS41" i="17"/>
  <c r="BT41" i="17" s="1"/>
  <c r="BU41" i="17" s="1"/>
  <c r="BV41" i="17" s="1"/>
  <c r="BW41" i="17" s="1"/>
  <c r="BG77" i="17"/>
  <c r="BG76" i="17" s="1"/>
  <c r="BG79" i="17" s="1"/>
  <c r="BF76" i="17"/>
  <c r="BF79" i="17" s="1"/>
  <c r="BJ76" i="17"/>
  <c r="BJ79" i="17" s="1"/>
  <c r="BO13" i="4"/>
  <c r="CN13" i="4" s="1"/>
  <c r="AM85" i="3"/>
  <c r="CG85" i="3" s="1"/>
  <c r="CX73" i="4"/>
  <c r="BO15" i="4"/>
  <c r="CN15" i="4" s="1"/>
  <c r="CR148" i="2"/>
  <c r="CR146" i="2" s="1"/>
  <c r="CE148" i="2"/>
  <c r="CE146" i="2" s="1"/>
  <c r="CI148" i="2"/>
  <c r="CI146" i="2" s="1"/>
  <c r="BJ63" i="4"/>
  <c r="BJ66" i="4" s="1"/>
  <c r="CN14" i="4"/>
  <c r="DD60" i="3"/>
  <c r="BN58" i="3"/>
  <c r="BM60" i="3"/>
  <c r="CN32" i="4"/>
  <c r="CN37" i="4"/>
  <c r="CT148" i="2"/>
  <c r="CX148" i="2"/>
  <c r="CX146" i="2" s="1"/>
  <c r="BP39" i="4"/>
  <c r="DE39" i="4" s="1"/>
  <c r="BP20" i="4"/>
  <c r="DE20" i="4" s="1"/>
  <c r="CT73" i="4"/>
  <c r="AN85" i="3"/>
  <c r="CX85" i="3" s="1"/>
  <c r="AO85" i="3"/>
  <c r="BO17" i="4"/>
  <c r="BP17" i="4" s="1"/>
  <c r="CM11" i="4"/>
  <c r="BN65" i="3"/>
  <c r="BM60" i="4"/>
  <c r="BN18" i="4"/>
  <c r="CA148" i="2"/>
  <c r="CV148" i="2"/>
  <c r="CZ148" i="2"/>
  <c r="CZ146" i="2" s="1"/>
  <c r="BQ14" i="4"/>
  <c r="BN59" i="3"/>
  <c r="BO59" i="3" s="1"/>
  <c r="BQ32" i="4"/>
  <c r="BQ37" i="4"/>
  <c r="CC148" i="2"/>
  <c r="CC146" i="2" s="1"/>
  <c r="CG148" i="2"/>
  <c r="CG146" i="2" s="1"/>
  <c r="DE56" i="3"/>
  <c r="BQ56" i="3"/>
  <c r="BN46" i="4"/>
  <c r="BO40" i="4"/>
  <c r="CN40" i="4" s="1"/>
  <c r="BP30" i="3"/>
  <c r="BO79" i="3"/>
  <c r="BO80" i="3" s="1"/>
  <c r="CN30" i="3"/>
  <c r="CN79" i="3" s="1"/>
  <c r="CN80" i="3" s="1"/>
  <c r="DE16" i="4"/>
  <c r="DE19" i="3"/>
  <c r="BQ19" i="3"/>
  <c r="BO18" i="3"/>
  <c r="BO33" i="4" s="1"/>
  <c r="DE17" i="3"/>
  <c r="BQ17" i="3"/>
  <c r="BN12" i="4"/>
  <c r="BN33" i="4"/>
  <c r="BN46" i="3"/>
  <c r="AE85" i="3" l="1"/>
  <c r="CE85" i="3" s="1"/>
  <c r="CA146" i="2"/>
  <c r="G85" i="3"/>
  <c r="BY85" i="3" s="1"/>
  <c r="X76" i="4"/>
  <c r="X77" i="4" s="1"/>
  <c r="D76" i="4"/>
  <c r="D78" i="4" s="1"/>
  <c r="CP76" i="2"/>
  <c r="DF36" i="2"/>
  <c r="I85" i="3"/>
  <c r="H85" i="3"/>
  <c r="CO36" i="2"/>
  <c r="CP56" i="2"/>
  <c r="CO110" i="2"/>
  <c r="DF110" i="2"/>
  <c r="CP75" i="2"/>
  <c r="CO19" i="4"/>
  <c r="CO45" i="4"/>
  <c r="BK148" i="2"/>
  <c r="BK146" i="2" s="1"/>
  <c r="BK142" i="2"/>
  <c r="BK85" i="3" s="1"/>
  <c r="BO65" i="3"/>
  <c r="CN65" i="3" s="1"/>
  <c r="CO31" i="4"/>
  <c r="CO41" i="4"/>
  <c r="CO38" i="4"/>
  <c r="DF31" i="4"/>
  <c r="DF41" i="4"/>
  <c r="DF19" i="4"/>
  <c r="DF38" i="4"/>
  <c r="DF45" i="4"/>
  <c r="DF58" i="2"/>
  <c r="DF35" i="2"/>
  <c r="BU24" i="3"/>
  <c r="DF24" i="3"/>
  <c r="BU9" i="3"/>
  <c r="BV9" i="3" s="1"/>
  <c r="BW9" i="3" s="1"/>
  <c r="CP9" i="3" s="1"/>
  <c r="DF9" i="3"/>
  <c r="BU57" i="3"/>
  <c r="BV57" i="3" s="1"/>
  <c r="BW57" i="3" s="1"/>
  <c r="CP57" i="3" s="1"/>
  <c r="DF57" i="3"/>
  <c r="BS53" i="2"/>
  <c r="CO53" i="2" s="1"/>
  <c r="BT55" i="2"/>
  <c r="DF55" i="2" s="1"/>
  <c r="DF53" i="2" s="1"/>
  <c r="CO58" i="2"/>
  <c r="CP57" i="2"/>
  <c r="BU110" i="2"/>
  <c r="BV110" i="2" s="1"/>
  <c r="BW110" i="2" s="1"/>
  <c r="BU35" i="2"/>
  <c r="BV35" i="2" s="1"/>
  <c r="BW35" i="2" s="1"/>
  <c r="BR47" i="2"/>
  <c r="BS47" i="2" s="1"/>
  <c r="BT47" i="2" s="1"/>
  <c r="CP78" i="2"/>
  <c r="BU58" i="2"/>
  <c r="BV58" i="2" s="1"/>
  <c r="BW58" i="2" s="1"/>
  <c r="CP90" i="2"/>
  <c r="CP17" i="2"/>
  <c r="BU36" i="2"/>
  <c r="BV36" i="2" s="1"/>
  <c r="BW36" i="2" s="1"/>
  <c r="BR46" i="2"/>
  <c r="BS46" i="2" s="1"/>
  <c r="BT46" i="2" s="1"/>
  <c r="BR37" i="4"/>
  <c r="BS37" i="4" s="1"/>
  <c r="BT37" i="4" s="1"/>
  <c r="BR32" i="4"/>
  <c r="BS32" i="4" s="1"/>
  <c r="BT32" i="4" s="1"/>
  <c r="BR14" i="4"/>
  <c r="BS14" i="4" s="1"/>
  <c r="BT14" i="4" s="1"/>
  <c r="BU31" i="4"/>
  <c r="BU41" i="4"/>
  <c r="BV41" i="4" s="1"/>
  <c r="BW41" i="4" s="1"/>
  <c r="BU19" i="4"/>
  <c r="BV19" i="4" s="1"/>
  <c r="BW19" i="4" s="1"/>
  <c r="BU38" i="4"/>
  <c r="BV38" i="4" s="1"/>
  <c r="BW38" i="4" s="1"/>
  <c r="BU45" i="4"/>
  <c r="BV45" i="4" s="1"/>
  <c r="BW45" i="4" s="1"/>
  <c r="X85" i="3"/>
  <c r="CT85" i="3" s="1"/>
  <c r="P76" i="4"/>
  <c r="P77" i="4" s="1"/>
  <c r="BQ42" i="4"/>
  <c r="BR10" i="3"/>
  <c r="DE42" i="4"/>
  <c r="CV146" i="2"/>
  <c r="W85" i="3"/>
  <c r="CC85" i="3" s="1"/>
  <c r="CT146" i="2"/>
  <c r="Y85" i="3"/>
  <c r="AF76" i="4"/>
  <c r="AF78" i="4" s="1"/>
  <c r="AH85" i="3"/>
  <c r="AF85" i="3"/>
  <c r="CV85" i="3" s="1"/>
  <c r="R85" i="3"/>
  <c r="O85" i="3"/>
  <c r="CA85" i="3" s="1"/>
  <c r="CX8" i="4"/>
  <c r="CX27" i="4" s="1"/>
  <c r="P85" i="3"/>
  <c r="CR85" i="3" s="1"/>
  <c r="Q85" i="3"/>
  <c r="CO37" i="4"/>
  <c r="CO32" i="4"/>
  <c r="DC8" i="4"/>
  <c r="DC27" i="4" s="1"/>
  <c r="DC50" i="4" s="1"/>
  <c r="BO12" i="4"/>
  <c r="CN12" i="4" s="1"/>
  <c r="CU116" i="2"/>
  <c r="CU113" i="2"/>
  <c r="CU114" i="2" s="1"/>
  <c r="CU99" i="2"/>
  <c r="BC76" i="4"/>
  <c r="BC50" i="4"/>
  <c r="BO122" i="2"/>
  <c r="CN122" i="2" s="1"/>
  <c r="CN127" i="2" s="1"/>
  <c r="BN127" i="2"/>
  <c r="CI118" i="2"/>
  <c r="CI105" i="2"/>
  <c r="S118" i="2"/>
  <c r="S105" i="2"/>
  <c r="CT102" i="2"/>
  <c r="CT84" i="2"/>
  <c r="CT94" i="2"/>
  <c r="CD104" i="2"/>
  <c r="CD86" i="2"/>
  <c r="CD96" i="2"/>
  <c r="CB116" i="2"/>
  <c r="CB113" i="2"/>
  <c r="CB99" i="2"/>
  <c r="BQ92" i="2"/>
  <c r="AT50" i="4"/>
  <c r="AT76" i="4"/>
  <c r="CC102" i="2"/>
  <c r="CC84" i="2"/>
  <c r="CC94" i="2"/>
  <c r="BY69" i="17"/>
  <c r="BY73" i="17"/>
  <c r="AK76" i="4"/>
  <c r="AK50" i="4"/>
  <c r="J76" i="4"/>
  <c r="J50" i="4"/>
  <c r="S8" i="4"/>
  <c r="S27" i="4" s="1"/>
  <c r="S296" i="3"/>
  <c r="S114" i="2"/>
  <c r="AA117" i="2"/>
  <c r="AA103" i="2"/>
  <c r="DB6" i="4"/>
  <c r="DB6" i="3"/>
  <c r="DC7" i="2"/>
  <c r="AG76" i="4"/>
  <c r="AG50" i="4"/>
  <c r="DE100" i="2"/>
  <c r="BQ100" i="2"/>
  <c r="BR9" i="2"/>
  <c r="M50" i="4"/>
  <c r="M76" i="4"/>
  <c r="AJ27" i="4"/>
  <c r="CG8" i="4"/>
  <c r="CG27" i="4" s="1"/>
  <c r="AE8" i="4"/>
  <c r="AE27" i="4" s="1"/>
  <c r="AE296" i="3"/>
  <c r="AE114" i="2"/>
  <c r="AZ27" i="4"/>
  <c r="CK8" i="4"/>
  <c r="CK27" i="4" s="1"/>
  <c r="CU104" i="2"/>
  <c r="CU86" i="2"/>
  <c r="CU96" i="2"/>
  <c r="CL296" i="3"/>
  <c r="CL114" i="2"/>
  <c r="AQ50" i="4"/>
  <c r="AQ76" i="4"/>
  <c r="BB76" i="4"/>
  <c r="BB50" i="4"/>
  <c r="BP44" i="4"/>
  <c r="BQ131" i="2"/>
  <c r="BR125" i="2"/>
  <c r="O105" i="2"/>
  <c r="O118" i="2"/>
  <c r="CV104" i="2"/>
  <c r="CV86" i="2"/>
  <c r="CV96" i="2"/>
  <c r="AH76" i="4"/>
  <c r="AH50" i="4"/>
  <c r="CK114" i="2"/>
  <c r="CK296" i="3"/>
  <c r="DA118" i="2"/>
  <c r="DA105" i="2"/>
  <c r="CY118" i="2"/>
  <c r="CY105" i="2"/>
  <c r="CF102" i="2"/>
  <c r="CF84" i="2"/>
  <c r="CF94" i="2"/>
  <c r="W117" i="2"/>
  <c r="W103" i="2"/>
  <c r="BA50" i="4"/>
  <c r="BA76" i="4"/>
  <c r="T27" i="4"/>
  <c r="AA8" i="4"/>
  <c r="CD8" i="4" s="1"/>
  <c r="CD27" i="4" s="1"/>
  <c r="AA296" i="3"/>
  <c r="AA114" i="2"/>
  <c r="DB117" i="2"/>
  <c r="DB103" i="2"/>
  <c r="CR113" i="2"/>
  <c r="CR114" i="2" s="1"/>
  <c r="CR99" i="2"/>
  <c r="CR116" i="2"/>
  <c r="AI118" i="2"/>
  <c r="AI105" i="2"/>
  <c r="K117" i="2"/>
  <c r="K103" i="2"/>
  <c r="CE102" i="2"/>
  <c r="CE84" i="2"/>
  <c r="CE94" i="2"/>
  <c r="DA8" i="4"/>
  <c r="DA27" i="4" s="1"/>
  <c r="DA117" i="2"/>
  <c r="DA103" i="2"/>
  <c r="CH117" i="2"/>
  <c r="CH103" i="2"/>
  <c r="D77" i="4"/>
  <c r="AY76" i="4"/>
  <c r="AY50" i="4"/>
  <c r="Z27" i="4"/>
  <c r="K8" i="4"/>
  <c r="K27" i="4" s="1"/>
  <c r="K296" i="3"/>
  <c r="K114" i="2"/>
  <c r="CA102" i="2"/>
  <c r="CA84" i="2"/>
  <c r="CA94" i="2"/>
  <c r="CH118" i="2"/>
  <c r="CH105" i="2"/>
  <c r="CV113" i="2"/>
  <c r="CV114" i="2" s="1"/>
  <c r="CV99" i="2"/>
  <c r="CV116" i="2"/>
  <c r="AO76" i="4"/>
  <c r="AO50" i="4"/>
  <c r="BF50" i="4"/>
  <c r="BF76" i="4"/>
  <c r="W8" i="4"/>
  <c r="W27" i="4" s="1"/>
  <c r="W296" i="3"/>
  <c r="W114" i="2"/>
  <c r="CZ117" i="2"/>
  <c r="CZ103" i="2"/>
  <c r="CW102" i="2"/>
  <c r="CW84" i="2"/>
  <c r="CW94" i="2"/>
  <c r="CS104" i="2"/>
  <c r="CS86" i="2"/>
  <c r="CS96" i="2"/>
  <c r="CH296" i="3"/>
  <c r="CH114" i="2"/>
  <c r="BG50" i="4"/>
  <c r="BG76" i="4"/>
  <c r="CN44" i="4"/>
  <c r="CN46" i="4" s="1"/>
  <c r="BQ123" i="2"/>
  <c r="DE123" i="2"/>
  <c r="AL50" i="4"/>
  <c r="AL76" i="4"/>
  <c r="CK117" i="2"/>
  <c r="CK103" i="2"/>
  <c r="W105" i="2"/>
  <c r="W118" i="2"/>
  <c r="BY116" i="2"/>
  <c r="BY99" i="2"/>
  <c r="BY113" i="2"/>
  <c r="BY114" i="2" s="1"/>
  <c r="CZ8" i="4"/>
  <c r="CZ27" i="4" s="1"/>
  <c r="BD27" i="4"/>
  <c r="CL8" i="4"/>
  <c r="CL27" i="4" s="1"/>
  <c r="BR74" i="2"/>
  <c r="BQ73" i="2"/>
  <c r="AN27" i="4"/>
  <c r="CH8" i="4"/>
  <c r="CH27" i="4" s="1"/>
  <c r="CW116" i="2"/>
  <c r="CW113" i="2"/>
  <c r="CW114" i="2" s="1"/>
  <c r="CW99" i="2"/>
  <c r="O117" i="2"/>
  <c r="O103" i="2"/>
  <c r="BY102" i="2"/>
  <c r="BY84" i="2"/>
  <c r="BY94" i="2"/>
  <c r="CG116" i="2"/>
  <c r="CG99" i="2"/>
  <c r="CG113" i="2"/>
  <c r="DE131" i="2"/>
  <c r="CY117" i="2"/>
  <c r="CY103" i="2"/>
  <c r="CD116" i="2"/>
  <c r="CD113" i="2"/>
  <c r="CD99" i="2"/>
  <c r="DB105" i="2"/>
  <c r="DB118" i="2"/>
  <c r="BQ107" i="2"/>
  <c r="BQ10" i="4" s="1"/>
  <c r="BR16" i="2"/>
  <c r="CX117" i="2"/>
  <c r="CX103" i="2"/>
  <c r="AI117" i="2"/>
  <c r="AI103" i="2"/>
  <c r="CW104" i="2"/>
  <c r="CW86" i="2"/>
  <c r="CW96" i="2"/>
  <c r="CS102" i="2"/>
  <c r="CS84" i="2"/>
  <c r="CS94" i="2"/>
  <c r="DC118" i="2"/>
  <c r="DC105" i="2"/>
  <c r="CJ118" i="2"/>
  <c r="CJ105" i="2"/>
  <c r="CU102" i="2"/>
  <c r="CU84" i="2"/>
  <c r="CU94" i="2"/>
  <c r="CJ296" i="3"/>
  <c r="CJ114" i="2"/>
  <c r="CF116" i="2"/>
  <c r="CF113" i="2"/>
  <c r="CF99" i="2"/>
  <c r="Y76" i="4"/>
  <c r="Y50" i="4"/>
  <c r="DE92" i="2"/>
  <c r="DE109" i="2" s="1"/>
  <c r="DE111" i="2" s="1"/>
  <c r="DE101" i="2" s="1"/>
  <c r="N50" i="4"/>
  <c r="N76" i="4"/>
  <c r="AP50" i="4"/>
  <c r="AP76" i="4"/>
  <c r="CX118" i="2"/>
  <c r="CX105" i="2"/>
  <c r="CI102" i="2"/>
  <c r="CI84" i="2"/>
  <c r="CI94" i="2"/>
  <c r="K118" i="2"/>
  <c r="K105" i="2"/>
  <c r="CA104" i="2"/>
  <c r="CA86" i="2"/>
  <c r="CA96" i="2"/>
  <c r="BE76" i="4"/>
  <c r="BE50" i="4"/>
  <c r="AB27" i="4"/>
  <c r="CF104" i="2"/>
  <c r="CF86" i="2"/>
  <c r="CF96" i="2"/>
  <c r="CB104" i="2"/>
  <c r="CB86" i="2"/>
  <c r="CB96" i="2"/>
  <c r="CR104" i="2"/>
  <c r="CR86" i="2"/>
  <c r="CR96" i="2"/>
  <c r="CR102" i="2"/>
  <c r="CR84" i="2"/>
  <c r="CR94" i="2"/>
  <c r="BY104" i="2"/>
  <c r="BY86" i="2"/>
  <c r="BY96" i="2"/>
  <c r="AU50" i="4"/>
  <c r="AU76" i="4"/>
  <c r="O8" i="4"/>
  <c r="O27" i="4" s="1"/>
  <c r="O296" i="3"/>
  <c r="O114" i="2"/>
  <c r="CD102" i="2"/>
  <c r="CD84" i="2"/>
  <c r="CD94" i="2"/>
  <c r="E78" i="4"/>
  <c r="E77" i="4"/>
  <c r="V76" i="4"/>
  <c r="V50" i="4"/>
  <c r="AE117" i="2"/>
  <c r="AE103" i="2"/>
  <c r="U50" i="4"/>
  <c r="U76" i="4"/>
  <c r="L27" i="4"/>
  <c r="CL102" i="2"/>
  <c r="CL84" i="2"/>
  <c r="CL94" i="2"/>
  <c r="DC117" i="2"/>
  <c r="DC103" i="2"/>
  <c r="CJ117" i="2"/>
  <c r="CJ103" i="2"/>
  <c r="CB102" i="2"/>
  <c r="CB84" i="2"/>
  <c r="CB94" i="2"/>
  <c r="CG105" i="2"/>
  <c r="CG118" i="2"/>
  <c r="G117" i="2"/>
  <c r="G103" i="2"/>
  <c r="DB8" i="4"/>
  <c r="DB27" i="4" s="1"/>
  <c r="CC116" i="2"/>
  <c r="CC99" i="2"/>
  <c r="CC113" i="2"/>
  <c r="AM50" i="4"/>
  <c r="AM76" i="4"/>
  <c r="AX76" i="4"/>
  <c r="AX50" i="4"/>
  <c r="BH50" i="4"/>
  <c r="BH76" i="4"/>
  <c r="AA118" i="2"/>
  <c r="AA105" i="2"/>
  <c r="CA113" i="2"/>
  <c r="CA99" i="2"/>
  <c r="CA116" i="2"/>
  <c r="AW76" i="4"/>
  <c r="AW50" i="4"/>
  <c r="CL118" i="2"/>
  <c r="CL105" i="2"/>
  <c r="D54" i="4"/>
  <c r="E48" i="4"/>
  <c r="E51" i="4" s="1"/>
  <c r="BJ76" i="4"/>
  <c r="BJ50" i="4"/>
  <c r="AD76" i="4"/>
  <c r="AD50" i="4"/>
  <c r="CV102" i="2"/>
  <c r="CV84" i="2"/>
  <c r="CV94" i="2"/>
  <c r="BI78" i="4"/>
  <c r="BI77" i="4"/>
  <c r="I77" i="4"/>
  <c r="I78" i="4"/>
  <c r="CJ8" i="4"/>
  <c r="CJ27" i="4" s="1"/>
  <c r="AV27" i="4"/>
  <c r="S117" i="2"/>
  <c r="S103" i="2"/>
  <c r="BZ116" i="2"/>
  <c r="BZ113" i="2"/>
  <c r="BZ114" i="2" s="1"/>
  <c r="BZ99" i="2"/>
  <c r="BZ102" i="2"/>
  <c r="BZ84" i="2"/>
  <c r="BZ94" i="2"/>
  <c r="CY8" i="4"/>
  <c r="CY27" i="4" s="1"/>
  <c r="H27" i="4"/>
  <c r="BR73" i="3"/>
  <c r="BS126" i="2"/>
  <c r="G8" i="4"/>
  <c r="G296" i="3"/>
  <c r="G114" i="2"/>
  <c r="CK118" i="2"/>
  <c r="CK105" i="2"/>
  <c r="CT104" i="2"/>
  <c r="CT86" i="2"/>
  <c r="CT96" i="2"/>
  <c r="CE104" i="2"/>
  <c r="CE86" i="2"/>
  <c r="CE96" i="2"/>
  <c r="CE113" i="2"/>
  <c r="CE99" i="2"/>
  <c r="CE116" i="2"/>
  <c r="BP109" i="2"/>
  <c r="BP111" i="2" s="1"/>
  <c r="BP101" i="2" s="1"/>
  <c r="BQ18" i="2"/>
  <c r="F76" i="4"/>
  <c r="F50" i="4"/>
  <c r="CZ118" i="2"/>
  <c r="CZ105" i="2"/>
  <c r="CG117" i="2"/>
  <c r="CG103" i="2"/>
  <c r="G105" i="2"/>
  <c r="G118" i="2"/>
  <c r="CC104" i="2"/>
  <c r="CC86" i="2"/>
  <c r="CC96" i="2"/>
  <c r="AS76" i="4"/>
  <c r="AS50" i="4"/>
  <c r="R76" i="4"/>
  <c r="R50" i="4"/>
  <c r="CT116" i="2"/>
  <c r="CT99" i="2"/>
  <c r="CT113" i="2"/>
  <c r="CT114" i="2" s="1"/>
  <c r="BP77" i="2"/>
  <c r="BP79" i="2"/>
  <c r="CS116" i="2"/>
  <c r="CS113" i="2"/>
  <c r="CS114" i="2" s="1"/>
  <c r="CS99" i="2"/>
  <c r="BZ104" i="2"/>
  <c r="BZ86" i="2"/>
  <c r="BZ96" i="2"/>
  <c r="Q76" i="4"/>
  <c r="Q50" i="4"/>
  <c r="AE105" i="2"/>
  <c r="AE118" i="2"/>
  <c r="AC76" i="4"/>
  <c r="AC50" i="4"/>
  <c r="AR27" i="4"/>
  <c r="CI8" i="4"/>
  <c r="CI27" i="4" s="1"/>
  <c r="AI8" i="4"/>
  <c r="AI296" i="3"/>
  <c r="AI114" i="2"/>
  <c r="DE10" i="4"/>
  <c r="CJ41" i="17"/>
  <c r="CJ81" i="17"/>
  <c r="DA41" i="17"/>
  <c r="DA40" i="17"/>
  <c r="CK41" i="17"/>
  <c r="CK81" i="17"/>
  <c r="CK40" i="17"/>
  <c r="DB41" i="17"/>
  <c r="DB40" i="17"/>
  <c r="CM81" i="17"/>
  <c r="CM41" i="17"/>
  <c r="CM40" i="17"/>
  <c r="CM8" i="2"/>
  <c r="CM49" i="3" s="1"/>
  <c r="CL81" i="17"/>
  <c r="CL40" i="17"/>
  <c r="CL41" i="17"/>
  <c r="DC40" i="17"/>
  <c r="DC41" i="17"/>
  <c r="CF79" i="17"/>
  <c r="BY77" i="17"/>
  <c r="BY76" i="17" s="1"/>
  <c r="BL77" i="17"/>
  <c r="CO77" i="17"/>
  <c r="CP77" i="17" s="1"/>
  <c r="CO14" i="4"/>
  <c r="CM78" i="17"/>
  <c r="CM72" i="4"/>
  <c r="CN17" i="4"/>
  <c r="BP15" i="4"/>
  <c r="DE15" i="4" s="1"/>
  <c r="BP13" i="4"/>
  <c r="CN59" i="3"/>
  <c r="BN60" i="4"/>
  <c r="BO18" i="4"/>
  <c r="CN18" i="4" s="1"/>
  <c r="CN60" i="4" s="1"/>
  <c r="CM144" i="2"/>
  <c r="BQ17" i="4"/>
  <c r="BQ20" i="4"/>
  <c r="BQ39" i="4"/>
  <c r="BO58" i="3"/>
  <c r="BN60" i="3"/>
  <c r="DE17" i="4"/>
  <c r="BR56" i="3"/>
  <c r="BP79" i="3"/>
  <c r="BP80" i="3" s="1"/>
  <c r="BP40" i="4"/>
  <c r="DE40" i="4" s="1"/>
  <c r="DE30" i="3"/>
  <c r="DE79" i="3" s="1"/>
  <c r="DE80" i="3" s="1"/>
  <c r="BQ30" i="3"/>
  <c r="BO46" i="4"/>
  <c r="BR19" i="3"/>
  <c r="BR16" i="4" s="1"/>
  <c r="BQ16" i="4"/>
  <c r="BR17" i="3"/>
  <c r="CN18" i="3"/>
  <c r="BP18" i="3"/>
  <c r="BO46" i="3"/>
  <c r="CN33" i="4"/>
  <c r="X78" i="4" l="1"/>
  <c r="CO47" i="2"/>
  <c r="BY79" i="17"/>
  <c r="BP65" i="3"/>
  <c r="CO46" i="2"/>
  <c r="CK132" i="2"/>
  <c r="CL132" i="2" s="1"/>
  <c r="P78" i="4"/>
  <c r="DF47" i="2"/>
  <c r="CP38" i="4"/>
  <c r="CP19" i="4"/>
  <c r="DF14" i="4"/>
  <c r="DF32" i="4"/>
  <c r="DF37" i="4"/>
  <c r="CA8" i="4"/>
  <c r="CA27" i="4" s="1"/>
  <c r="CA50" i="4" s="1"/>
  <c r="DF46" i="2"/>
  <c r="CP110" i="2"/>
  <c r="AF77" i="4"/>
  <c r="BV24" i="3"/>
  <c r="CP36" i="2"/>
  <c r="CP58" i="2"/>
  <c r="BU47" i="2"/>
  <c r="BV47" i="2" s="1"/>
  <c r="BW47" i="2" s="1"/>
  <c r="BR92" i="2"/>
  <c r="BS92" i="2" s="1"/>
  <c r="BT92" i="2" s="1"/>
  <c r="BU46" i="2"/>
  <c r="BV46" i="2" s="1"/>
  <c r="BW46" i="2" s="1"/>
  <c r="CP35" i="2"/>
  <c r="BS73" i="3"/>
  <c r="BT126" i="2"/>
  <c r="BR123" i="2"/>
  <c r="BU55" i="2"/>
  <c r="BT53" i="2"/>
  <c r="DF126" i="2"/>
  <c r="BR39" i="4"/>
  <c r="BS39" i="4" s="1"/>
  <c r="BT39" i="4" s="1"/>
  <c r="BR20" i="4"/>
  <c r="BS20" i="4" s="1"/>
  <c r="BT20" i="4" s="1"/>
  <c r="BV31" i="4"/>
  <c r="BR17" i="4"/>
  <c r="BS17" i="4" s="1"/>
  <c r="BT17" i="4" s="1"/>
  <c r="CP45" i="4"/>
  <c r="CP41" i="4"/>
  <c r="BU14" i="4"/>
  <c r="BV14" i="4" s="1"/>
  <c r="BW14" i="4" s="1"/>
  <c r="BU32" i="4"/>
  <c r="BV32" i="4" s="1"/>
  <c r="BW32" i="4" s="1"/>
  <c r="BU37" i="4"/>
  <c r="BR42" i="4"/>
  <c r="BS10" i="3"/>
  <c r="BT10" i="3" s="1"/>
  <c r="CO126" i="2"/>
  <c r="CO73" i="3" s="1"/>
  <c r="CS8" i="4"/>
  <c r="CS27" i="4" s="1"/>
  <c r="CS50" i="4" s="1"/>
  <c r="CX76" i="4"/>
  <c r="CX50" i="4"/>
  <c r="BZ8" i="4"/>
  <c r="BZ27" i="4" s="1"/>
  <c r="BZ76" i="4" s="1"/>
  <c r="CE8" i="4"/>
  <c r="CE27" i="4" s="1"/>
  <c r="CE50" i="4" s="1"/>
  <c r="CV8" i="4"/>
  <c r="CV27" i="4" s="1"/>
  <c r="CV50" i="4" s="1"/>
  <c r="DC76" i="4"/>
  <c r="DC77" i="4" s="1"/>
  <c r="CB8" i="4"/>
  <c r="CB27" i="4" s="1"/>
  <c r="CB50" i="4" s="1"/>
  <c r="AI27" i="4"/>
  <c r="CW8" i="4"/>
  <c r="CW27" i="4" s="1"/>
  <c r="CF8" i="4"/>
  <c r="CF27" i="4" s="1"/>
  <c r="AR50" i="4"/>
  <c r="AR76" i="4"/>
  <c r="AC78" i="4"/>
  <c r="AC77" i="4"/>
  <c r="Q77" i="4"/>
  <c r="Q78" i="4"/>
  <c r="CC118" i="2"/>
  <c r="CC105" i="2"/>
  <c r="BQ109" i="2"/>
  <c r="BQ111" i="2" s="1"/>
  <c r="BQ101" i="2" s="1"/>
  <c r="BR18" i="2"/>
  <c r="CE118" i="2"/>
  <c r="CE105" i="2"/>
  <c r="G27" i="4"/>
  <c r="BY8" i="4"/>
  <c r="BY27" i="4" s="1"/>
  <c r="CY50" i="4"/>
  <c r="CY76" i="4"/>
  <c r="AV50" i="4"/>
  <c r="AV76" i="4"/>
  <c r="CV117" i="2"/>
  <c r="CV103" i="2"/>
  <c r="AD77" i="4"/>
  <c r="AD78" i="4"/>
  <c r="BJ78" i="4"/>
  <c r="BJ77" i="4"/>
  <c r="AW77" i="4"/>
  <c r="AW78" i="4"/>
  <c r="BH77" i="4"/>
  <c r="BH78" i="4"/>
  <c r="AM78" i="4"/>
  <c r="AM77" i="4"/>
  <c r="CC114" i="2"/>
  <c r="CB117" i="2"/>
  <c r="CB103" i="2"/>
  <c r="CL117" i="2"/>
  <c r="CL103" i="2"/>
  <c r="L50" i="4"/>
  <c r="L76" i="4"/>
  <c r="U78" i="4"/>
  <c r="U77" i="4"/>
  <c r="CD117" i="2"/>
  <c r="CD103" i="2"/>
  <c r="AU77" i="4"/>
  <c r="AU78" i="4"/>
  <c r="CR8" i="4"/>
  <c r="CR27" i="4" s="1"/>
  <c r="CR117" i="2"/>
  <c r="CR103" i="2"/>
  <c r="CB118" i="2"/>
  <c r="CB105" i="2"/>
  <c r="CA118" i="2"/>
  <c r="CA105" i="2"/>
  <c r="AP77" i="4"/>
  <c r="AP78" i="4"/>
  <c r="N77" i="4"/>
  <c r="N78" i="4"/>
  <c r="Y77" i="4"/>
  <c r="Y78" i="4"/>
  <c r="CF296" i="3"/>
  <c r="CF114" i="2"/>
  <c r="CW118" i="2"/>
  <c r="CW105" i="2"/>
  <c r="BS16" i="2"/>
  <c r="BR107" i="2"/>
  <c r="BR10" i="4" s="1"/>
  <c r="CD296" i="3"/>
  <c r="CD114" i="2"/>
  <c r="CG114" i="2"/>
  <c r="CG296" i="3"/>
  <c r="BY117" i="2"/>
  <c r="BY103" i="2"/>
  <c r="CH76" i="4"/>
  <c r="CH50" i="4"/>
  <c r="BQ79" i="2"/>
  <c r="BQ77" i="2"/>
  <c r="CL50" i="4"/>
  <c r="CL76" i="4"/>
  <c r="CZ76" i="4"/>
  <c r="CZ50" i="4"/>
  <c r="AL78" i="4"/>
  <c r="AL77" i="4"/>
  <c r="BG77" i="4"/>
  <c r="BG78" i="4"/>
  <c r="CW117" i="2"/>
  <c r="CW103" i="2"/>
  <c r="BF77" i="4"/>
  <c r="BF78" i="4"/>
  <c r="K50" i="4"/>
  <c r="K76" i="4"/>
  <c r="Z76" i="4"/>
  <c r="Z50" i="4"/>
  <c r="AY77" i="4"/>
  <c r="AY78" i="4"/>
  <c r="DA76" i="4"/>
  <c r="DA50" i="4"/>
  <c r="AA27" i="4"/>
  <c r="CU8" i="4"/>
  <c r="CU27" i="4" s="1"/>
  <c r="T50" i="4"/>
  <c r="T76" i="4"/>
  <c r="AH78" i="4"/>
  <c r="AH77" i="4"/>
  <c r="CV118" i="2"/>
  <c r="CV105" i="2"/>
  <c r="BS125" i="2"/>
  <c r="AQ78" i="4"/>
  <c r="AQ77" i="4"/>
  <c r="CU118" i="2"/>
  <c r="CU105" i="2"/>
  <c r="AZ50" i="4"/>
  <c r="AZ76" i="4"/>
  <c r="CG50" i="4"/>
  <c r="CG76" i="4"/>
  <c r="M77" i="4"/>
  <c r="M78" i="4"/>
  <c r="BR100" i="2"/>
  <c r="BS9" i="2"/>
  <c r="AG77" i="4"/>
  <c r="AG78" i="4"/>
  <c r="DC78" i="4"/>
  <c r="DC6" i="4"/>
  <c r="DC6" i="3"/>
  <c r="DD7" i="2"/>
  <c r="CC117" i="2"/>
  <c r="CC103" i="2"/>
  <c r="CO92" i="2"/>
  <c r="CB114" i="2"/>
  <c r="CD118" i="2"/>
  <c r="CD105" i="2"/>
  <c r="CT117" i="2"/>
  <c r="CT103" i="2"/>
  <c r="BP122" i="2"/>
  <c r="BO127" i="2"/>
  <c r="BC78" i="4"/>
  <c r="BC77" i="4"/>
  <c r="CI76" i="4"/>
  <c r="CI50" i="4"/>
  <c r="BZ118" i="2"/>
  <c r="BZ105" i="2"/>
  <c r="R77" i="4"/>
  <c r="R78" i="4"/>
  <c r="AS77" i="4"/>
  <c r="AS78" i="4"/>
  <c r="F77" i="4"/>
  <c r="F78" i="4"/>
  <c r="CE296" i="3"/>
  <c r="CE114" i="2"/>
  <c r="CT105" i="2"/>
  <c r="CT118" i="2"/>
  <c r="H50" i="4"/>
  <c r="H76" i="4"/>
  <c r="BZ117" i="2"/>
  <c r="BZ103" i="2"/>
  <c r="CJ50" i="4"/>
  <c r="CJ76" i="4"/>
  <c r="F48" i="4"/>
  <c r="F51" i="4" s="1"/>
  <c r="E54" i="4"/>
  <c r="CA114" i="2"/>
  <c r="AX77" i="4"/>
  <c r="AX78" i="4"/>
  <c r="DB50" i="4"/>
  <c r="DB76" i="4"/>
  <c r="V78" i="4"/>
  <c r="V77" i="4"/>
  <c r="O76" i="4"/>
  <c r="O50" i="4"/>
  <c r="BY105" i="2"/>
  <c r="BY118" i="2"/>
  <c r="CR118" i="2"/>
  <c r="CR105" i="2"/>
  <c r="CF118" i="2"/>
  <c r="CF105" i="2"/>
  <c r="AB50" i="4"/>
  <c r="AB76" i="4"/>
  <c r="BE77" i="4"/>
  <c r="BE78" i="4"/>
  <c r="CI117" i="2"/>
  <c r="CI103" i="2"/>
  <c r="CU117" i="2"/>
  <c r="CU103" i="2"/>
  <c r="CS117" i="2"/>
  <c r="CS103" i="2"/>
  <c r="CS76" i="4"/>
  <c r="AN50" i="4"/>
  <c r="AN76" i="4"/>
  <c r="BS74" i="2"/>
  <c r="BR73" i="2"/>
  <c r="BD50" i="4"/>
  <c r="BD76" i="4"/>
  <c r="CS118" i="2"/>
  <c r="CS105" i="2"/>
  <c r="W76" i="4"/>
  <c r="W50" i="4"/>
  <c r="AO77" i="4"/>
  <c r="AO78" i="4"/>
  <c r="CA117" i="2"/>
  <c r="CA103" i="2"/>
  <c r="CD76" i="4"/>
  <c r="CD50" i="4"/>
  <c r="CE117" i="2"/>
  <c r="CE103" i="2"/>
  <c r="CC8" i="4"/>
  <c r="CC27" i="4" s="1"/>
  <c r="BA77" i="4"/>
  <c r="BA78" i="4"/>
  <c r="CF117" i="2"/>
  <c r="CF103" i="2"/>
  <c r="CT8" i="4"/>
  <c r="CT27" i="4" s="1"/>
  <c r="BQ44" i="4"/>
  <c r="BR131" i="2"/>
  <c r="BP62" i="3"/>
  <c r="DE62" i="3" s="1"/>
  <c r="DE44" i="4"/>
  <c r="DE46" i="4" s="1"/>
  <c r="BB77" i="4"/>
  <c r="BB78" i="4"/>
  <c r="CK76" i="4"/>
  <c r="CK50" i="4"/>
  <c r="AE50" i="4"/>
  <c r="AE76" i="4"/>
  <c r="AJ50" i="4"/>
  <c r="AJ76" i="4"/>
  <c r="S76" i="4"/>
  <c r="S50" i="4"/>
  <c r="J78" i="4"/>
  <c r="J77" i="4"/>
  <c r="AK77" i="4"/>
  <c r="AK78" i="4"/>
  <c r="AT78" i="4"/>
  <c r="AT77" i="4"/>
  <c r="CJ73" i="17"/>
  <c r="CJ79" i="17" s="1"/>
  <c r="CJ82" i="17"/>
  <c r="CK82" i="17"/>
  <c r="CK73" i="17"/>
  <c r="CK79" i="17" s="1"/>
  <c r="CL82" i="17"/>
  <c r="CL73" i="17"/>
  <c r="CL79" i="17" s="1"/>
  <c r="CM88" i="17"/>
  <c r="CM67" i="17"/>
  <c r="CM69" i="17" s="1"/>
  <c r="CM10" i="2"/>
  <c r="BK70" i="4"/>
  <c r="BK69" i="4" s="1"/>
  <c r="DD8" i="2"/>
  <c r="BL57" i="4"/>
  <c r="BL67" i="17"/>
  <c r="CM22" i="4"/>
  <c r="CM11" i="3"/>
  <c r="CM41" i="3" s="1"/>
  <c r="CM73" i="17"/>
  <c r="CM79" i="17" s="1"/>
  <c r="CM82" i="17"/>
  <c r="BZ77" i="17"/>
  <c r="BZ76" i="17" s="1"/>
  <c r="BZ79" i="17" s="1"/>
  <c r="BM77" i="17"/>
  <c r="DE65" i="3"/>
  <c r="CO20" i="4"/>
  <c r="CO17" i="4"/>
  <c r="BP59" i="3"/>
  <c r="DE13" i="4"/>
  <c r="BP58" i="3"/>
  <c r="CN58" i="3"/>
  <c r="BO60" i="3"/>
  <c r="CM148" i="2"/>
  <c r="BO60" i="4"/>
  <c r="BP18" i="4"/>
  <c r="DE18" i="4" s="1"/>
  <c r="DE60" i="4" s="1"/>
  <c r="BQ13" i="4"/>
  <c r="BQ15" i="4"/>
  <c r="BS56" i="3"/>
  <c r="BT56" i="3" s="1"/>
  <c r="BQ40" i="4"/>
  <c r="BR30" i="3"/>
  <c r="BQ79" i="3"/>
  <c r="BQ80" i="3" s="1"/>
  <c r="BP46" i="4"/>
  <c r="BS19" i="3"/>
  <c r="BP46" i="3"/>
  <c r="DE18" i="3"/>
  <c r="BQ18" i="3"/>
  <c r="BQ12" i="4" s="1"/>
  <c r="BP12" i="4"/>
  <c r="BP33" i="4"/>
  <c r="BS17" i="3"/>
  <c r="BT17" i="3" s="1"/>
  <c r="BL53" i="17" l="1"/>
  <c r="BL43" i="17"/>
  <c r="CO39" i="4"/>
  <c r="CM132" i="2"/>
  <c r="CN132" i="2" s="1"/>
  <c r="CO132" i="2" s="1"/>
  <c r="CP132" i="2" s="1"/>
  <c r="CV76" i="4"/>
  <c r="CV78" i="4" s="1"/>
  <c r="CA76" i="4"/>
  <c r="CA78" i="4" s="1"/>
  <c r="CE76" i="4"/>
  <c r="CE78" i="4" s="1"/>
  <c r="BK73" i="4"/>
  <c r="CM62" i="4"/>
  <c r="DF20" i="4"/>
  <c r="DF39" i="4"/>
  <c r="CP47" i="2"/>
  <c r="BU17" i="3"/>
  <c r="BV17" i="3" s="1"/>
  <c r="BW17" i="3" s="1"/>
  <c r="CP17" i="3" s="1"/>
  <c r="DF17" i="3"/>
  <c r="CO19" i="3"/>
  <c r="BT19" i="3"/>
  <c r="BT16" i="4" s="1"/>
  <c r="BU56" i="3"/>
  <c r="BV56" i="3" s="1"/>
  <c r="BW56" i="3" s="1"/>
  <c r="CP56" i="3" s="1"/>
  <c r="DF56" i="3"/>
  <c r="BW24" i="3"/>
  <c r="DF10" i="3"/>
  <c r="BT42" i="4"/>
  <c r="BU10" i="3"/>
  <c r="BQ62" i="3"/>
  <c r="CO125" i="2"/>
  <c r="BT125" i="2"/>
  <c r="DF125" i="2" s="1"/>
  <c r="BS107" i="2"/>
  <c r="BS10" i="4" s="1"/>
  <c r="CO10" i="4" s="1"/>
  <c r="BT16" i="2"/>
  <c r="DF16" i="2" s="1"/>
  <c r="DF107" i="2" s="1"/>
  <c r="DF92" i="2"/>
  <c r="BS73" i="2"/>
  <c r="BS77" i="2" s="1"/>
  <c r="BT74" i="2"/>
  <c r="DF74" i="2" s="1"/>
  <c r="DF73" i="2" s="1"/>
  <c r="BS100" i="2"/>
  <c r="BT9" i="2"/>
  <c r="DF73" i="3"/>
  <c r="CO74" i="2"/>
  <c r="CO73" i="2" s="1"/>
  <c r="CO77" i="2" s="1"/>
  <c r="BU92" i="2"/>
  <c r="BV92" i="2" s="1"/>
  <c r="BW92" i="2" s="1"/>
  <c r="BV55" i="2"/>
  <c r="BU53" i="2"/>
  <c r="BT73" i="3"/>
  <c r="BU126" i="2"/>
  <c r="CP46" i="2"/>
  <c r="BR13" i="4"/>
  <c r="BS13" i="4" s="1"/>
  <c r="BT13" i="4" s="1"/>
  <c r="BV37" i="4"/>
  <c r="BU17" i="4"/>
  <c r="BV17" i="4" s="1"/>
  <c r="BW17" i="4" s="1"/>
  <c r="BR15" i="4"/>
  <c r="BS15" i="4" s="1"/>
  <c r="BT15" i="4" s="1"/>
  <c r="CP32" i="4"/>
  <c r="CP14" i="4"/>
  <c r="DF17" i="4"/>
  <c r="BW31" i="4"/>
  <c r="BU20" i="4"/>
  <c r="BV20" i="4" s="1"/>
  <c r="BW20" i="4" s="1"/>
  <c r="BU39" i="4"/>
  <c r="BV39" i="4" s="1"/>
  <c r="BW39" i="4" s="1"/>
  <c r="BS16" i="4"/>
  <c r="BS42" i="4"/>
  <c r="CO10" i="3"/>
  <c r="CO16" i="2"/>
  <c r="CO107" i="2" s="1"/>
  <c r="BZ50" i="4"/>
  <c r="CX78" i="4"/>
  <c r="CX77" i="4"/>
  <c r="CO9" i="2"/>
  <c r="BQ46" i="4"/>
  <c r="CB76" i="4"/>
  <c r="CB78" i="4" s="1"/>
  <c r="S78" i="4"/>
  <c r="S77" i="4"/>
  <c r="CK77" i="4"/>
  <c r="CK78" i="4"/>
  <c r="BR44" i="4"/>
  <c r="BS131" i="2"/>
  <c r="CO131" i="2" s="1"/>
  <c r="CT50" i="4"/>
  <c r="CT76" i="4"/>
  <c r="CC76" i="4"/>
  <c r="CC50" i="4"/>
  <c r="CD78" i="4"/>
  <c r="CD77" i="4"/>
  <c r="W78" i="4"/>
  <c r="W77" i="4"/>
  <c r="BR79" i="2"/>
  <c r="BR77" i="2"/>
  <c r="AN77" i="4"/>
  <c r="AN78" i="4"/>
  <c r="AB77" i="4"/>
  <c r="AB78" i="4"/>
  <c r="DB77" i="4"/>
  <c r="DB78" i="4"/>
  <c r="CJ77" i="4"/>
  <c r="CJ78" i="4"/>
  <c r="H77" i="4"/>
  <c r="H78" i="4"/>
  <c r="CG78" i="4"/>
  <c r="CG77" i="4"/>
  <c r="AZ77" i="4"/>
  <c r="AZ78" i="4"/>
  <c r="AA76" i="4"/>
  <c r="AA50" i="4"/>
  <c r="DA77" i="4"/>
  <c r="DA78" i="4"/>
  <c r="Z77" i="4"/>
  <c r="Z78" i="4"/>
  <c r="CL78" i="4"/>
  <c r="CL77" i="4"/>
  <c r="CE77" i="4"/>
  <c r="CR76" i="4"/>
  <c r="CR50" i="4"/>
  <c r="BZ78" i="4"/>
  <c r="BZ77" i="4"/>
  <c r="G50" i="4"/>
  <c r="G76" i="4"/>
  <c r="CW50" i="4"/>
  <c r="CW76" i="4"/>
  <c r="AJ77" i="4"/>
  <c r="AJ78" i="4"/>
  <c r="AE77" i="4"/>
  <c r="AE78" i="4"/>
  <c r="BD77" i="4"/>
  <c r="BD78" i="4"/>
  <c r="CO79" i="2"/>
  <c r="CS78" i="4"/>
  <c r="CS77" i="4"/>
  <c r="O77" i="4"/>
  <c r="O78" i="4"/>
  <c r="F54" i="4"/>
  <c r="G48" i="4"/>
  <c r="CI77" i="4"/>
  <c r="CI78" i="4"/>
  <c r="BQ122" i="2"/>
  <c r="BP127" i="2"/>
  <c r="DE122" i="2"/>
  <c r="DE127" i="2" s="1"/>
  <c r="DD6" i="4"/>
  <c r="DD6" i="3"/>
  <c r="DE7" i="2"/>
  <c r="DF7" i="2" s="1"/>
  <c r="T77" i="4"/>
  <c r="T78" i="4"/>
  <c r="CU76" i="4"/>
  <c r="CU50" i="4"/>
  <c r="K78" i="4"/>
  <c r="K77" i="4"/>
  <c r="BS123" i="2"/>
  <c r="CZ77" i="4"/>
  <c r="CZ78" i="4"/>
  <c r="CH77" i="4"/>
  <c r="CH78" i="4"/>
  <c r="L77" i="4"/>
  <c r="L78" i="4"/>
  <c r="AV77" i="4"/>
  <c r="AV78" i="4"/>
  <c r="CY78" i="4"/>
  <c r="CY77" i="4"/>
  <c r="BY50" i="4"/>
  <c r="BY51" i="4" s="1"/>
  <c r="BY54" i="4" s="1"/>
  <c r="BY76" i="4"/>
  <c r="BS18" i="2"/>
  <c r="CO18" i="2" s="1"/>
  <c r="BR109" i="2"/>
  <c r="BR111" i="2" s="1"/>
  <c r="BR101" i="2" s="1"/>
  <c r="AR77" i="4"/>
  <c r="AR78" i="4"/>
  <c r="CF76" i="4"/>
  <c r="CF50" i="4"/>
  <c r="AI50" i="4"/>
  <c r="AI76" i="4"/>
  <c r="DD22" i="4"/>
  <c r="DD11" i="3"/>
  <c r="CM61" i="4"/>
  <c r="BL61" i="4"/>
  <c r="BL70" i="4" s="1"/>
  <c r="BL69" i="4" s="1"/>
  <c r="BL73" i="4" s="1"/>
  <c r="BK63" i="4"/>
  <c r="CM12" i="2"/>
  <c r="CM60" i="2"/>
  <c r="DD49" i="3"/>
  <c r="DD67" i="17"/>
  <c r="DD10" i="2"/>
  <c r="CM30" i="4"/>
  <c r="DD30" i="4"/>
  <c r="BN77" i="17"/>
  <c r="CA77" i="17"/>
  <c r="CA76" i="17" s="1"/>
  <c r="CA79" i="17" s="1"/>
  <c r="DE58" i="3"/>
  <c r="BQ58" i="3"/>
  <c r="BP60" i="3"/>
  <c r="DE59" i="3"/>
  <c r="BQ59" i="3"/>
  <c r="BQ65" i="3"/>
  <c r="BR65" i="3" s="1"/>
  <c r="BS65" i="3" s="1"/>
  <c r="BP60" i="4"/>
  <c r="BQ18" i="4"/>
  <c r="CN60" i="3"/>
  <c r="CO56" i="3"/>
  <c r="BR79" i="3"/>
  <c r="BR80" i="3" s="1"/>
  <c r="BR40" i="4"/>
  <c r="BS30" i="3"/>
  <c r="BT30" i="3" s="1"/>
  <c r="DE33" i="4"/>
  <c r="CO17" i="3"/>
  <c r="DE12" i="4"/>
  <c r="BR18" i="3"/>
  <c r="BR33" i="4" s="1"/>
  <c r="BQ33" i="4"/>
  <c r="BQ46" i="3"/>
  <c r="CA77" i="4" l="1"/>
  <c r="BL33" i="17"/>
  <c r="BS79" i="2"/>
  <c r="BL44" i="17"/>
  <c r="BL45" i="17"/>
  <c r="BM43" i="17"/>
  <c r="DD43" i="17"/>
  <c r="BL55" i="17"/>
  <c r="BL54" i="17"/>
  <c r="DD53" i="17"/>
  <c r="BM53" i="17"/>
  <c r="CP17" i="4"/>
  <c r="CO13" i="4"/>
  <c r="CV77" i="4"/>
  <c r="BR59" i="3"/>
  <c r="BS59" i="3" s="1"/>
  <c r="CO59" i="3" s="1"/>
  <c r="CP39" i="4"/>
  <c r="CP20" i="4"/>
  <c r="DF15" i="4"/>
  <c r="CB77" i="4"/>
  <c r="DF6" i="4"/>
  <c r="DF6" i="3"/>
  <c r="CP92" i="2"/>
  <c r="CO42" i="4"/>
  <c r="DF42" i="4"/>
  <c r="BT79" i="3"/>
  <c r="BT80" i="3" s="1"/>
  <c r="DF30" i="3"/>
  <c r="DF79" i="3" s="1"/>
  <c r="DF80" i="3" s="1"/>
  <c r="BU30" i="3"/>
  <c r="BT40" i="4"/>
  <c r="CO16" i="4"/>
  <c r="DF16" i="4"/>
  <c r="BV10" i="3"/>
  <c r="BU42" i="4"/>
  <c r="CP24" i="3"/>
  <c r="DF19" i="3"/>
  <c r="BU19" i="3"/>
  <c r="BU16" i="4" s="1"/>
  <c r="DF79" i="2"/>
  <c r="DF77" i="2"/>
  <c r="BT100" i="2"/>
  <c r="BU9" i="2"/>
  <c r="CO123" i="2"/>
  <c r="BT123" i="2"/>
  <c r="DF123" i="2" s="1"/>
  <c r="BU125" i="2"/>
  <c r="BS109" i="2"/>
  <c r="BS111" i="2" s="1"/>
  <c r="BS101" i="2" s="1"/>
  <c r="BT18" i="2"/>
  <c r="BS44" i="4"/>
  <c r="BS62" i="3" s="1"/>
  <c r="CO62" i="3" s="1"/>
  <c r="BT131" i="2"/>
  <c r="DF131" i="2" s="1"/>
  <c r="BW55" i="2"/>
  <c r="BW53" i="2" s="1"/>
  <c r="BV53" i="2"/>
  <c r="BU74" i="2"/>
  <c r="BT73" i="2"/>
  <c r="DF9" i="2"/>
  <c r="DF100" i="2" s="1"/>
  <c r="BV126" i="2"/>
  <c r="BU73" i="3"/>
  <c r="BT107" i="2"/>
  <c r="BT10" i="4" s="1"/>
  <c r="BU16" i="2"/>
  <c r="DF18" i="2"/>
  <c r="DF109" i="2" s="1"/>
  <c r="DF111" i="2" s="1"/>
  <c r="DF101" i="2" s="1"/>
  <c r="BW37" i="4"/>
  <c r="CP37" i="4" s="1"/>
  <c r="BU13" i="4"/>
  <c r="BV13" i="4" s="1"/>
  <c r="BW13" i="4" s="1"/>
  <c r="CO65" i="3"/>
  <c r="BT65" i="3"/>
  <c r="CP31" i="4"/>
  <c r="BU15" i="4"/>
  <c r="BV15" i="4" s="1"/>
  <c r="BW15" i="4" s="1"/>
  <c r="DF13" i="4"/>
  <c r="CO15" i="4"/>
  <c r="CO100" i="2"/>
  <c r="G51" i="4"/>
  <c r="H48" i="4" s="1"/>
  <c r="BR12" i="4"/>
  <c r="CF78" i="4"/>
  <c r="CF77" i="4"/>
  <c r="BY77" i="4"/>
  <c r="BY78" i="4"/>
  <c r="CU77" i="4"/>
  <c r="CU78" i="4"/>
  <c r="DE6" i="4"/>
  <c r="DE6" i="3"/>
  <c r="CR78" i="4"/>
  <c r="CR77" i="4"/>
  <c r="AA77" i="4"/>
  <c r="AA78" i="4"/>
  <c r="CT78" i="4"/>
  <c r="CT77" i="4"/>
  <c r="AI77" i="4"/>
  <c r="AI78" i="4"/>
  <c r="CO109" i="2"/>
  <c r="CO111" i="2" s="1"/>
  <c r="CO101" i="2" s="1"/>
  <c r="BR122" i="2"/>
  <c r="BQ127" i="2"/>
  <c r="CW77" i="4"/>
  <c r="CW78" i="4"/>
  <c r="G77" i="4"/>
  <c r="G78" i="4"/>
  <c r="CC78" i="4"/>
  <c r="CC77" i="4"/>
  <c r="BR62" i="3"/>
  <c r="CM34" i="4"/>
  <c r="CM57" i="4"/>
  <c r="CM58" i="4" s="1"/>
  <c r="BL62" i="4"/>
  <c r="BL63" i="4" s="1"/>
  <c r="DD69" i="4"/>
  <c r="CM70" i="4"/>
  <c r="CM69" i="4" s="1"/>
  <c r="CM73" i="4" s="1"/>
  <c r="CM63" i="4"/>
  <c r="CM31" i="2"/>
  <c r="DD57" i="4"/>
  <c r="DD58" i="4" s="1"/>
  <c r="DD34" i="4"/>
  <c r="DD12" i="2"/>
  <c r="DD60" i="2"/>
  <c r="CM16" i="3"/>
  <c r="BK65" i="4"/>
  <c r="BK66" i="4" s="1"/>
  <c r="DD61" i="4"/>
  <c r="BM69" i="4"/>
  <c r="BM11" i="4" s="1"/>
  <c r="CM42" i="2"/>
  <c r="DD41" i="3"/>
  <c r="CB77" i="17"/>
  <c r="CB76" i="17" s="1"/>
  <c r="CB79" i="17" s="1"/>
  <c r="BO77" i="17"/>
  <c r="BQ60" i="4"/>
  <c r="BR18" i="4"/>
  <c r="BR58" i="3"/>
  <c r="BQ60" i="3"/>
  <c r="DE60" i="3"/>
  <c r="BR46" i="4"/>
  <c r="BS40" i="4"/>
  <c r="CO30" i="3"/>
  <c r="BS79" i="3"/>
  <c r="BS80" i="3" s="1"/>
  <c r="BR46" i="3"/>
  <c r="BS18" i="3"/>
  <c r="BL35" i="17" l="1"/>
  <c r="BL3" i="17"/>
  <c r="BL34" i="17"/>
  <c r="G54" i="4"/>
  <c r="BL63" i="17"/>
  <c r="BL64" i="17" s="1"/>
  <c r="BM33" i="17"/>
  <c r="DD33" i="17"/>
  <c r="DD35" i="17" s="1"/>
  <c r="BM45" i="17"/>
  <c r="BN43" i="17"/>
  <c r="BM35" i="17"/>
  <c r="BN33" i="17"/>
  <c r="BN3" i="17" s="1"/>
  <c r="BN53" i="17"/>
  <c r="BM55" i="17"/>
  <c r="BM63" i="17"/>
  <c r="BM36" i="17" s="1"/>
  <c r="DD55" i="17"/>
  <c r="DD45" i="17"/>
  <c r="BT59" i="3"/>
  <c r="DF40" i="4"/>
  <c r="BV19" i="3"/>
  <c r="BV16" i="4" s="1"/>
  <c r="BU79" i="3"/>
  <c r="BU80" i="3" s="1"/>
  <c r="BV30" i="3"/>
  <c r="BU40" i="4"/>
  <c r="BW10" i="3"/>
  <c r="BV42" i="4"/>
  <c r="BS46" i="4"/>
  <c r="CP53" i="2"/>
  <c r="CP55" i="2"/>
  <c r="BV125" i="2"/>
  <c r="BU100" i="2"/>
  <c r="BV9" i="2"/>
  <c r="CO44" i="4"/>
  <c r="BU107" i="2"/>
  <c r="BU10" i="4" s="1"/>
  <c r="BV16" i="2"/>
  <c r="BT79" i="2"/>
  <c r="BT77" i="2"/>
  <c r="BT109" i="2"/>
  <c r="BT111" i="2" s="1"/>
  <c r="BT101" i="2" s="1"/>
  <c r="BU18" i="2"/>
  <c r="BW126" i="2"/>
  <c r="CP126" i="2" s="1"/>
  <c r="BV73" i="3"/>
  <c r="BU123" i="2"/>
  <c r="BV123" i="2" s="1"/>
  <c r="BS33" i="4"/>
  <c r="CO33" i="4" s="1"/>
  <c r="BT18" i="3"/>
  <c r="BT33" i="4" s="1"/>
  <c r="DF10" i="4"/>
  <c r="BU73" i="2"/>
  <c r="BV74" i="2"/>
  <c r="BT44" i="4"/>
  <c r="DF44" i="4" s="1"/>
  <c r="DF46" i="4" s="1"/>
  <c r="BU131" i="2"/>
  <c r="CM65" i="4"/>
  <c r="CM66" i="4" s="1"/>
  <c r="DF59" i="3"/>
  <c r="BU59" i="3"/>
  <c r="BV59" i="3" s="1"/>
  <c r="BW59" i="3" s="1"/>
  <c r="CP59" i="3" s="1"/>
  <c r="CP15" i="4"/>
  <c r="BU65" i="3"/>
  <c r="BV65" i="3" s="1"/>
  <c r="BW65" i="3" s="1"/>
  <c r="CP65" i="3" s="1"/>
  <c r="DF65" i="3"/>
  <c r="CP13" i="4"/>
  <c r="BS12" i="4"/>
  <c r="CO12" i="4" s="1"/>
  <c r="CO40" i="4"/>
  <c r="CO46" i="4" s="1"/>
  <c r="BS122" i="2"/>
  <c r="CO122" i="2" s="1"/>
  <c r="BR127" i="2"/>
  <c r="BZ48" i="4"/>
  <c r="BZ51" i="4" s="1"/>
  <c r="BZ54" i="4" s="1"/>
  <c r="H51" i="4"/>
  <c r="CM48" i="2"/>
  <c r="CM49" i="2" s="1"/>
  <c r="CM50" i="2"/>
  <c r="CM51" i="2" s="1"/>
  <c r="CM43" i="2"/>
  <c r="BL144" i="2"/>
  <c r="BL78" i="17"/>
  <c r="DD11" i="4"/>
  <c r="DD72" i="4" s="1"/>
  <c r="DD42" i="2"/>
  <c r="BL65" i="4"/>
  <c r="BL66" i="4" s="1"/>
  <c r="DD16" i="3"/>
  <c r="DD65" i="4" s="1"/>
  <c r="BM78" i="17"/>
  <c r="BM144" i="2"/>
  <c r="BM148" i="2" s="1"/>
  <c r="BM72" i="4"/>
  <c r="BM73" i="4" s="1"/>
  <c r="DD14" i="2"/>
  <c r="CM14" i="2"/>
  <c r="CM50" i="3" s="1"/>
  <c r="DD31" i="2"/>
  <c r="CM137" i="2"/>
  <c r="CM62" i="2"/>
  <c r="CM37" i="2"/>
  <c r="CM32" i="2"/>
  <c r="CM39" i="2"/>
  <c r="BM62" i="4"/>
  <c r="DD62" i="4"/>
  <c r="DD63" i="4" s="1"/>
  <c r="CC77" i="17"/>
  <c r="CC76" i="17" s="1"/>
  <c r="CC79" i="17" s="1"/>
  <c r="BP77" i="17"/>
  <c r="BS58" i="3"/>
  <c r="BT58" i="3" s="1"/>
  <c r="BR60" i="3"/>
  <c r="BR60" i="4"/>
  <c r="BS18" i="4"/>
  <c r="CO79" i="3"/>
  <c r="CO80" i="3" s="1"/>
  <c r="BS46" i="3"/>
  <c r="BT46" i="3" s="1"/>
  <c r="BU46" i="3" s="1"/>
  <c r="BV46" i="3" s="1"/>
  <c r="BW46" i="3" s="1"/>
  <c r="CO18" i="3"/>
  <c r="BN5" i="17" l="1"/>
  <c r="BL65" i="17"/>
  <c r="BL36" i="17"/>
  <c r="BM3" i="17"/>
  <c r="BL4" i="17"/>
  <c r="BL5" i="17"/>
  <c r="BL76" i="17"/>
  <c r="BL69" i="17"/>
  <c r="BM38" i="17"/>
  <c r="BM40" i="17" s="1"/>
  <c r="DD63" i="17"/>
  <c r="DD46" i="17" s="1"/>
  <c r="BM46" i="17"/>
  <c r="BM56" i="17"/>
  <c r="BM8" i="2"/>
  <c r="BM65" i="17"/>
  <c r="BM64" i="17"/>
  <c r="BM76" i="17"/>
  <c r="DD65" i="17"/>
  <c r="BO43" i="17"/>
  <c r="BN45" i="17"/>
  <c r="BN55" i="17"/>
  <c r="BO53" i="17"/>
  <c r="CN53" i="17" s="1"/>
  <c r="BN63" i="17"/>
  <c r="BN56" i="17" s="1"/>
  <c r="BO33" i="17"/>
  <c r="BO3" i="17" s="1"/>
  <c r="BN38" i="17"/>
  <c r="BN35" i="17"/>
  <c r="CP10" i="3"/>
  <c r="BW42" i="4"/>
  <c r="CP42" i="4" s="1"/>
  <c r="BW19" i="3"/>
  <c r="CP19" i="3" s="1"/>
  <c r="BV79" i="3"/>
  <c r="BV80" i="3" s="1"/>
  <c r="BW30" i="3"/>
  <c r="BV40" i="4"/>
  <c r="BV73" i="2"/>
  <c r="BW74" i="2"/>
  <c r="BW73" i="2" s="1"/>
  <c r="DF33" i="4"/>
  <c r="BV131" i="2"/>
  <c r="BU44" i="4"/>
  <c r="BU79" i="2"/>
  <c r="BU77" i="2"/>
  <c r="BU18" i="3"/>
  <c r="BU33" i="4" s="1"/>
  <c r="DF18" i="3"/>
  <c r="BW125" i="2"/>
  <c r="CP125" i="2" s="1"/>
  <c r="BT12" i="4"/>
  <c r="BW123" i="2"/>
  <c r="CP123" i="2" s="1"/>
  <c r="BW73" i="3"/>
  <c r="BU109" i="2"/>
  <c r="BU111" i="2" s="1"/>
  <c r="BU101" i="2" s="1"/>
  <c r="BV18" i="2"/>
  <c r="BS127" i="2"/>
  <c r="BT122" i="2"/>
  <c r="DF122" i="2" s="1"/>
  <c r="DF127" i="2" s="1"/>
  <c r="BT62" i="3"/>
  <c r="DF62" i="3" s="1"/>
  <c r="BT46" i="4"/>
  <c r="CP73" i="3"/>
  <c r="BV107" i="2"/>
  <c r="BV10" i="4" s="1"/>
  <c r="BW16" i="2"/>
  <c r="BW107" i="2" s="1"/>
  <c r="BW10" i="4" s="1"/>
  <c r="BV100" i="2"/>
  <c r="BW9" i="2"/>
  <c r="BW100" i="2" s="1"/>
  <c r="BS60" i="4"/>
  <c r="BT18" i="4"/>
  <c r="BU58" i="3"/>
  <c r="DF58" i="3"/>
  <c r="DF60" i="3" s="1"/>
  <c r="BT60" i="3"/>
  <c r="DF18" i="4"/>
  <c r="DF60" i="4" s="1"/>
  <c r="CO18" i="4"/>
  <c r="CO60" i="4" s="1"/>
  <c r="CO127" i="2"/>
  <c r="H54" i="4"/>
  <c r="I48" i="4"/>
  <c r="I51" i="4" s="1"/>
  <c r="CM15" i="2"/>
  <c r="CM19" i="2"/>
  <c r="CM138" i="2"/>
  <c r="CM21" i="2"/>
  <c r="CM24" i="2"/>
  <c r="DD50" i="3"/>
  <c r="DD15" i="2"/>
  <c r="DD19" i="2"/>
  <c r="DD138" i="2"/>
  <c r="DD21" i="2"/>
  <c r="DD24" i="2"/>
  <c r="DD66" i="4"/>
  <c r="DD48" i="2"/>
  <c r="DD49" i="2" s="1"/>
  <c r="DD50" i="2"/>
  <c r="DD43" i="2"/>
  <c r="BL148" i="2"/>
  <c r="DD148" i="2" s="1"/>
  <c r="DD144" i="2"/>
  <c r="CM64" i="2"/>
  <c r="CM40" i="2"/>
  <c r="CM38" i="2"/>
  <c r="CM63" i="2"/>
  <c r="DD137" i="2"/>
  <c r="DD62" i="2"/>
  <c r="DD37" i="2"/>
  <c r="DD32" i="2"/>
  <c r="DD39" i="2"/>
  <c r="BL84" i="17"/>
  <c r="BL38" i="17" s="1"/>
  <c r="DD70" i="4"/>
  <c r="DD73" i="4"/>
  <c r="BQ77" i="17"/>
  <c r="CO58" i="3"/>
  <c r="BS60" i="3"/>
  <c r="BO4" i="17" l="1"/>
  <c r="BO5" i="17"/>
  <c r="DD69" i="17"/>
  <c r="BM4" i="17"/>
  <c r="BM5" i="17"/>
  <c r="BN4" i="17"/>
  <c r="DD36" i="17"/>
  <c r="DD56" i="17"/>
  <c r="BN36" i="17"/>
  <c r="BL41" i="17"/>
  <c r="BL40" i="17"/>
  <c r="BL39" i="17"/>
  <c r="DD38" i="17"/>
  <c r="BM39" i="17"/>
  <c r="CN55" i="17"/>
  <c r="BN39" i="17"/>
  <c r="BN40" i="17"/>
  <c r="BM49" i="3"/>
  <c r="BM11" i="3" s="1"/>
  <c r="BM22" i="4" s="1"/>
  <c r="BM57" i="4"/>
  <c r="BM10" i="2"/>
  <c r="BM12" i="2"/>
  <c r="BM67" i="17"/>
  <c r="BM69" i="17" s="1"/>
  <c r="BO35" i="17"/>
  <c r="BO38" i="17"/>
  <c r="BP33" i="17"/>
  <c r="BN65" i="17"/>
  <c r="BN64" i="17"/>
  <c r="BN8" i="2"/>
  <c r="BN76" i="17"/>
  <c r="CN43" i="17"/>
  <c r="BP43" i="17"/>
  <c r="BO45" i="17"/>
  <c r="CN33" i="17"/>
  <c r="BL58" i="17"/>
  <c r="BL48" i="17"/>
  <c r="BO55" i="17"/>
  <c r="BP53" i="17"/>
  <c r="BO63" i="17"/>
  <c r="BO46" i="17" s="1"/>
  <c r="BN46" i="17"/>
  <c r="BU12" i="4"/>
  <c r="BW16" i="4"/>
  <c r="CP16" i="4" s="1"/>
  <c r="BW79" i="3"/>
  <c r="BW80" i="3" s="1"/>
  <c r="CP30" i="3"/>
  <c r="CP79" i="3" s="1"/>
  <c r="CP80" i="3" s="1"/>
  <c r="BW40" i="4"/>
  <c r="CP40" i="4" s="1"/>
  <c r="CP10" i="4"/>
  <c r="CP74" i="2"/>
  <c r="CP73" i="2" s="1"/>
  <c r="CP16" i="2"/>
  <c r="CP107" i="2" s="1"/>
  <c r="BV109" i="2"/>
  <c r="BV111" i="2" s="1"/>
  <c r="BV101" i="2" s="1"/>
  <c r="BW18" i="2"/>
  <c r="BW109" i="2" s="1"/>
  <c r="BW111" i="2" s="1"/>
  <c r="BW101" i="2" s="1"/>
  <c r="BU62" i="3"/>
  <c r="BU46" i="4"/>
  <c r="BW79" i="2"/>
  <c r="BW77" i="2"/>
  <c r="DF12" i="4"/>
  <c r="BV18" i="3"/>
  <c r="BV12" i="4" s="1"/>
  <c r="BW131" i="2"/>
  <c r="BV44" i="4"/>
  <c r="BV77" i="2"/>
  <c r="BV79" i="2"/>
  <c r="BU122" i="2"/>
  <c r="BT127" i="2"/>
  <c r="CP9" i="2"/>
  <c r="CP100" i="2" s="1"/>
  <c r="BU18" i="4"/>
  <c r="BT60" i="4"/>
  <c r="BU60" i="3"/>
  <c r="BV58" i="3"/>
  <c r="I54" i="4"/>
  <c r="J48" i="4"/>
  <c r="J51" i="4" s="1"/>
  <c r="CM143" i="2"/>
  <c r="CM142" i="2" s="1"/>
  <c r="BL85" i="17"/>
  <c r="CM25" i="3"/>
  <c r="BL147" i="2"/>
  <c r="DD25" i="3"/>
  <c r="DD66" i="2"/>
  <c r="DD25" i="2"/>
  <c r="CM22" i="2"/>
  <c r="CM28" i="2"/>
  <c r="CM26" i="2"/>
  <c r="CM20" i="2"/>
  <c r="BL143" i="2"/>
  <c r="CM147" i="2"/>
  <c r="CM146" i="2" s="1"/>
  <c r="CM12" i="3"/>
  <c r="DD40" i="2"/>
  <c r="DD64" i="2"/>
  <c r="DD38" i="2"/>
  <c r="DD63" i="2"/>
  <c r="DD51" i="2"/>
  <c r="DD12" i="3"/>
  <c r="DD22" i="2"/>
  <c r="DD28" i="2"/>
  <c r="DD20" i="2"/>
  <c r="DD26" i="2"/>
  <c r="CM84" i="17"/>
  <c r="CM25" i="2"/>
  <c r="CM66" i="2"/>
  <c r="BR77" i="17"/>
  <c r="CO60" i="3"/>
  <c r="BP3" i="17" l="1"/>
  <c r="BP4" i="17"/>
  <c r="BP5" i="17"/>
  <c r="CN63" i="17"/>
  <c r="CN56" i="17" s="1"/>
  <c r="BO56" i="17"/>
  <c r="BL81" i="17"/>
  <c r="BL82" i="17" s="1"/>
  <c r="BO65" i="17"/>
  <c r="BO64" i="17"/>
  <c r="BO8" i="2"/>
  <c r="CN8" i="2" s="1"/>
  <c r="BO76" i="17"/>
  <c r="CN35" i="17"/>
  <c r="DE43" i="17"/>
  <c r="BP45" i="17"/>
  <c r="BQ43" i="17"/>
  <c r="BO36" i="17"/>
  <c r="CN38" i="17"/>
  <c r="BO39" i="17"/>
  <c r="BO40" i="17"/>
  <c r="DE53" i="17"/>
  <c r="BQ53" i="17"/>
  <c r="BP55" i="17"/>
  <c r="BP63" i="17"/>
  <c r="BP56" i="17" s="1"/>
  <c r="CN45" i="17"/>
  <c r="BN12" i="2"/>
  <c r="BN10" i="2"/>
  <c r="BN49" i="3"/>
  <c r="BN11" i="3" s="1"/>
  <c r="BN67" i="17"/>
  <c r="BN69" i="17" s="1"/>
  <c r="BN57" i="4"/>
  <c r="BN30" i="4" s="1"/>
  <c r="BN34" i="4" s="1"/>
  <c r="BQ33" i="17"/>
  <c r="BQ3" i="17" s="1"/>
  <c r="BP35" i="17"/>
  <c r="BP38" i="17"/>
  <c r="BM11" i="2"/>
  <c r="BM60" i="2"/>
  <c r="DE33" i="17"/>
  <c r="BM30" i="4"/>
  <c r="BM61" i="4"/>
  <c r="BL50" i="17"/>
  <c r="BL49" i="17"/>
  <c r="BL51" i="17"/>
  <c r="DD48" i="17"/>
  <c r="BL60" i="17"/>
  <c r="BL59" i="17"/>
  <c r="BL61" i="17"/>
  <c r="DD58" i="17"/>
  <c r="DD41" i="17"/>
  <c r="DD40" i="17"/>
  <c r="CP18" i="2"/>
  <c r="CP109" i="2" s="1"/>
  <c r="CP111" i="2" s="1"/>
  <c r="CP101" i="2" s="1"/>
  <c r="BV33" i="4"/>
  <c r="BV122" i="2"/>
  <c r="BU127" i="2"/>
  <c r="BV62" i="3"/>
  <c r="BV46" i="4"/>
  <c r="BW18" i="3"/>
  <c r="CP18" i="3" s="1"/>
  <c r="CP79" i="2"/>
  <c r="CP77" i="2"/>
  <c r="BW44" i="4"/>
  <c r="CP44" i="4" s="1"/>
  <c r="CP46" i="4" s="1"/>
  <c r="CP131" i="2"/>
  <c r="CM43" i="3"/>
  <c r="CM42" i="3" s="1"/>
  <c r="CM51" i="3"/>
  <c r="CM44" i="3"/>
  <c r="BW58" i="3"/>
  <c r="BV60" i="3"/>
  <c r="BV18" i="4"/>
  <c r="BU60" i="4"/>
  <c r="K48" i="4"/>
  <c r="K51" i="4" s="1"/>
  <c r="J54" i="4"/>
  <c r="DD27" i="2"/>
  <c r="DD68" i="2"/>
  <c r="DD70" i="2"/>
  <c r="DD29" i="2"/>
  <c r="DD43" i="3"/>
  <c r="DD42" i="3" s="1"/>
  <c r="DD51" i="3"/>
  <c r="CM20" i="3"/>
  <c r="CM23" i="4"/>
  <c r="DD23" i="4"/>
  <c r="CM70" i="2"/>
  <c r="CM29" i="2"/>
  <c r="DD81" i="2"/>
  <c r="DD82" i="2" s="1"/>
  <c r="DD67" i="2"/>
  <c r="CM81" i="2"/>
  <c r="CM82" i="2" s="1"/>
  <c r="CM85" i="17"/>
  <c r="CM67" i="2"/>
  <c r="DD13" i="3"/>
  <c r="DD20" i="3"/>
  <c r="DD143" i="2"/>
  <c r="DD142" i="2" s="1"/>
  <c r="BL142" i="2"/>
  <c r="CM68" i="2"/>
  <c r="CM27" i="2"/>
  <c r="DD44" i="3"/>
  <c r="DD147" i="2"/>
  <c r="DD146" i="2" s="1"/>
  <c r="BL146" i="2"/>
  <c r="CM25" i="4"/>
  <c r="DD25" i="4"/>
  <c r="BS77" i="17"/>
  <c r="BQ5" i="17" l="1"/>
  <c r="BQ4" i="17"/>
  <c r="CN46" i="17"/>
  <c r="CN65" i="17"/>
  <c r="CN36" i="17"/>
  <c r="CN76" i="17"/>
  <c r="BL73" i="17"/>
  <c r="BL79" i="17" s="1"/>
  <c r="CN88" i="17"/>
  <c r="CN10" i="2"/>
  <c r="CN49" i="3"/>
  <c r="CN67" i="17"/>
  <c r="CN69" i="17" s="1"/>
  <c r="BM34" i="4"/>
  <c r="BN60" i="2"/>
  <c r="BN11" i="2"/>
  <c r="BN61" i="17"/>
  <c r="BM58" i="17"/>
  <c r="DE63" i="17"/>
  <c r="DE65" i="17" s="1"/>
  <c r="DE35" i="17"/>
  <c r="BP36" i="17"/>
  <c r="DE38" i="17"/>
  <c r="BP39" i="17"/>
  <c r="BP40" i="17"/>
  <c r="BN22" i="4"/>
  <c r="BQ55" i="17"/>
  <c r="BR53" i="17"/>
  <c r="BQ63" i="17"/>
  <c r="BQ56" i="17" s="1"/>
  <c r="BP46" i="17"/>
  <c r="DD50" i="17"/>
  <c r="DD51" i="17"/>
  <c r="BN69" i="4"/>
  <c r="BN61" i="4"/>
  <c r="BM63" i="4"/>
  <c r="BM16" i="3" s="1"/>
  <c r="BM65" i="4" s="1"/>
  <c r="BM66" i="4" s="1"/>
  <c r="BM42" i="2"/>
  <c r="BM31" i="2"/>
  <c r="DE55" i="17"/>
  <c r="CN41" i="17"/>
  <c r="CN40" i="17"/>
  <c r="BR43" i="17"/>
  <c r="BQ45" i="17"/>
  <c r="BN51" i="17"/>
  <c r="BM48" i="17"/>
  <c r="BP8" i="2"/>
  <c r="DE8" i="2" s="1"/>
  <c r="BP64" i="17"/>
  <c r="BP65" i="17"/>
  <c r="BP76" i="17"/>
  <c r="DD61" i="17"/>
  <c r="DD60" i="17"/>
  <c r="BQ35" i="17"/>
  <c r="BQ38" i="17"/>
  <c r="BR33" i="17"/>
  <c r="BR3" i="17" s="1"/>
  <c r="DE45" i="17"/>
  <c r="BO12" i="2"/>
  <c r="BO57" i="4"/>
  <c r="BO30" i="4" s="1"/>
  <c r="BO34" i="4" s="1"/>
  <c r="BO67" i="17"/>
  <c r="BO69" i="17" s="1"/>
  <c r="BO49" i="3"/>
  <c r="BO11" i="3" s="1"/>
  <c r="BO22" i="4" s="1"/>
  <c r="BO10" i="2"/>
  <c r="BW12" i="4"/>
  <c r="CP12" i="4" s="1"/>
  <c r="BW33" i="4"/>
  <c r="CP33" i="4" s="1"/>
  <c r="BW122" i="2"/>
  <c r="BV127" i="2"/>
  <c r="CM47" i="3"/>
  <c r="BW62" i="3"/>
  <c r="CP62" i="3" s="1"/>
  <c r="BW46" i="4"/>
  <c r="BT77" i="17"/>
  <c r="BV60" i="4"/>
  <c r="BW18" i="4"/>
  <c r="BW60" i="4" s="1"/>
  <c r="CP58" i="3"/>
  <c r="CP60" i="3" s="1"/>
  <c r="BW60" i="3"/>
  <c r="DD47" i="3"/>
  <c r="L48" i="4"/>
  <c r="K54" i="4"/>
  <c r="DD46" i="3"/>
  <c r="CM83" i="2"/>
  <c r="CM69" i="2"/>
  <c r="DD88" i="2"/>
  <c r="CM13" i="3"/>
  <c r="CM46" i="3" s="1"/>
  <c r="DD85" i="2"/>
  <c r="DD86" i="2" s="1"/>
  <c r="DD71" i="2"/>
  <c r="CM85" i="2"/>
  <c r="CM86" i="2" s="1"/>
  <c r="CM71" i="2"/>
  <c r="CM88" i="2"/>
  <c r="DD69" i="2"/>
  <c r="DD83" i="2"/>
  <c r="DD84" i="2" s="1"/>
  <c r="BR4" i="17" l="1"/>
  <c r="BR5" i="17"/>
  <c r="BQ36" i="17"/>
  <c r="CN22" i="4"/>
  <c r="DE56" i="17"/>
  <c r="DE10" i="2"/>
  <c r="DE49" i="3"/>
  <c r="DE67" i="17"/>
  <c r="DE69" i="17" s="1"/>
  <c r="BO51" i="17"/>
  <c r="BN48" i="17"/>
  <c r="DE46" i="17"/>
  <c r="BS33" i="17"/>
  <c r="BR35" i="17"/>
  <c r="BR38" i="17"/>
  <c r="BO69" i="4"/>
  <c r="BO11" i="4" s="1"/>
  <c r="BO61" i="4"/>
  <c r="BO11" i="2"/>
  <c r="BO60" i="2"/>
  <c r="BQ39" i="17"/>
  <c r="BQ40" i="17"/>
  <c r="BM37" i="2"/>
  <c r="BM32" i="2"/>
  <c r="BM137" i="2"/>
  <c r="BM39" i="2"/>
  <c r="BM62" i="2"/>
  <c r="BN31" i="2"/>
  <c r="BN11" i="4"/>
  <c r="BN62" i="4"/>
  <c r="DE36" i="17"/>
  <c r="BO61" i="17"/>
  <c r="BN58" i="17"/>
  <c r="CN12" i="2"/>
  <c r="CN60" i="2"/>
  <c r="BM50" i="17"/>
  <c r="BM49" i="17"/>
  <c r="BM81" i="17"/>
  <c r="BM48" i="2"/>
  <c r="BM49" i="2" s="1"/>
  <c r="BM43" i="2"/>
  <c r="BN42" i="2"/>
  <c r="BM50" i="2"/>
  <c r="BM51" i="2" s="1"/>
  <c r="CN30" i="4"/>
  <c r="CN11" i="3"/>
  <c r="CN41" i="3" s="1"/>
  <c r="BQ8" i="2"/>
  <c r="BQ65" i="17"/>
  <c r="BQ64" i="17"/>
  <c r="BQ76" i="17"/>
  <c r="DE40" i="17"/>
  <c r="DE41" i="17"/>
  <c r="BP49" i="3"/>
  <c r="BP11" i="3" s="1"/>
  <c r="BP22" i="4" s="1"/>
  <c r="DE22" i="4" s="1"/>
  <c r="BP57" i="4"/>
  <c r="BP30" i="4" s="1"/>
  <c r="BP34" i="4" s="1"/>
  <c r="BP67" i="17"/>
  <c r="BP69" i="17" s="1"/>
  <c r="BP10" i="2"/>
  <c r="BP12" i="2"/>
  <c r="BS43" i="17"/>
  <c r="CO43" i="17" s="1"/>
  <c r="BR45" i="17"/>
  <c r="BQ46" i="17"/>
  <c r="BR55" i="17"/>
  <c r="BS53" i="17"/>
  <c r="BR63" i="17"/>
  <c r="BR56" i="17" s="1"/>
  <c r="BM59" i="17"/>
  <c r="BM60" i="17"/>
  <c r="BW127" i="2"/>
  <c r="CP122" i="2"/>
  <c r="CP127" i="2" s="1"/>
  <c r="BU77" i="17"/>
  <c r="CP18" i="4"/>
  <c r="CP60" i="4" s="1"/>
  <c r="CA48" i="4"/>
  <c r="CA51" i="4" s="1"/>
  <c r="CA54" i="4" s="1"/>
  <c r="L51" i="4"/>
  <c r="DD98" i="2"/>
  <c r="DD93" i="2"/>
  <c r="DD95" i="2"/>
  <c r="DD89" i="2"/>
  <c r="CM93" i="2"/>
  <c r="CM102" i="2" s="1"/>
  <c r="CM95" i="2"/>
  <c r="CM89" i="2"/>
  <c r="CM98" i="2"/>
  <c r="DD24" i="4"/>
  <c r="CM24" i="4"/>
  <c r="CM84" i="2"/>
  <c r="BS3" i="17" l="1"/>
  <c r="BS5" i="17" s="1"/>
  <c r="CO33" i="17"/>
  <c r="DE30" i="4"/>
  <c r="DE57" i="4" s="1"/>
  <c r="DE58" i="4" s="1"/>
  <c r="BT53" i="17"/>
  <c r="BS55" i="17"/>
  <c r="BS63" i="17"/>
  <c r="BS56" i="17" s="1"/>
  <c r="BM26" i="2"/>
  <c r="BM82" i="17"/>
  <c r="BM73" i="17"/>
  <c r="BM79" i="17" s="1"/>
  <c r="BP61" i="17"/>
  <c r="BO58" i="17"/>
  <c r="BN144" i="2"/>
  <c r="BN72" i="4"/>
  <c r="BN73" i="4" s="1"/>
  <c r="BN78" i="17"/>
  <c r="CN11" i="4"/>
  <c r="BM40" i="2"/>
  <c r="BM64" i="2"/>
  <c r="BT33" i="17"/>
  <c r="BS38" i="17"/>
  <c r="BS35" i="17"/>
  <c r="BP51" i="17"/>
  <c r="BO48" i="17"/>
  <c r="BR65" i="17"/>
  <c r="BR8" i="2"/>
  <c r="BR64" i="17"/>
  <c r="BR76" i="17"/>
  <c r="BR46" i="17"/>
  <c r="DE11" i="3"/>
  <c r="DE41" i="3" s="1"/>
  <c r="BN50" i="2"/>
  <c r="BN51" i="2" s="1"/>
  <c r="BN43" i="2"/>
  <c r="BN48" i="2"/>
  <c r="BN49" i="2" s="1"/>
  <c r="BO42" i="2"/>
  <c r="CN42" i="2" s="1"/>
  <c r="BP61" i="4"/>
  <c r="CN61" i="4"/>
  <c r="BP69" i="4"/>
  <c r="BR36" i="17"/>
  <c r="DF53" i="17"/>
  <c r="BP11" i="2"/>
  <c r="BP60" i="2"/>
  <c r="CN57" i="4"/>
  <c r="CN58" i="4" s="1"/>
  <c r="CN34" i="4"/>
  <c r="BN32" i="2"/>
  <c r="BN39" i="2"/>
  <c r="BN37" i="2"/>
  <c r="BO31" i="2"/>
  <c r="BN137" i="2"/>
  <c r="BN62" i="2"/>
  <c r="BO144" i="2"/>
  <c r="BO148" i="2" s="1"/>
  <c r="BO72" i="4"/>
  <c r="BO73" i="4" s="1"/>
  <c r="BO78" i="17"/>
  <c r="BR40" i="17"/>
  <c r="BR39" i="17"/>
  <c r="CO45" i="17"/>
  <c r="DE60" i="2"/>
  <c r="DE12" i="2"/>
  <c r="CO53" i="17"/>
  <c r="BT43" i="17"/>
  <c r="DF43" i="17" s="1"/>
  <c r="BS45" i="17"/>
  <c r="BQ12" i="2"/>
  <c r="BQ67" i="17"/>
  <c r="BQ69" i="17" s="1"/>
  <c r="BQ49" i="3"/>
  <c r="BQ11" i="3" s="1"/>
  <c r="BQ22" i="4" s="1"/>
  <c r="BQ57" i="4"/>
  <c r="BQ30" i="4" s="1"/>
  <c r="BQ10" i="2"/>
  <c r="BN60" i="17"/>
  <c r="BN59" i="17"/>
  <c r="BN63" i="4"/>
  <c r="BN16" i="3" s="1"/>
  <c r="BN65" i="4" s="1"/>
  <c r="BN66" i="4" s="1"/>
  <c r="BO62" i="4"/>
  <c r="BM38" i="2"/>
  <c r="BM63" i="2"/>
  <c r="BN50" i="17"/>
  <c r="BN49" i="17"/>
  <c r="BN81" i="17"/>
  <c r="BV77" i="17"/>
  <c r="L54" i="4"/>
  <c r="M48" i="4"/>
  <c r="M51" i="4" s="1"/>
  <c r="CR48" i="4"/>
  <c r="CR51" i="4" s="1"/>
  <c r="CR54" i="4" s="1"/>
  <c r="CM94" i="2"/>
  <c r="DD94" i="2"/>
  <c r="DD102" i="2"/>
  <c r="CM103" i="2"/>
  <c r="CM117" i="2"/>
  <c r="CM116" i="2"/>
  <c r="CM99" i="2"/>
  <c r="CM113" i="2"/>
  <c r="CM96" i="2"/>
  <c r="CM104" i="2"/>
  <c r="BK8" i="4"/>
  <c r="BK27" i="4" s="1"/>
  <c r="BK50" i="4" s="1"/>
  <c r="DD104" i="2"/>
  <c r="DD96" i="2"/>
  <c r="DD99" i="2"/>
  <c r="DD113" i="2"/>
  <c r="DD114" i="2" s="1"/>
  <c r="DD116" i="2"/>
  <c r="BS4" i="17" l="1"/>
  <c r="BT3" i="17"/>
  <c r="BT5" i="17" s="1"/>
  <c r="BT4" i="17"/>
  <c r="CO35" i="17"/>
  <c r="BM68" i="2"/>
  <c r="BM83" i="2" s="1"/>
  <c r="DE34" i="4"/>
  <c r="DF45" i="17"/>
  <c r="BQ60" i="2"/>
  <c r="BQ11" i="2"/>
  <c r="CO55" i="17"/>
  <c r="CO63" i="17"/>
  <c r="CO56" i="17" s="1"/>
  <c r="BN40" i="2"/>
  <c r="BN64" i="2"/>
  <c r="BP11" i="4"/>
  <c r="DE69" i="4"/>
  <c r="BQ51" i="17"/>
  <c r="BP48" i="17"/>
  <c r="DE48" i="17" s="1"/>
  <c r="BT35" i="17"/>
  <c r="BT38" i="17"/>
  <c r="BU33" i="17"/>
  <c r="DF33" i="17"/>
  <c r="CN78" i="17"/>
  <c r="CN72" i="4"/>
  <c r="CN70" i="4" s="1"/>
  <c r="CN69" i="4" s="1"/>
  <c r="CN73" i="4" s="1"/>
  <c r="CN58" i="17"/>
  <c r="BO60" i="17"/>
  <c r="BO59" i="17"/>
  <c r="BM27" i="2"/>
  <c r="BM19" i="2"/>
  <c r="BT55" i="17"/>
  <c r="BU53" i="17"/>
  <c r="BT63" i="17"/>
  <c r="BT36" i="17" s="1"/>
  <c r="BQ34" i="4"/>
  <c r="BS46" i="17"/>
  <c r="DF55" i="17"/>
  <c r="BS36" i="17"/>
  <c r="BQ61" i="17"/>
  <c r="BP58" i="17"/>
  <c r="DE58" i="17" s="1"/>
  <c r="BN26" i="2"/>
  <c r="BN82" i="17"/>
  <c r="BN73" i="17"/>
  <c r="BN79" i="17" s="1"/>
  <c r="CN62" i="4"/>
  <c r="CN63" i="4" s="1"/>
  <c r="BP62" i="4"/>
  <c r="CN50" i="2"/>
  <c r="CN51" i="2" s="1"/>
  <c r="CN48" i="2"/>
  <c r="CN49" i="2" s="1"/>
  <c r="CN43" i="2"/>
  <c r="BO39" i="2"/>
  <c r="BO32" i="2"/>
  <c r="BO62" i="2"/>
  <c r="BO37" i="2"/>
  <c r="BP31" i="2"/>
  <c r="DE31" i="2" s="1"/>
  <c r="BO137" i="2"/>
  <c r="BQ61" i="4"/>
  <c r="DE61" i="4"/>
  <c r="BQ69" i="4"/>
  <c r="BQ11" i="4" s="1"/>
  <c r="BR10" i="2"/>
  <c r="BR67" i="17"/>
  <c r="BR69" i="17" s="1"/>
  <c r="BR57" i="4"/>
  <c r="BR30" i="4" s="1"/>
  <c r="BR12" i="2"/>
  <c r="BR49" i="3"/>
  <c r="BR11" i="3" s="1"/>
  <c r="BS65" i="17"/>
  <c r="BS8" i="2"/>
  <c r="CO8" i="2" s="1"/>
  <c r="BS64" i="17"/>
  <c r="BS76" i="17"/>
  <c r="BT45" i="17"/>
  <c r="BU43" i="17"/>
  <c r="BN38" i="2"/>
  <c r="BN63" i="2"/>
  <c r="BO63" i="4"/>
  <c r="BO16" i="3" s="1"/>
  <c r="BO50" i="2"/>
  <c r="BO51" i="2" s="1"/>
  <c r="BO43" i="2"/>
  <c r="BP42" i="2"/>
  <c r="BO48" i="2"/>
  <c r="BO49" i="2" s="1"/>
  <c r="BO50" i="17"/>
  <c r="BO49" i="17"/>
  <c r="BO81" i="17"/>
  <c r="CN48" i="17"/>
  <c r="BS39" i="17"/>
  <c r="BS40" i="17"/>
  <c r="CO38" i="17"/>
  <c r="BN148" i="2"/>
  <c r="CN148" i="2" s="1"/>
  <c r="CN144" i="2"/>
  <c r="CN31" i="2"/>
  <c r="BW77" i="17"/>
  <c r="M54" i="4"/>
  <c r="N48" i="4"/>
  <c r="N51" i="4" s="1"/>
  <c r="CM8" i="4"/>
  <c r="DD105" i="2"/>
  <c r="DD118" i="2"/>
  <c r="CM63" i="3"/>
  <c r="BY296" i="3"/>
  <c r="BL63" i="3"/>
  <c r="CM105" i="2"/>
  <c r="CM118" i="2"/>
  <c r="CM114" i="2"/>
  <c r="DD117" i="2"/>
  <c r="DD103" i="2"/>
  <c r="BU3" i="17" l="1"/>
  <c r="BU4" i="17" s="1"/>
  <c r="BM143" i="2"/>
  <c r="BM142" i="2" s="1"/>
  <c r="BM69" i="2"/>
  <c r="BT56" i="17"/>
  <c r="BN68" i="2"/>
  <c r="BN143" i="2" s="1"/>
  <c r="CN39" i="2"/>
  <c r="CN62" i="2"/>
  <c r="CN137" i="2"/>
  <c r="CN37" i="2"/>
  <c r="CN32" i="2"/>
  <c r="CO40" i="17"/>
  <c r="CO41" i="17"/>
  <c r="DE50" i="17"/>
  <c r="DE51" i="17"/>
  <c r="DE37" i="2"/>
  <c r="DE39" i="2"/>
  <c r="DE32" i="2"/>
  <c r="CO67" i="17"/>
  <c r="CO69" i="17" s="1"/>
  <c r="CO88" i="17"/>
  <c r="CO49" i="3"/>
  <c r="CO10" i="2"/>
  <c r="BR69" i="4"/>
  <c r="BR11" i="4" s="1"/>
  <c r="BR61" i="4"/>
  <c r="BR61" i="17"/>
  <c r="BQ58" i="17"/>
  <c r="BU55" i="17"/>
  <c r="BV53" i="17"/>
  <c r="BU63" i="17"/>
  <c r="BU46" i="17" s="1"/>
  <c r="DE61" i="17"/>
  <c r="DE60" i="17"/>
  <c r="DF63" i="17"/>
  <c r="DF35" i="17"/>
  <c r="BP78" i="17"/>
  <c r="BP72" i="4"/>
  <c r="BP73" i="4" s="1"/>
  <c r="BP144" i="2"/>
  <c r="DE11" i="4"/>
  <c r="DE72" i="4" s="1"/>
  <c r="DE70" i="4" s="1"/>
  <c r="CN51" i="17"/>
  <c r="CN50" i="17"/>
  <c r="CN81" i="17"/>
  <c r="BO65" i="4"/>
  <c r="BO66" i="4" s="1"/>
  <c r="CN16" i="3"/>
  <c r="CN65" i="4" s="1"/>
  <c r="CN66" i="4" s="1"/>
  <c r="BS10" i="2"/>
  <c r="BS57" i="4"/>
  <c r="BS30" i="4" s="1"/>
  <c r="BS12" i="2"/>
  <c r="BS67" i="17"/>
  <c r="BS69" i="17" s="1"/>
  <c r="BS49" i="3"/>
  <c r="BS11" i="3" s="1"/>
  <c r="CO11" i="3" s="1"/>
  <c r="BR22" i="4"/>
  <c r="BR11" i="2"/>
  <c r="BR60" i="2"/>
  <c r="BP50" i="17"/>
  <c r="BP49" i="17"/>
  <c r="BP81" i="17"/>
  <c r="CO36" i="17"/>
  <c r="CO76" i="17"/>
  <c r="CO65" i="17"/>
  <c r="CO46" i="17"/>
  <c r="BO26" i="2"/>
  <c r="BO82" i="17"/>
  <c r="BO73" i="17"/>
  <c r="BO79" i="17" s="1"/>
  <c r="DE42" i="2"/>
  <c r="BP43" i="2"/>
  <c r="BP48" i="2"/>
  <c r="BP49" i="2" s="1"/>
  <c r="BQ42" i="2"/>
  <c r="BP50" i="2"/>
  <c r="BP51" i="2" s="1"/>
  <c r="BV43" i="17"/>
  <c r="BU45" i="17"/>
  <c r="BQ78" i="17"/>
  <c r="BQ72" i="4"/>
  <c r="BQ73" i="4" s="1"/>
  <c r="BQ144" i="2"/>
  <c r="BQ148" i="2" s="1"/>
  <c r="BP32" i="2"/>
  <c r="BP62" i="2"/>
  <c r="BP39" i="2"/>
  <c r="BP37" i="2"/>
  <c r="BQ31" i="2"/>
  <c r="BP137" i="2"/>
  <c r="BO64" i="2"/>
  <c r="BO40" i="2"/>
  <c r="BP63" i="4"/>
  <c r="BP16" i="3" s="1"/>
  <c r="DE62" i="4"/>
  <c r="DE63" i="4" s="1"/>
  <c r="BQ62" i="4"/>
  <c r="BN27" i="2"/>
  <c r="BN19" i="2"/>
  <c r="BM21" i="2"/>
  <c r="BM20" i="2"/>
  <c r="BU38" i="17"/>
  <c r="BV33" i="17"/>
  <c r="BV3" i="17" s="1"/>
  <c r="BU35" i="17"/>
  <c r="BR51" i="17"/>
  <c r="BQ48" i="17"/>
  <c r="BR34" i="4"/>
  <c r="BO63" i="2"/>
  <c r="BO38" i="2"/>
  <c r="BP60" i="17"/>
  <c r="BP59" i="17"/>
  <c r="BT46" i="17"/>
  <c r="BT64" i="17"/>
  <c r="BT65" i="17"/>
  <c r="BT8" i="2"/>
  <c r="DF8" i="2" s="1"/>
  <c r="BT76" i="17"/>
  <c r="CN60" i="17"/>
  <c r="CN61" i="17"/>
  <c r="DF38" i="17"/>
  <c r="BT40" i="17"/>
  <c r="BT39" i="17"/>
  <c r="BM84" i="2"/>
  <c r="BM93" i="2"/>
  <c r="BM88" i="2" s="1"/>
  <c r="N54" i="4"/>
  <c r="O48" i="4"/>
  <c r="O51" i="4" s="1"/>
  <c r="CM33" i="3"/>
  <c r="DD63" i="3"/>
  <c r="DD66" i="3" s="1"/>
  <c r="BL296" i="3"/>
  <c r="BL66" i="3"/>
  <c r="BZ296" i="3"/>
  <c r="CM296" i="3"/>
  <c r="CM66" i="3"/>
  <c r="DD8" i="4"/>
  <c r="BU5" i="17" l="1"/>
  <c r="BV4" i="17"/>
  <c r="BV5" i="17"/>
  <c r="BN83" i="2"/>
  <c r="BN84" i="2" s="1"/>
  <c r="BO68" i="2"/>
  <c r="BO143" i="2" s="1"/>
  <c r="BO142" i="2" s="1"/>
  <c r="BN69" i="2"/>
  <c r="CO41" i="3"/>
  <c r="BM102" i="2"/>
  <c r="BM103" i="2" s="1"/>
  <c r="BU36" i="17"/>
  <c r="DE73" i="4"/>
  <c r="DF49" i="3"/>
  <c r="DF10" i="2"/>
  <c r="DF67" i="17"/>
  <c r="DF69" i="17" s="1"/>
  <c r="BQ50" i="17"/>
  <c r="BQ49" i="17"/>
  <c r="BQ81" i="17"/>
  <c r="BV35" i="17"/>
  <c r="BW33" i="17"/>
  <c r="BV38" i="17"/>
  <c r="BN20" i="2"/>
  <c r="BN21" i="2"/>
  <c r="DE16" i="3"/>
  <c r="DE65" i="4" s="1"/>
  <c r="DE66" i="4" s="1"/>
  <c r="BP65" i="4"/>
  <c r="BP66" i="4" s="1"/>
  <c r="BR31" i="2"/>
  <c r="BQ32" i="2"/>
  <c r="BQ39" i="2"/>
  <c r="BQ37" i="2"/>
  <c r="BQ137" i="2"/>
  <c r="BQ62" i="2"/>
  <c r="BS11" i="2"/>
  <c r="BS60" i="2"/>
  <c r="BP148" i="2"/>
  <c r="DE144" i="2"/>
  <c r="BU56" i="17"/>
  <c r="BU65" i="17"/>
  <c r="BU8" i="2"/>
  <c r="BU64" i="17"/>
  <c r="BU76" i="17"/>
  <c r="BS61" i="17"/>
  <c r="BR58" i="17"/>
  <c r="DE40" i="2"/>
  <c r="CN38" i="2"/>
  <c r="CN63" i="2"/>
  <c r="BM95" i="2"/>
  <c r="BS51" i="17"/>
  <c r="BR48" i="17"/>
  <c r="BU39" i="17"/>
  <c r="BU40" i="17"/>
  <c r="BP63" i="2"/>
  <c r="BP38" i="2"/>
  <c r="BN142" i="2"/>
  <c r="BO19" i="2"/>
  <c r="BO27" i="2"/>
  <c r="BS22" i="4"/>
  <c r="CO22" i="4" s="1"/>
  <c r="DF65" i="17"/>
  <c r="DF56" i="17"/>
  <c r="DF46" i="17"/>
  <c r="BW53" i="17"/>
  <c r="BV55" i="17"/>
  <c r="BV63" i="17"/>
  <c r="BV36" i="17" s="1"/>
  <c r="BS61" i="4"/>
  <c r="BS69" i="4"/>
  <c r="BS11" i="4" s="1"/>
  <c r="CO11" i="4" s="1"/>
  <c r="DE38" i="2"/>
  <c r="BQ63" i="4"/>
  <c r="BQ16" i="3" s="1"/>
  <c r="BQ65" i="4" s="1"/>
  <c r="BQ66" i="4" s="1"/>
  <c r="BR62" i="4"/>
  <c r="BP64" i="2"/>
  <c r="BP40" i="2"/>
  <c r="BW43" i="17"/>
  <c r="CP43" i="17" s="1"/>
  <c r="BV45" i="17"/>
  <c r="DE48" i="2"/>
  <c r="DE49" i="2" s="1"/>
  <c r="DE50" i="2"/>
  <c r="DE43" i="2"/>
  <c r="BP26" i="2"/>
  <c r="BP82" i="17"/>
  <c r="BP73" i="17"/>
  <c r="BP79" i="17" s="1"/>
  <c r="BR72" i="4"/>
  <c r="BR73" i="4" s="1"/>
  <c r="BR144" i="2"/>
  <c r="BR148" i="2" s="1"/>
  <c r="BR78" i="17"/>
  <c r="DE137" i="2"/>
  <c r="DF41" i="17"/>
  <c r="DF40" i="17"/>
  <c r="BT67" i="17"/>
  <c r="BT69" i="17" s="1"/>
  <c r="BT57" i="4"/>
  <c r="BT30" i="4" s="1"/>
  <c r="BT12" i="2"/>
  <c r="BT49" i="3"/>
  <c r="BT11" i="3" s="1"/>
  <c r="BT10" i="2"/>
  <c r="BM14" i="2"/>
  <c r="BM22" i="2"/>
  <c r="BM28" i="2"/>
  <c r="BQ48" i="2"/>
  <c r="BQ49" i="2" s="1"/>
  <c r="BQ50" i="2"/>
  <c r="BQ51" i="2" s="1"/>
  <c r="BQ43" i="2"/>
  <c r="BR42" i="2"/>
  <c r="BS34" i="4"/>
  <c r="CO30" i="4"/>
  <c r="CN82" i="17"/>
  <c r="CN73" i="17"/>
  <c r="CN79" i="17" s="1"/>
  <c r="DF36" i="17"/>
  <c r="BQ60" i="17"/>
  <c r="BQ59" i="17"/>
  <c r="CO12" i="2"/>
  <c r="CO60" i="2"/>
  <c r="DE62" i="2"/>
  <c r="CN40" i="2"/>
  <c r="CN64" i="2"/>
  <c r="O54" i="4"/>
  <c r="P48" i="4"/>
  <c r="DD33" i="3"/>
  <c r="BL74" i="3"/>
  <c r="BL75" i="3"/>
  <c r="BL76" i="3" s="1"/>
  <c r="BL68" i="3"/>
  <c r="BL69" i="3" s="1"/>
  <c r="CM75" i="3"/>
  <c r="CM76" i="3" s="1"/>
  <c r="CM68" i="3"/>
  <c r="CM69" i="3" s="1"/>
  <c r="CM74" i="3"/>
  <c r="CM8" i="3"/>
  <c r="BW3" i="17" l="1"/>
  <c r="BW4" i="17" s="1"/>
  <c r="BN93" i="2"/>
  <c r="BN88" i="2" s="1"/>
  <c r="BN95" i="2" s="1"/>
  <c r="BO83" i="2"/>
  <c r="BO84" i="2" s="1"/>
  <c r="BO69" i="2"/>
  <c r="BM117" i="2"/>
  <c r="BV46" i="17"/>
  <c r="BT22" i="4"/>
  <c r="DF22" i="4" s="1"/>
  <c r="DF11" i="3"/>
  <c r="DF41" i="3" s="1"/>
  <c r="CN143" i="2"/>
  <c r="CN142" i="2" s="1"/>
  <c r="CP45" i="17"/>
  <c r="BS72" i="4"/>
  <c r="BS73" i="4" s="1"/>
  <c r="BS144" i="2"/>
  <c r="BS78" i="17"/>
  <c r="BT51" i="17"/>
  <c r="BS48" i="17"/>
  <c r="BR60" i="17"/>
  <c r="BR59" i="17"/>
  <c r="BU10" i="2"/>
  <c r="BU49" i="3"/>
  <c r="BU11" i="3" s="1"/>
  <c r="BU57" i="4"/>
  <c r="BU30" i="4" s="1"/>
  <c r="BU34" i="4" s="1"/>
  <c r="BU12" i="2"/>
  <c r="BU67" i="17"/>
  <c r="BU69" i="17" s="1"/>
  <c r="BN22" i="2"/>
  <c r="BN14" i="2"/>
  <c r="BN28" i="2"/>
  <c r="BW63" i="17"/>
  <c r="BW56" i="17" s="1"/>
  <c r="BW38" i="17"/>
  <c r="BW35" i="17"/>
  <c r="CP33" i="17"/>
  <c r="BM15" i="2"/>
  <c r="BM138" i="2"/>
  <c r="BM24" i="2"/>
  <c r="BM50" i="3"/>
  <c r="DE63" i="2"/>
  <c r="BT69" i="4"/>
  <c r="BT61" i="4"/>
  <c r="CO61" i="4"/>
  <c r="CP53" i="17"/>
  <c r="BW55" i="17"/>
  <c r="BT61" i="17"/>
  <c r="BS58" i="17"/>
  <c r="DE148" i="2"/>
  <c r="BR62" i="2"/>
  <c r="BS31" i="2"/>
  <c r="CO31" i="2" s="1"/>
  <c r="BR32" i="2"/>
  <c r="BR137" i="2"/>
  <c r="BR39" i="2"/>
  <c r="BR37" i="2"/>
  <c r="DF12" i="2"/>
  <c r="DF60" i="2"/>
  <c r="CO57" i="4"/>
  <c r="CO58" i="4" s="1"/>
  <c r="CO34" i="4"/>
  <c r="BR48" i="2"/>
  <c r="BR49" i="2" s="1"/>
  <c r="BS42" i="2"/>
  <c r="BR50" i="2"/>
  <c r="BR51" i="2" s="1"/>
  <c r="BR43" i="2"/>
  <c r="BT34" i="4"/>
  <c r="DF30" i="4"/>
  <c r="DE51" i="2"/>
  <c r="BV56" i="17"/>
  <c r="BQ63" i="2"/>
  <c r="BQ38" i="2"/>
  <c r="BQ26" i="2"/>
  <c r="BQ82" i="17"/>
  <c r="BQ73" i="17"/>
  <c r="BQ79" i="17" s="1"/>
  <c r="BM29" i="2"/>
  <c r="BM70" i="2"/>
  <c r="BT60" i="2"/>
  <c r="BT11" i="2"/>
  <c r="BP27" i="2"/>
  <c r="BP19" i="2"/>
  <c r="BW45" i="17"/>
  <c r="BS62" i="4"/>
  <c r="BS63" i="4" s="1"/>
  <c r="BS16" i="3" s="1"/>
  <c r="BR63" i="4"/>
  <c r="BR16" i="3" s="1"/>
  <c r="BR65" i="4" s="1"/>
  <c r="BR66" i="4" s="1"/>
  <c r="BV8" i="2"/>
  <c r="BV65" i="17"/>
  <c r="BV64" i="17"/>
  <c r="BV76" i="17"/>
  <c r="BO20" i="2"/>
  <c r="BO21" i="2"/>
  <c r="BP68" i="2"/>
  <c r="BR49" i="17"/>
  <c r="BR50" i="17"/>
  <c r="BR81" i="17"/>
  <c r="DE64" i="2"/>
  <c r="BQ40" i="2"/>
  <c r="BQ64" i="2"/>
  <c r="BV40" i="17"/>
  <c r="BV39" i="17"/>
  <c r="P51" i="4"/>
  <c r="CB48" i="4"/>
  <c r="CB51" i="4" s="1"/>
  <c r="CB54" i="4" s="1"/>
  <c r="CM77" i="3"/>
  <c r="CM53" i="4"/>
  <c r="CM14" i="3"/>
  <c r="DD74" i="3"/>
  <c r="DD68" i="3"/>
  <c r="DD69" i="3" s="1"/>
  <c r="DD75" i="3"/>
  <c r="DD76" i="3" s="1"/>
  <c r="BW5" i="17" l="1"/>
  <c r="BN102" i="2"/>
  <c r="BN103" i="2" s="1"/>
  <c r="BO93" i="2"/>
  <c r="BO88" i="2" s="1"/>
  <c r="BO95" i="2" s="1"/>
  <c r="BW46" i="17"/>
  <c r="BS65" i="4"/>
  <c r="BS66" i="4" s="1"/>
  <c r="CO16" i="3"/>
  <c r="CO65" i="4" s="1"/>
  <c r="CO37" i="2"/>
  <c r="CO39" i="2"/>
  <c r="CO32" i="2"/>
  <c r="BV49" i="3"/>
  <c r="BV11" i="3" s="1"/>
  <c r="BV22" i="4" s="1"/>
  <c r="BV10" i="2"/>
  <c r="BV57" i="4"/>
  <c r="BV30" i="4" s="1"/>
  <c r="BV12" i="2"/>
  <c r="BV67" i="17"/>
  <c r="BV69" i="17" s="1"/>
  <c r="BQ27" i="2"/>
  <c r="BQ19" i="2"/>
  <c r="DF57" i="4"/>
  <c r="DF58" i="4" s="1"/>
  <c r="DF34" i="4"/>
  <c r="BR38" i="2"/>
  <c r="BR63" i="2"/>
  <c r="BS62" i="2"/>
  <c r="BS39" i="2"/>
  <c r="BS37" i="2"/>
  <c r="BT31" i="2"/>
  <c r="DF31" i="2" s="1"/>
  <c r="BS137" i="2"/>
  <c r="BS32" i="2"/>
  <c r="BU61" i="17"/>
  <c r="BT58" i="17"/>
  <c r="DF58" i="17" s="1"/>
  <c r="CP55" i="17"/>
  <c r="CP63" i="17"/>
  <c r="CP36" i="17" s="1"/>
  <c r="DF69" i="4"/>
  <c r="BT11" i="4"/>
  <c r="CP38" i="17"/>
  <c r="BW39" i="17"/>
  <c r="BW40" i="17"/>
  <c r="BS148" i="2"/>
  <c r="BP69" i="2"/>
  <c r="BP143" i="2"/>
  <c r="BP83" i="2"/>
  <c r="BP20" i="2"/>
  <c r="BP21" i="2"/>
  <c r="BT42" i="2"/>
  <c r="DF42" i="2" s="1"/>
  <c r="BS48" i="2"/>
  <c r="BS49" i="2" s="1"/>
  <c r="BS50" i="2"/>
  <c r="BS51" i="2" s="1"/>
  <c r="BS43" i="2"/>
  <c r="CO42" i="2"/>
  <c r="BR40" i="2"/>
  <c r="BR64" i="2"/>
  <c r="BM12" i="3"/>
  <c r="BM25" i="3"/>
  <c r="BM25" i="4" s="1"/>
  <c r="CP35" i="17"/>
  <c r="BW8" i="2"/>
  <c r="BW65" i="17"/>
  <c r="BW64" i="17"/>
  <c r="BW76" i="17"/>
  <c r="BU22" i="4"/>
  <c r="BR26" i="2"/>
  <c r="BR82" i="17"/>
  <c r="BR73" i="17"/>
  <c r="BR79" i="17" s="1"/>
  <c r="BO14" i="2"/>
  <c r="BO22" i="2"/>
  <c r="BO28" i="2"/>
  <c r="CO62" i="4"/>
  <c r="CO63" i="4" s="1"/>
  <c r="BT62" i="4"/>
  <c r="BT63" i="4" s="1"/>
  <c r="BT16" i="3" s="1"/>
  <c r="BM147" i="2"/>
  <c r="BM71" i="2"/>
  <c r="BM85" i="2"/>
  <c r="BQ68" i="2"/>
  <c r="BM25" i="2"/>
  <c r="BM66" i="2"/>
  <c r="BM84" i="17"/>
  <c r="BW36" i="17"/>
  <c r="BN29" i="2"/>
  <c r="BN70" i="2"/>
  <c r="BU60" i="2"/>
  <c r="BU11" i="2"/>
  <c r="BS50" i="17"/>
  <c r="BS49" i="17"/>
  <c r="BS81" i="17"/>
  <c r="CO48" i="17"/>
  <c r="CO78" i="17"/>
  <c r="CO72" i="4"/>
  <c r="CO70" i="4" s="1"/>
  <c r="CO69" i="4" s="1"/>
  <c r="CO73" i="4" s="1"/>
  <c r="BS60" i="17"/>
  <c r="BS59" i="17"/>
  <c r="BU69" i="4"/>
  <c r="BU11" i="4" s="1"/>
  <c r="BU61" i="4"/>
  <c r="DF61" i="4"/>
  <c r="BN50" i="3"/>
  <c r="BN15" i="2"/>
  <c r="BN138" i="2"/>
  <c r="BN24" i="2"/>
  <c r="CO144" i="2"/>
  <c r="CO58" i="17"/>
  <c r="BU51" i="17"/>
  <c r="BT48" i="17"/>
  <c r="P54" i="4"/>
  <c r="CS48" i="4"/>
  <c r="CS51" i="4" s="1"/>
  <c r="CS54" i="4" s="1"/>
  <c r="Q48" i="4"/>
  <c r="Q51" i="4" s="1"/>
  <c r="CM21" i="3"/>
  <c r="CM78" i="3"/>
  <c r="CM81" i="3"/>
  <c r="CM82" i="3" s="1"/>
  <c r="CM85" i="3"/>
  <c r="CN88" i="2" l="1"/>
  <c r="CN93" i="2" s="1"/>
  <c r="BN117" i="2"/>
  <c r="BO102" i="2"/>
  <c r="BO117" i="2" s="1"/>
  <c r="BV51" i="17"/>
  <c r="BU48" i="17"/>
  <c r="CO50" i="17"/>
  <c r="CO51" i="17"/>
  <c r="CO81" i="17"/>
  <c r="BM86" i="2"/>
  <c r="BM104" i="2"/>
  <c r="BM96" i="2"/>
  <c r="CO48" i="2"/>
  <c r="CO49" i="2" s="1"/>
  <c r="CO50" i="2"/>
  <c r="CO51" i="2" s="1"/>
  <c r="CO43" i="2"/>
  <c r="BT43" i="2"/>
  <c r="BU42" i="2"/>
  <c r="BT50" i="2"/>
  <c r="BT51" i="2" s="1"/>
  <c r="BT48" i="2"/>
  <c r="BT49" i="2" s="1"/>
  <c r="BP93" i="2"/>
  <c r="BP88" i="2" s="1"/>
  <c r="BP84" i="2"/>
  <c r="CO148" i="2"/>
  <c r="CP40" i="17"/>
  <c r="CP41" i="17"/>
  <c r="CP65" i="17"/>
  <c r="CP76" i="17"/>
  <c r="CP46" i="17"/>
  <c r="BS38" i="2"/>
  <c r="BS63" i="2"/>
  <c r="CO137" i="2"/>
  <c r="CO61" i="17"/>
  <c r="CO60" i="17"/>
  <c r="BV69" i="4"/>
  <c r="BV11" i="4" s="1"/>
  <c r="BV61" i="4"/>
  <c r="BS26" i="2"/>
  <c r="BS82" i="17"/>
  <c r="BS73" i="17"/>
  <c r="BS79" i="17" s="1"/>
  <c r="BO29" i="2"/>
  <c r="BO70" i="2"/>
  <c r="BW67" i="17"/>
  <c r="BW69" i="17" s="1"/>
  <c r="BW57" i="4"/>
  <c r="BW30" i="4" s="1"/>
  <c r="BW34" i="4" s="1"/>
  <c r="BW49" i="3"/>
  <c r="BW11" i="3" s="1"/>
  <c r="CP11" i="3" s="1"/>
  <c r="BW10" i="2"/>
  <c r="BW12" i="2"/>
  <c r="BM23" i="4"/>
  <c r="BM51" i="3"/>
  <c r="BP142" i="2"/>
  <c r="DE143" i="2"/>
  <c r="DE142" i="2" s="1"/>
  <c r="BT78" i="17"/>
  <c r="BT72" i="4"/>
  <c r="BT73" i="4" s="1"/>
  <c r="BT144" i="2"/>
  <c r="DF11" i="4"/>
  <c r="DF72" i="4" s="1"/>
  <c r="DF70" i="4" s="1"/>
  <c r="BS40" i="2"/>
  <c r="BS64" i="2"/>
  <c r="CP8" i="2"/>
  <c r="CO62" i="2"/>
  <c r="BN25" i="3"/>
  <c r="BN25" i="4" s="1"/>
  <c r="BN12" i="3"/>
  <c r="BU78" i="17"/>
  <c r="BU144" i="2"/>
  <c r="BU148" i="2" s="1"/>
  <c r="BU72" i="4"/>
  <c r="BU73" i="4" s="1"/>
  <c r="DF39" i="2"/>
  <c r="DF137" i="2"/>
  <c r="DF37" i="2"/>
  <c r="DF62" i="2"/>
  <c r="DF32" i="2"/>
  <c r="BN147" i="2"/>
  <c r="BN146" i="2" s="1"/>
  <c r="BN71" i="2"/>
  <c r="BN85" i="2"/>
  <c r="BM67" i="2"/>
  <c r="BM85" i="17"/>
  <c r="BM81" i="2"/>
  <c r="DF43" i="2"/>
  <c r="DF50" i="2"/>
  <c r="DF48" i="2"/>
  <c r="DF49" i="2" s="1"/>
  <c r="BM146" i="2"/>
  <c r="BR19" i="2"/>
  <c r="BR27" i="2"/>
  <c r="BP28" i="2"/>
  <c r="BP22" i="2"/>
  <c r="BP14" i="2"/>
  <c r="DE14" i="2" s="1"/>
  <c r="BT59" i="17"/>
  <c r="BT60" i="17"/>
  <c r="BV34" i="4"/>
  <c r="CO40" i="2"/>
  <c r="CO66" i="4"/>
  <c r="BT50" i="17"/>
  <c r="BT49" i="17"/>
  <c r="BT81" i="17"/>
  <c r="DF48" i="17"/>
  <c r="BN25" i="2"/>
  <c r="BN66" i="2"/>
  <c r="BN84" i="17"/>
  <c r="DF16" i="3"/>
  <c r="DF65" i="4" s="1"/>
  <c r="BT65" i="4"/>
  <c r="BT66" i="4" s="1"/>
  <c r="DF60" i="17"/>
  <c r="DF61" i="17"/>
  <c r="BQ69" i="2"/>
  <c r="BQ143" i="2"/>
  <c r="BQ83" i="2"/>
  <c r="DF62" i="4"/>
  <c r="DF63" i="4" s="1"/>
  <c r="BU62" i="4"/>
  <c r="BO15" i="2"/>
  <c r="BO138" i="2"/>
  <c r="BO24" i="2"/>
  <c r="BO50" i="3"/>
  <c r="CN14" i="2"/>
  <c r="CP56" i="17"/>
  <c r="BV61" i="17"/>
  <c r="BU58" i="17"/>
  <c r="BT39" i="2"/>
  <c r="BT62" i="2"/>
  <c r="BU31" i="2"/>
  <c r="BT137" i="2"/>
  <c r="BT32" i="2"/>
  <c r="BT37" i="2"/>
  <c r="BR68" i="2"/>
  <c r="BQ20" i="2"/>
  <c r="BQ21" i="2"/>
  <c r="BV11" i="2"/>
  <c r="BV60" i="2"/>
  <c r="CO38" i="2"/>
  <c r="R48" i="4"/>
  <c r="R51" i="4" s="1"/>
  <c r="Q54" i="4"/>
  <c r="CN95" i="2" l="1"/>
  <c r="CP30" i="4"/>
  <c r="CP34" i="4" s="1"/>
  <c r="CO63" i="2"/>
  <c r="BO103" i="2"/>
  <c r="DF73" i="4"/>
  <c r="CO64" i="2"/>
  <c r="BS68" i="2"/>
  <c r="BS69" i="2" s="1"/>
  <c r="BQ22" i="2"/>
  <c r="BQ28" i="2"/>
  <c r="BQ14" i="2"/>
  <c r="BT40" i="2"/>
  <c r="BT64" i="2"/>
  <c r="CN50" i="3"/>
  <c r="CN138" i="2"/>
  <c r="CN24" i="2"/>
  <c r="CN15" i="2"/>
  <c r="CN21" i="2"/>
  <c r="CN19" i="2"/>
  <c r="BQ93" i="2"/>
  <c r="BQ88" i="2" s="1"/>
  <c r="BQ84" i="2"/>
  <c r="BP29" i="2"/>
  <c r="BP70" i="2"/>
  <c r="DF51" i="2"/>
  <c r="DF40" i="2"/>
  <c r="DF64" i="2"/>
  <c r="BN51" i="3"/>
  <c r="BT148" i="2"/>
  <c r="DF144" i="2"/>
  <c r="BV72" i="4"/>
  <c r="BV73" i="4" s="1"/>
  <c r="BV78" i="17"/>
  <c r="BV144" i="2"/>
  <c r="BV148" i="2" s="1"/>
  <c r="BW22" i="4"/>
  <c r="CP22" i="4" s="1"/>
  <c r="BU48" i="2"/>
  <c r="BU49" i="2" s="1"/>
  <c r="BU43" i="2"/>
  <c r="BU50" i="2"/>
  <c r="BU51" i="2" s="1"/>
  <c r="BV42" i="2"/>
  <c r="CO82" i="17"/>
  <c r="CO73" i="17"/>
  <c r="CO79" i="17" s="1"/>
  <c r="BU60" i="17"/>
  <c r="BU59" i="17"/>
  <c r="DE19" i="2"/>
  <c r="DE24" i="2"/>
  <c r="DE15" i="2"/>
  <c r="DE21" i="2"/>
  <c r="DE50" i="3"/>
  <c r="DE138" i="2"/>
  <c r="BQ142" i="2"/>
  <c r="DF66" i="4"/>
  <c r="DF50" i="17"/>
  <c r="DF51" i="17"/>
  <c r="BN86" i="2"/>
  <c r="BN104" i="2"/>
  <c r="BN96" i="2"/>
  <c r="BM13" i="3"/>
  <c r="BM20" i="3"/>
  <c r="DE88" i="2"/>
  <c r="BP95" i="2"/>
  <c r="BR69" i="2"/>
  <c r="BR143" i="2"/>
  <c r="BR142" i="2" s="1"/>
  <c r="BR83" i="2"/>
  <c r="BU37" i="2"/>
  <c r="BV31" i="2"/>
  <c r="BU62" i="2"/>
  <c r="BU32" i="2"/>
  <c r="BU39" i="2"/>
  <c r="BU137" i="2"/>
  <c r="BW61" i="17"/>
  <c r="BW58" i="17" s="1"/>
  <c r="BV58" i="17"/>
  <c r="BO25" i="3"/>
  <c r="BO12" i="3"/>
  <c r="BU63" i="4"/>
  <c r="BU16" i="3" s="1"/>
  <c r="BU65" i="4" s="1"/>
  <c r="BU66" i="4" s="1"/>
  <c r="BV62" i="4"/>
  <c r="BV63" i="4" s="1"/>
  <c r="BV16" i="3" s="1"/>
  <c r="BV65" i="4" s="1"/>
  <c r="BV66" i="4" s="1"/>
  <c r="BT73" i="17"/>
  <c r="BT79" i="17" s="1"/>
  <c r="BT26" i="2"/>
  <c r="BT82" i="17"/>
  <c r="BP15" i="2"/>
  <c r="BP138" i="2"/>
  <c r="BP50" i="3"/>
  <c r="BP24" i="2"/>
  <c r="BM82" i="2"/>
  <c r="BM98" i="2"/>
  <c r="BM89" i="2"/>
  <c r="DF38" i="2"/>
  <c r="DF63" i="2"/>
  <c r="BS27" i="2"/>
  <c r="BS19" i="2"/>
  <c r="BM118" i="2"/>
  <c r="BM105" i="2"/>
  <c r="BU50" i="17"/>
  <c r="BU49" i="17"/>
  <c r="BU81" i="17"/>
  <c r="BT38" i="2"/>
  <c r="BT63" i="2"/>
  <c r="BO66" i="2"/>
  <c r="BO84" i="17"/>
  <c r="BO25" i="2"/>
  <c r="BN81" i="2"/>
  <c r="BN85" i="17"/>
  <c r="BN67" i="2"/>
  <c r="BR21" i="2"/>
  <c r="BR20" i="2"/>
  <c r="CP49" i="3"/>
  <c r="CP41" i="3" s="1"/>
  <c r="CP67" i="17"/>
  <c r="CP69" i="17" s="1"/>
  <c r="CP88" i="17"/>
  <c r="CP10" i="2"/>
  <c r="BN23" i="4"/>
  <c r="BW60" i="2"/>
  <c r="BW11" i="2"/>
  <c r="BO71" i="2"/>
  <c r="BO85" i="2"/>
  <c r="BO147" i="2"/>
  <c r="BW61" i="4"/>
  <c r="BW69" i="4"/>
  <c r="BW11" i="4" s="1"/>
  <c r="BP102" i="2"/>
  <c r="BW51" i="17"/>
  <c r="BW48" i="17" s="1"/>
  <c r="BV48" i="17"/>
  <c r="S48" i="4"/>
  <c r="S51" i="4" s="1"/>
  <c r="R54" i="4"/>
  <c r="CP57" i="4" l="1"/>
  <c r="CP58" i="4" s="1"/>
  <c r="BS83" i="2"/>
  <c r="BS84" i="2" s="1"/>
  <c r="BT68" i="2"/>
  <c r="BT83" i="2" s="1"/>
  <c r="BS143" i="2"/>
  <c r="BS142" i="2" s="1"/>
  <c r="BQ102" i="2"/>
  <c r="BQ103" i="2" s="1"/>
  <c r="CP61" i="4"/>
  <c r="BO86" i="2"/>
  <c r="BO104" i="2"/>
  <c r="BO96" i="2"/>
  <c r="BR22" i="2"/>
  <c r="BR14" i="2"/>
  <c r="BR28" i="2"/>
  <c r="BP25" i="2"/>
  <c r="BP66" i="2"/>
  <c r="BP84" i="17"/>
  <c r="CP58" i="17"/>
  <c r="BW59" i="17"/>
  <c r="BW60" i="17"/>
  <c r="BR93" i="2"/>
  <c r="BR88" i="2" s="1"/>
  <c r="BR84" i="2"/>
  <c r="DE20" i="2"/>
  <c r="DE26" i="2"/>
  <c r="BN20" i="3"/>
  <c r="BN13" i="3"/>
  <c r="CN22" i="2"/>
  <c r="CN28" i="2"/>
  <c r="BQ29" i="2"/>
  <c r="BQ70" i="2"/>
  <c r="BP117" i="2"/>
  <c r="BP103" i="2"/>
  <c r="BU73" i="17"/>
  <c r="BU79" i="17" s="1"/>
  <c r="BU26" i="2"/>
  <c r="BU82" i="17"/>
  <c r="BM99" i="2"/>
  <c r="BM113" i="2"/>
  <c r="BM116" i="2"/>
  <c r="BP12" i="3"/>
  <c r="BP25" i="3"/>
  <c r="BT19" i="2"/>
  <c r="BT27" i="2"/>
  <c r="CN12" i="3"/>
  <c r="BO51" i="3"/>
  <c r="BN118" i="2"/>
  <c r="BN105" i="2"/>
  <c r="DE28" i="2"/>
  <c r="DE22" i="2"/>
  <c r="DF148" i="2"/>
  <c r="BV50" i="17"/>
  <c r="BV49" i="17"/>
  <c r="BV81" i="17"/>
  <c r="CP48" i="17"/>
  <c r="CP12" i="2"/>
  <c r="CP60" i="2"/>
  <c r="BO81" i="2"/>
  <c r="BO85" i="17"/>
  <c r="BO67" i="2"/>
  <c r="BS21" i="2"/>
  <c r="BS20" i="2"/>
  <c r="CN25" i="3"/>
  <c r="CN44" i="3" s="1"/>
  <c r="BO25" i="4"/>
  <c r="CN25" i="4" s="1"/>
  <c r="BV32" i="2"/>
  <c r="BW31" i="2"/>
  <c r="BV137" i="2"/>
  <c r="BV37" i="2"/>
  <c r="BV39" i="2"/>
  <c r="BV62" i="2"/>
  <c r="DE93" i="2"/>
  <c r="DE95" i="2"/>
  <c r="BP71" i="2"/>
  <c r="BP85" i="2"/>
  <c r="BP147" i="2"/>
  <c r="DE147" i="2" s="1"/>
  <c r="DE146" i="2" s="1"/>
  <c r="BQ95" i="2"/>
  <c r="CN84" i="17"/>
  <c r="CN25" i="2"/>
  <c r="CN66" i="2"/>
  <c r="BW50" i="17"/>
  <c r="BW49" i="17"/>
  <c r="BW81" i="17"/>
  <c r="BW72" i="4"/>
  <c r="BW73" i="4" s="1"/>
  <c r="BW78" i="17"/>
  <c r="BW144" i="2"/>
  <c r="CP11" i="4"/>
  <c r="BO146" i="2"/>
  <c r="CN147" i="2"/>
  <c r="CN146" i="2" s="1"/>
  <c r="BN82" i="2"/>
  <c r="BN98" i="2"/>
  <c r="BN89" i="2"/>
  <c r="BW62" i="4"/>
  <c r="CP62" i="4" s="1"/>
  <c r="BV60" i="17"/>
  <c r="BV59" i="17"/>
  <c r="BU40" i="2"/>
  <c r="BU64" i="2"/>
  <c r="BU38" i="2"/>
  <c r="BU63" i="2"/>
  <c r="BM24" i="4"/>
  <c r="DE25" i="2"/>
  <c r="DE66" i="2"/>
  <c r="BV50" i="2"/>
  <c r="BV51" i="2" s="1"/>
  <c r="BV43" i="2"/>
  <c r="BW42" i="2"/>
  <c r="BV48" i="2"/>
  <c r="BV49" i="2" s="1"/>
  <c r="BO23" i="4"/>
  <c r="CN23" i="4" s="1"/>
  <c r="CN20" i="2"/>
  <c r="CN26" i="2"/>
  <c r="BQ50" i="3"/>
  <c r="BQ138" i="2"/>
  <c r="BQ24" i="2"/>
  <c r="BQ15" i="2"/>
  <c r="T48" i="4"/>
  <c r="S54" i="4"/>
  <c r="BS93" i="2" l="1"/>
  <c r="BS88" i="2" s="1"/>
  <c r="BS95" i="2" s="1"/>
  <c r="BT69" i="2"/>
  <c r="BT143" i="2"/>
  <c r="BT142" i="2" s="1"/>
  <c r="CO143" i="2"/>
  <c r="CO142" i="2" s="1"/>
  <c r="BQ117" i="2"/>
  <c r="BN24" i="4"/>
  <c r="CP63" i="4"/>
  <c r="BU68" i="2"/>
  <c r="BU143" i="2" s="1"/>
  <c r="BU142" i="2" s="1"/>
  <c r="CN27" i="2"/>
  <c r="CN68" i="2"/>
  <c r="CP42" i="2"/>
  <c r="BW50" i="2"/>
  <c r="BW51" i="2" s="1"/>
  <c r="BW48" i="2"/>
  <c r="BW49" i="2" s="1"/>
  <c r="BW43" i="2"/>
  <c r="CP144" i="2"/>
  <c r="BW148" i="2"/>
  <c r="CP148" i="2" s="1"/>
  <c r="BP146" i="2"/>
  <c r="BV38" i="2"/>
  <c r="BV63" i="2"/>
  <c r="CP51" i="17"/>
  <c r="CP50" i="17"/>
  <c r="CP81" i="17"/>
  <c r="BO13" i="3"/>
  <c r="BO20" i="3"/>
  <c r="CN20" i="3" s="1"/>
  <c r="DE25" i="3"/>
  <c r="DE44" i="3" s="1"/>
  <c r="BP25" i="4"/>
  <c r="CN70" i="2"/>
  <c r="CN29" i="2"/>
  <c r="DE27" i="2"/>
  <c r="DE68" i="2"/>
  <c r="CP60" i="17"/>
  <c r="CP61" i="17"/>
  <c r="BR29" i="2"/>
  <c r="BR70" i="2"/>
  <c r="BO105" i="2"/>
  <c r="BO118" i="2"/>
  <c r="BQ66" i="2"/>
  <c r="BQ84" i="17"/>
  <c r="BQ25" i="2"/>
  <c r="BP86" i="2"/>
  <c r="BP104" i="2"/>
  <c r="BV26" i="2"/>
  <c r="BV82" i="17"/>
  <c r="BV73" i="17"/>
  <c r="BV79" i="17" s="1"/>
  <c r="CN43" i="3"/>
  <c r="CN42" i="3" s="1"/>
  <c r="CN51" i="3"/>
  <c r="BP51" i="3"/>
  <c r="DE12" i="3"/>
  <c r="BR95" i="2"/>
  <c r="BR50" i="3"/>
  <c r="BR138" i="2"/>
  <c r="BR15" i="2"/>
  <c r="BR24" i="2"/>
  <c r="BT93" i="2"/>
  <c r="BT88" i="2" s="1"/>
  <c r="BT84" i="2"/>
  <c r="BN113" i="2"/>
  <c r="BN116" i="2"/>
  <c r="BN99" i="2"/>
  <c r="CN67" i="2"/>
  <c r="CN81" i="2"/>
  <c r="CN85" i="17"/>
  <c r="BW32" i="2"/>
  <c r="BW39" i="2"/>
  <c r="BW62" i="2"/>
  <c r="BW137" i="2"/>
  <c r="BW37" i="2"/>
  <c r="CP31" i="2"/>
  <c r="BO82" i="2"/>
  <c r="BO98" i="2"/>
  <c r="BO89" i="2"/>
  <c r="BU19" i="2"/>
  <c r="BU27" i="2"/>
  <c r="BQ71" i="2"/>
  <c r="BQ85" i="2"/>
  <c r="BQ147" i="2"/>
  <c r="BQ146" i="2" s="1"/>
  <c r="BP96" i="2"/>
  <c r="BP67" i="2"/>
  <c r="BP81" i="2"/>
  <c r="BP85" i="17"/>
  <c r="BW63" i="4"/>
  <c r="BW16" i="3" s="1"/>
  <c r="BQ25" i="3"/>
  <c r="BQ25" i="4" s="1"/>
  <c r="BQ12" i="3"/>
  <c r="BQ23" i="4" s="1"/>
  <c r="DE67" i="2"/>
  <c r="DE81" i="2"/>
  <c r="CP72" i="4"/>
  <c r="CP70" i="4" s="1"/>
  <c r="CP69" i="4" s="1"/>
  <c r="CP73" i="4" s="1"/>
  <c r="CP78" i="17"/>
  <c r="BW73" i="17"/>
  <c r="BW79" i="17" s="1"/>
  <c r="BW26" i="2"/>
  <c r="BW82" i="17"/>
  <c r="BV64" i="2"/>
  <c r="BV40" i="2"/>
  <c r="BS14" i="2"/>
  <c r="CO14" i="2" s="1"/>
  <c r="BS28" i="2"/>
  <c r="BS22" i="2"/>
  <c r="DE29" i="2"/>
  <c r="DE70" i="2"/>
  <c r="BP23" i="4"/>
  <c r="BT21" i="2"/>
  <c r="BT20" i="2"/>
  <c r="BM114" i="2"/>
  <c r="BM8" i="4"/>
  <c r="BM63" i="3"/>
  <c r="BR102" i="2"/>
  <c r="T51" i="4"/>
  <c r="CC48" i="4"/>
  <c r="CC51" i="4" s="1"/>
  <c r="CC54" i="4" s="1"/>
  <c r="BU83" i="2" l="1"/>
  <c r="BU84" i="2" s="1"/>
  <c r="BS102" i="2"/>
  <c r="BS117" i="2" s="1"/>
  <c r="CO88" i="2"/>
  <c r="CO93" i="2" s="1"/>
  <c r="BU69" i="2"/>
  <c r="DF143" i="2"/>
  <c r="DF142" i="2" s="1"/>
  <c r="BO24" i="4"/>
  <c r="CN24" i="4" s="1"/>
  <c r="BT102" i="2"/>
  <c r="BT117" i="2" s="1"/>
  <c r="CN47" i="3"/>
  <c r="CO24" i="2"/>
  <c r="CO138" i="2"/>
  <c r="CO15" i="2"/>
  <c r="CO50" i="3"/>
  <c r="CO19" i="2"/>
  <c r="CO21" i="2"/>
  <c r="DE23" i="4"/>
  <c r="BQ86" i="2"/>
  <c r="BQ104" i="2"/>
  <c r="CP32" i="2"/>
  <c r="CP39" i="2"/>
  <c r="CP62" i="2"/>
  <c r="CP37" i="2"/>
  <c r="CP137" i="2"/>
  <c r="BW40" i="2"/>
  <c r="BW64" i="2"/>
  <c r="CN82" i="2"/>
  <c r="CN98" i="2"/>
  <c r="CN89" i="2"/>
  <c r="BN8" i="4"/>
  <c r="BN114" i="2"/>
  <c r="BR25" i="3"/>
  <c r="BR25" i="4" s="1"/>
  <c r="BR12" i="3"/>
  <c r="BR23" i="4" s="1"/>
  <c r="BV27" i="2"/>
  <c r="BV19" i="2"/>
  <c r="BQ81" i="2"/>
  <c r="BQ85" i="17"/>
  <c r="BQ67" i="2"/>
  <c r="CP43" i="2"/>
  <c r="CP50" i="2"/>
  <c r="CP51" i="2" s="1"/>
  <c r="CP48" i="2"/>
  <c r="CP49" i="2" s="1"/>
  <c r="BS29" i="2"/>
  <c r="BS70" i="2"/>
  <c r="BW19" i="2"/>
  <c r="BW27" i="2"/>
  <c r="DE82" i="2"/>
  <c r="DE98" i="2"/>
  <c r="DE89" i="2"/>
  <c r="CP16" i="3"/>
  <c r="CP65" i="4" s="1"/>
  <c r="CP66" i="4" s="1"/>
  <c r="BW65" i="4"/>
  <c r="BW66" i="4" s="1"/>
  <c r="BW38" i="2"/>
  <c r="BW63" i="2"/>
  <c r="BW68" i="2" s="1"/>
  <c r="BR84" i="17"/>
  <c r="BR25" i="2"/>
  <c r="BR66" i="2"/>
  <c r="DE43" i="3"/>
  <c r="DE42" i="3" s="1"/>
  <c r="DE51" i="3"/>
  <c r="BV68" i="2"/>
  <c r="BR103" i="2"/>
  <c r="BR117" i="2"/>
  <c r="DE71" i="2"/>
  <c r="DE85" i="2"/>
  <c r="BS24" i="2"/>
  <c r="BS138" i="2"/>
  <c r="BS50" i="3"/>
  <c r="BS15" i="2"/>
  <c r="BO113" i="2"/>
  <c r="BO116" i="2"/>
  <c r="BO99" i="2"/>
  <c r="BQ96" i="2"/>
  <c r="BP20" i="3"/>
  <c r="DE20" i="3" s="1"/>
  <c r="BP13" i="3"/>
  <c r="BP105" i="2"/>
  <c r="BP118" i="2"/>
  <c r="CN71" i="2"/>
  <c r="CN85" i="2"/>
  <c r="CN13" i="3"/>
  <c r="CN46" i="3" s="1"/>
  <c r="CP73" i="17"/>
  <c r="CP79" i="17" s="1"/>
  <c r="CP82" i="17"/>
  <c r="CN69" i="2"/>
  <c r="CN83" i="2"/>
  <c r="CA296" i="3"/>
  <c r="BM66" i="3"/>
  <c r="BM33" i="3" s="1"/>
  <c r="BM296" i="3"/>
  <c r="BN63" i="3"/>
  <c r="BT22" i="2"/>
  <c r="BT14" i="2"/>
  <c r="DF14" i="2" s="1"/>
  <c r="BT28" i="2"/>
  <c r="BQ51" i="3"/>
  <c r="BP82" i="2"/>
  <c r="BP98" i="2"/>
  <c r="BP89" i="2"/>
  <c r="BU20" i="2"/>
  <c r="BU21" i="2"/>
  <c r="BT95" i="2"/>
  <c r="DF88" i="2"/>
  <c r="BR147" i="2"/>
  <c r="BR146" i="2" s="1"/>
  <c r="BR71" i="2"/>
  <c r="BR85" i="2"/>
  <c r="DE69" i="2"/>
  <c r="DE83" i="2"/>
  <c r="DE25" i="4"/>
  <c r="T54" i="4"/>
  <c r="CT48" i="4"/>
  <c r="CT51" i="4" s="1"/>
  <c r="CT54" i="4" s="1"/>
  <c r="U48" i="4"/>
  <c r="U51" i="4" s="1"/>
  <c r="BU93" i="2" l="1"/>
  <c r="BU88" i="2" s="1"/>
  <c r="BU95" i="2" s="1"/>
  <c r="BS103" i="2"/>
  <c r="CO95" i="2"/>
  <c r="BT103" i="2"/>
  <c r="DE47" i="3"/>
  <c r="BP24" i="4"/>
  <c r="DE24" i="4" s="1"/>
  <c r="DF15" i="2"/>
  <c r="DF24" i="2"/>
  <c r="DF138" i="2"/>
  <c r="DF19" i="2"/>
  <c r="DF50" i="3"/>
  <c r="DF21" i="2"/>
  <c r="DF93" i="2"/>
  <c r="DF95" i="2"/>
  <c r="BU14" i="2"/>
  <c r="BU22" i="2"/>
  <c r="BU28" i="2"/>
  <c r="BN66" i="3"/>
  <c r="BN33" i="3" s="1"/>
  <c r="BN296" i="3"/>
  <c r="BO63" i="3"/>
  <c r="CB296" i="3"/>
  <c r="CN84" i="2"/>
  <c r="CN102" i="2"/>
  <c r="CN94" i="2"/>
  <c r="BS66" i="2"/>
  <c r="BS25" i="2"/>
  <c r="BS84" i="17"/>
  <c r="BR67" i="2"/>
  <c r="BR81" i="2"/>
  <c r="BR98" i="2" s="1"/>
  <c r="BR85" i="17"/>
  <c r="DE113" i="2"/>
  <c r="DE114" i="2" s="1"/>
  <c r="DE116" i="2"/>
  <c r="DE99" i="2"/>
  <c r="BQ82" i="2"/>
  <c r="BQ98" i="2"/>
  <c r="BQ89" i="2"/>
  <c r="CN113" i="2"/>
  <c r="CN99" i="2"/>
  <c r="CN116" i="2"/>
  <c r="BR86" i="2"/>
  <c r="BR104" i="2"/>
  <c r="BQ20" i="3"/>
  <c r="BQ13" i="3"/>
  <c r="BT29" i="2"/>
  <c r="BT70" i="2"/>
  <c r="BR96" i="2"/>
  <c r="DE86" i="2"/>
  <c r="DE104" i="2"/>
  <c r="DE96" i="2"/>
  <c r="BV83" i="2"/>
  <c r="BV143" i="2"/>
  <c r="BV69" i="2"/>
  <c r="BV21" i="2"/>
  <c r="BV20" i="2"/>
  <c r="CP38" i="2"/>
  <c r="CP63" i="2"/>
  <c r="BQ118" i="2"/>
  <c r="BQ105" i="2"/>
  <c r="BT15" i="2"/>
  <c r="BT24" i="2"/>
  <c r="BT50" i="3"/>
  <c r="BT138" i="2"/>
  <c r="BM68" i="3"/>
  <c r="BM69" i="3" s="1"/>
  <c r="BM75" i="3"/>
  <c r="BM76" i="3" s="1"/>
  <c r="BM74" i="3"/>
  <c r="BS12" i="3"/>
  <c r="BS23" i="4" s="1"/>
  <c r="CO23" i="4" s="1"/>
  <c r="BS25" i="3"/>
  <c r="BS71" i="2"/>
  <c r="BS85" i="2"/>
  <c r="BS147" i="2"/>
  <c r="CO22" i="2"/>
  <c r="CO28" i="2"/>
  <c r="DE102" i="2"/>
  <c r="DE84" i="2"/>
  <c r="DE94" i="2"/>
  <c r="BP113" i="2"/>
  <c r="BP116" i="2"/>
  <c r="BP99" i="2"/>
  <c r="CN86" i="2"/>
  <c r="CN104" i="2"/>
  <c r="CN96" i="2"/>
  <c r="DE13" i="3"/>
  <c r="DE46" i="3" s="1"/>
  <c r="BO114" i="2"/>
  <c r="BO8" i="4"/>
  <c r="BW143" i="2"/>
  <c r="BW142" i="2" s="1"/>
  <c r="BW69" i="2"/>
  <c r="BW83" i="2"/>
  <c r="BW21" i="2"/>
  <c r="BW20" i="2"/>
  <c r="BR51" i="3"/>
  <c r="CP64" i="2"/>
  <c r="CP40" i="2"/>
  <c r="CO20" i="2"/>
  <c r="CO26" i="2"/>
  <c r="CO66" i="2"/>
  <c r="CO84" i="17"/>
  <c r="CO25" i="2"/>
  <c r="V48" i="4"/>
  <c r="V51" i="4" s="1"/>
  <c r="U54" i="4"/>
  <c r="BU102" i="2" l="1"/>
  <c r="BU103" i="2" s="1"/>
  <c r="BQ24" i="4"/>
  <c r="CO67" i="2"/>
  <c r="CO81" i="2"/>
  <c r="CO85" i="17"/>
  <c r="BS86" i="2"/>
  <c r="BS104" i="2"/>
  <c r="BS96" i="2"/>
  <c r="CO25" i="3"/>
  <c r="CO44" i="3" s="1"/>
  <c r="BS25" i="4"/>
  <c r="BT25" i="2"/>
  <c r="BT66" i="2"/>
  <c r="BT84" i="17"/>
  <c r="BV84" i="2"/>
  <c r="BV93" i="2"/>
  <c r="BV88" i="2" s="1"/>
  <c r="CN117" i="2"/>
  <c r="CN103" i="2"/>
  <c r="CO68" i="2"/>
  <c r="CO27" i="2"/>
  <c r="BW93" i="2"/>
  <c r="BW88" i="2" s="1"/>
  <c r="BW84" i="2"/>
  <c r="CN118" i="2"/>
  <c r="CN105" i="2"/>
  <c r="BS51" i="3"/>
  <c r="CO12" i="3"/>
  <c r="CN8" i="4"/>
  <c r="CN114" i="2"/>
  <c r="BN68" i="3"/>
  <c r="BN69" i="3" s="1"/>
  <c r="BN74" i="3"/>
  <c r="BN75" i="3"/>
  <c r="BN76" i="3" s="1"/>
  <c r="BU29" i="2"/>
  <c r="BU70" i="2"/>
  <c r="DF20" i="2"/>
  <c r="DF26" i="2"/>
  <c r="BW14" i="2"/>
  <c r="BW22" i="2"/>
  <c r="BW28" i="2"/>
  <c r="BR13" i="3"/>
  <c r="BR20" i="3"/>
  <c r="DE103" i="2"/>
  <c r="DE117" i="2"/>
  <c r="DE105" i="2"/>
  <c r="DE118" i="2"/>
  <c r="BR82" i="2"/>
  <c r="BR89" i="2"/>
  <c r="BS67" i="2"/>
  <c r="BS85" i="17"/>
  <c r="BS81" i="2"/>
  <c r="BP114" i="2"/>
  <c r="BP8" i="4"/>
  <c r="CO29" i="2"/>
  <c r="CO70" i="2"/>
  <c r="BS146" i="2"/>
  <c r="CO147" i="2"/>
  <c r="CO146" i="2" s="1"/>
  <c r="BT12" i="3"/>
  <c r="BT25" i="3"/>
  <c r="BV14" i="2"/>
  <c r="BV22" i="2"/>
  <c r="BV28" i="2"/>
  <c r="BV142" i="2"/>
  <c r="CP143" i="2"/>
  <c r="CP142" i="2" s="1"/>
  <c r="BT71" i="2"/>
  <c r="BT147" i="2"/>
  <c r="BT85" i="2"/>
  <c r="BR105" i="2"/>
  <c r="BR118" i="2"/>
  <c r="BQ116" i="2"/>
  <c r="BQ99" i="2"/>
  <c r="BQ113" i="2"/>
  <c r="BO66" i="3"/>
  <c r="BO33" i="3" s="1"/>
  <c r="BP63" i="3"/>
  <c r="CN63" i="3"/>
  <c r="CC296" i="3"/>
  <c r="BO296" i="3"/>
  <c r="BU50" i="3"/>
  <c r="BU15" i="2"/>
  <c r="BU138" i="2"/>
  <c r="BU24" i="2"/>
  <c r="DF22" i="2"/>
  <c r="DF28" i="2"/>
  <c r="DF25" i="2"/>
  <c r="DF66" i="2"/>
  <c r="V54" i="4"/>
  <c r="W48" i="4"/>
  <c r="W51" i="4" s="1"/>
  <c r="BU117" i="2" l="1"/>
  <c r="DF67" i="2"/>
  <c r="DF81" i="2"/>
  <c r="BU25" i="2"/>
  <c r="BU84" i="17"/>
  <c r="BU66" i="2"/>
  <c r="BO74" i="3"/>
  <c r="CN33" i="3"/>
  <c r="BO75" i="3"/>
  <c r="BO76" i="3" s="1"/>
  <c r="BO68" i="3"/>
  <c r="BO69" i="3" s="1"/>
  <c r="CO43" i="3"/>
  <c r="CO42" i="3" s="1"/>
  <c r="CO51" i="3"/>
  <c r="CO83" i="2"/>
  <c r="CO69" i="2"/>
  <c r="BV95" i="2"/>
  <c r="BT67" i="2"/>
  <c r="BT81" i="2"/>
  <c r="BT85" i="17"/>
  <c r="CO82" i="2"/>
  <c r="CO98" i="2"/>
  <c r="CO89" i="2"/>
  <c r="BQ114" i="2"/>
  <c r="BQ8" i="4"/>
  <c r="BV138" i="2"/>
  <c r="BV50" i="3"/>
  <c r="BV15" i="2"/>
  <c r="BV24" i="2"/>
  <c r="CP14" i="2"/>
  <c r="BW29" i="2"/>
  <c r="BW70" i="2"/>
  <c r="DF27" i="2"/>
  <c r="DF68" i="2"/>
  <c r="BU71" i="2"/>
  <c r="BU147" i="2"/>
  <c r="BU146" i="2" s="1"/>
  <c r="BU85" i="2"/>
  <c r="BR24" i="4"/>
  <c r="BS13" i="3"/>
  <c r="BS20" i="3"/>
  <c r="CO20" i="3" s="1"/>
  <c r="BW102" i="2"/>
  <c r="BS105" i="2"/>
  <c r="BS118" i="2"/>
  <c r="DF29" i="2"/>
  <c r="DF70" i="2"/>
  <c r="CN66" i="3"/>
  <c r="CN296" i="3"/>
  <c r="BT86" i="2"/>
  <c r="BT104" i="2"/>
  <c r="BT96" i="2"/>
  <c r="DF25" i="3"/>
  <c r="DF44" i="3" s="1"/>
  <c r="BT25" i="4"/>
  <c r="BS82" i="2"/>
  <c r="BS98" i="2"/>
  <c r="BS89" i="2"/>
  <c r="BR99" i="2"/>
  <c r="BR116" i="2"/>
  <c r="BR113" i="2"/>
  <c r="CP88" i="2"/>
  <c r="BW95" i="2"/>
  <c r="CO25" i="4"/>
  <c r="DE8" i="4"/>
  <c r="BU25" i="3"/>
  <c r="BU25" i="4" s="1"/>
  <c r="BU12" i="3"/>
  <c r="BU23" i="4" s="1"/>
  <c r="BP296" i="3"/>
  <c r="DE63" i="3"/>
  <c r="DE66" i="3" s="1"/>
  <c r="BP66" i="3"/>
  <c r="BP33" i="3" s="1"/>
  <c r="BQ63" i="3"/>
  <c r="DF147" i="2"/>
  <c r="DF146" i="2" s="1"/>
  <c r="BT146" i="2"/>
  <c r="BV29" i="2"/>
  <c r="BV70" i="2"/>
  <c r="BT51" i="3"/>
  <c r="DF12" i="3"/>
  <c r="CO71" i="2"/>
  <c r="CO85" i="2"/>
  <c r="BW50" i="3"/>
  <c r="BW15" i="2"/>
  <c r="BW138" i="2"/>
  <c r="BW24" i="2"/>
  <c r="BT23" i="4"/>
  <c r="BV102" i="2"/>
  <c r="X48" i="4"/>
  <c r="W54" i="4"/>
  <c r="CO47" i="3" l="1"/>
  <c r="BV117" i="2"/>
  <c r="BV103" i="2"/>
  <c r="DF23" i="4"/>
  <c r="BV85" i="2"/>
  <c r="BV96" i="2" s="1"/>
  <c r="BV147" i="2"/>
  <c r="BV146" i="2" s="1"/>
  <c r="BV71" i="2"/>
  <c r="BR63" i="3"/>
  <c r="BQ66" i="3"/>
  <c r="BQ33" i="3" s="1"/>
  <c r="BQ296" i="3"/>
  <c r="BU51" i="3"/>
  <c r="BW71" i="2"/>
  <c r="BW147" i="2"/>
  <c r="BW85" i="2"/>
  <c r="BV84" i="17"/>
  <c r="BV66" i="2"/>
  <c r="BV25" i="2"/>
  <c r="CP95" i="2"/>
  <c r="CP93" i="2"/>
  <c r="CO13" i="3"/>
  <c r="CO46" i="3" s="1"/>
  <c r="CN74" i="3"/>
  <c r="CN75" i="3"/>
  <c r="CN76" i="3" s="1"/>
  <c r="CN68" i="3"/>
  <c r="CN69" i="3" s="1"/>
  <c r="BP75" i="3"/>
  <c r="BP76" i="3" s="1"/>
  <c r="BP68" i="3"/>
  <c r="BP69" i="3" s="1"/>
  <c r="DE33" i="3"/>
  <c r="BP74" i="3"/>
  <c r="BW12" i="3"/>
  <c r="BW25" i="3"/>
  <c r="DF43" i="3"/>
  <c r="DF42" i="3" s="1"/>
  <c r="DF51" i="3"/>
  <c r="BR114" i="2"/>
  <c r="BR8" i="4"/>
  <c r="BS113" i="2"/>
  <c r="BS116" i="2"/>
  <c r="BS99" i="2"/>
  <c r="DF83" i="2"/>
  <c r="DF69" i="2"/>
  <c r="BV12" i="3"/>
  <c r="BV25" i="3"/>
  <c r="BV25" i="4" s="1"/>
  <c r="BT98" i="2"/>
  <c r="BT82" i="2"/>
  <c r="BT89" i="2"/>
  <c r="BS24" i="4"/>
  <c r="CO24" i="4" s="1"/>
  <c r="DF82" i="2"/>
  <c r="DF98" i="2"/>
  <c r="DF89" i="2"/>
  <c r="BW25" i="2"/>
  <c r="BW84" i="17"/>
  <c r="BW66" i="2"/>
  <c r="CO86" i="2"/>
  <c r="CO104" i="2"/>
  <c r="CO96" i="2"/>
  <c r="BT20" i="3"/>
  <c r="DF20" i="3" s="1"/>
  <c r="BT13" i="3"/>
  <c r="DF25" i="4"/>
  <c r="BT105" i="2"/>
  <c r="BT118" i="2"/>
  <c r="DF85" i="2"/>
  <c r="DF71" i="2"/>
  <c r="BW117" i="2"/>
  <c r="BW103" i="2"/>
  <c r="BU86" i="2"/>
  <c r="BU104" i="2"/>
  <c r="BU96" i="2"/>
  <c r="CP19" i="2"/>
  <c r="CP15" i="2"/>
  <c r="CP21" i="2"/>
  <c r="CP50" i="3"/>
  <c r="CP138" i="2"/>
  <c r="CP24" i="2"/>
  <c r="CO116" i="2"/>
  <c r="CO99" i="2"/>
  <c r="CO113" i="2"/>
  <c r="CO114" i="2" s="1"/>
  <c r="CO84" i="2"/>
  <c r="CO102" i="2"/>
  <c r="CO94" i="2"/>
  <c r="BU81" i="2"/>
  <c r="BU85" i="17"/>
  <c r="BU67" i="2"/>
  <c r="CD48" i="4"/>
  <c r="CD51" i="4" s="1"/>
  <c r="X51" i="4"/>
  <c r="BT24" i="4" l="1"/>
  <c r="DF24" i="4" s="1"/>
  <c r="CO117" i="2"/>
  <c r="CO103" i="2"/>
  <c r="CP22" i="2"/>
  <c r="CP28" i="2"/>
  <c r="BU118" i="2"/>
  <c r="BU105" i="2"/>
  <c r="CO118" i="2"/>
  <c r="CO105" i="2"/>
  <c r="BW23" i="4"/>
  <c r="BV51" i="3"/>
  <c r="BS8" i="4"/>
  <c r="CO8" i="4" s="1"/>
  <c r="BS114" i="2"/>
  <c r="BW86" i="2"/>
  <c r="BW104" i="2"/>
  <c r="BV23" i="4"/>
  <c r="BR296" i="3"/>
  <c r="BS63" i="3"/>
  <c r="BR66" i="3"/>
  <c r="BR33" i="3" s="1"/>
  <c r="CP25" i="2"/>
  <c r="CP84" i="17"/>
  <c r="CP66" i="2"/>
  <c r="DF86" i="2"/>
  <c r="DF104" i="2"/>
  <c r="DF96" i="2"/>
  <c r="DF13" i="3"/>
  <c r="DF46" i="3" s="1"/>
  <c r="BW25" i="4"/>
  <c r="CP25" i="4" s="1"/>
  <c r="CP25" i="3"/>
  <c r="CP44" i="3" s="1"/>
  <c r="CP147" i="2"/>
  <c r="CP146" i="2" s="1"/>
  <c r="BW146" i="2"/>
  <c r="BU20" i="3"/>
  <c r="BU13" i="3"/>
  <c r="BU82" i="2"/>
  <c r="BU98" i="2"/>
  <c r="BU89" i="2"/>
  <c r="CP20" i="2"/>
  <c r="CP26" i="2"/>
  <c r="BW85" i="17"/>
  <c r="BW67" i="2"/>
  <c r="BW81" i="2"/>
  <c r="DF116" i="2"/>
  <c r="DF113" i="2"/>
  <c r="DF114" i="2" s="1"/>
  <c r="DF99" i="2"/>
  <c r="BT113" i="2"/>
  <c r="BT116" i="2"/>
  <c r="BT99" i="2"/>
  <c r="CP12" i="3"/>
  <c r="BW51" i="3"/>
  <c r="BV67" i="2"/>
  <c r="BV85" i="17"/>
  <c r="BV81" i="2"/>
  <c r="DF84" i="2"/>
  <c r="DF102" i="2"/>
  <c r="DF94" i="2"/>
  <c r="DF47" i="3"/>
  <c r="DE68" i="3"/>
  <c r="DE69" i="3" s="1"/>
  <c r="DE74" i="3"/>
  <c r="DE75" i="3"/>
  <c r="DE76" i="3" s="1"/>
  <c r="BW96" i="2"/>
  <c r="BQ74" i="3"/>
  <c r="BQ68" i="3"/>
  <c r="BQ69" i="3" s="1"/>
  <c r="BQ75" i="3"/>
  <c r="BQ76" i="3" s="1"/>
  <c r="BV86" i="2"/>
  <c r="BV104" i="2"/>
  <c r="X54" i="4"/>
  <c r="Y48" i="4"/>
  <c r="Y51" i="4" s="1"/>
  <c r="CU48" i="4"/>
  <c r="CU51" i="4" s="1"/>
  <c r="CE48" i="4"/>
  <c r="CE51" i="4" s="1"/>
  <c r="CD54" i="4"/>
  <c r="BU24" i="4" l="1"/>
  <c r="DF103" i="2"/>
  <c r="DF117" i="2"/>
  <c r="BU116" i="2"/>
  <c r="BU99" i="2"/>
  <c r="BU113" i="2"/>
  <c r="BR68" i="3"/>
  <c r="BR69" i="3" s="1"/>
  <c r="BR75" i="3"/>
  <c r="BR76" i="3" s="1"/>
  <c r="BR74" i="3"/>
  <c r="CP27" i="2"/>
  <c r="CP68" i="2"/>
  <c r="CP67" i="2"/>
  <c r="CP81" i="2"/>
  <c r="CP85" i="17"/>
  <c r="BT63" i="3"/>
  <c r="BS296" i="3"/>
  <c r="CO63" i="3"/>
  <c r="BS66" i="3"/>
  <c r="BS33" i="3" s="1"/>
  <c r="CP70" i="2"/>
  <c r="CP29" i="2"/>
  <c r="BV118" i="2"/>
  <c r="BV105" i="2"/>
  <c r="BV82" i="2"/>
  <c r="BV98" i="2"/>
  <c r="BV89" i="2"/>
  <c r="BW13" i="3"/>
  <c r="CP13" i="3" s="1"/>
  <c r="BW20" i="3"/>
  <c r="CP20" i="3" s="1"/>
  <c r="BT114" i="2"/>
  <c r="BT8" i="4"/>
  <c r="DF8" i="4" s="1"/>
  <c r="BW82" i="2"/>
  <c r="BW98" i="2"/>
  <c r="BW89" i="2"/>
  <c r="BW105" i="2"/>
  <c r="BW118" i="2"/>
  <c r="CP43" i="3"/>
  <c r="CP42" i="3" s="1"/>
  <c r="CP51" i="3"/>
  <c r="DF118" i="2"/>
  <c r="DF105" i="2"/>
  <c r="CP23" i="4"/>
  <c r="BV13" i="3"/>
  <c r="BV20" i="3"/>
  <c r="CE54" i="4"/>
  <c r="CF48" i="4"/>
  <c r="CF51" i="4" s="1"/>
  <c r="Y54" i="4"/>
  <c r="Z48" i="4"/>
  <c r="Z51" i="4" s="1"/>
  <c r="CV48" i="4"/>
  <c r="CV51" i="4" s="1"/>
  <c r="CU54" i="4"/>
  <c r="CP47" i="3" l="1"/>
  <c r="BW24" i="4"/>
  <c r="BV116" i="2"/>
  <c r="BV99" i="2"/>
  <c r="BV113" i="2"/>
  <c r="CP71" i="2"/>
  <c r="CP85" i="2"/>
  <c r="DF63" i="3"/>
  <c r="DF66" i="3" s="1"/>
  <c r="BT296" i="3"/>
  <c r="BT66" i="3"/>
  <c r="BT33" i="3" s="1"/>
  <c r="BU63" i="3"/>
  <c r="CP83" i="2"/>
  <c r="CP69" i="2"/>
  <c r="CP46" i="3"/>
  <c r="BS75" i="3"/>
  <c r="BS76" i="3" s="1"/>
  <c r="BS74" i="3"/>
  <c r="CO33" i="3"/>
  <c r="BS68" i="3"/>
  <c r="BS69" i="3" s="1"/>
  <c r="BU114" i="2"/>
  <c r="BU8" i="4"/>
  <c r="BW113" i="2"/>
  <c r="BW116" i="2"/>
  <c r="BW99" i="2"/>
  <c r="BV24" i="4"/>
  <c r="CO66" i="3"/>
  <c r="CO296" i="3"/>
  <c r="CP98" i="2"/>
  <c r="CP82" i="2"/>
  <c r="CP89" i="2"/>
  <c r="Z54" i="4"/>
  <c r="AA48" i="4"/>
  <c r="AA51" i="4" s="1"/>
  <c r="CG48" i="4"/>
  <c r="CG51" i="4" s="1"/>
  <c r="CF54" i="4"/>
  <c r="CV54" i="4"/>
  <c r="CW48" i="4"/>
  <c r="CW51" i="4" s="1"/>
  <c r="CP24" i="4" l="1"/>
  <c r="BT68" i="3"/>
  <c r="BT69" i="3" s="1"/>
  <c r="DF33" i="3"/>
  <c r="BT75" i="3"/>
  <c r="BT76" i="3" s="1"/>
  <c r="BT74" i="3"/>
  <c r="CO68" i="3"/>
  <c r="CO69" i="3" s="1"/>
  <c r="CO75" i="3"/>
  <c r="CO76" i="3" s="1"/>
  <c r="CO74" i="3"/>
  <c r="BV114" i="2"/>
  <c r="BV8" i="4"/>
  <c r="CP102" i="2"/>
  <c r="CP84" i="2"/>
  <c r="CP94" i="2"/>
  <c r="CP116" i="2"/>
  <c r="CP99" i="2"/>
  <c r="CP113" i="2"/>
  <c r="BW8" i="4"/>
  <c r="BW114" i="2"/>
  <c r="BV63" i="3"/>
  <c r="BU296" i="3"/>
  <c r="BU66" i="3"/>
  <c r="BU33" i="3" s="1"/>
  <c r="CP86" i="2"/>
  <c r="CP104" i="2"/>
  <c r="CP96" i="2"/>
  <c r="CW54" i="4"/>
  <c r="CX48" i="4"/>
  <c r="CX51" i="4" s="1"/>
  <c r="AB48" i="4"/>
  <c r="AB51" i="4" s="1"/>
  <c r="AA54" i="4"/>
  <c r="CH48" i="4"/>
  <c r="CH51" i="4" s="1"/>
  <c r="CG54" i="4"/>
  <c r="CP8" i="4" l="1"/>
  <c r="BU74" i="3"/>
  <c r="BU75" i="3"/>
  <c r="BU76" i="3" s="1"/>
  <c r="BU68" i="3"/>
  <c r="BU69" i="3" s="1"/>
  <c r="CP118" i="2"/>
  <c r="CP105" i="2"/>
  <c r="BV296" i="3"/>
  <c r="BV66" i="3"/>
  <c r="BV33" i="3" s="1"/>
  <c r="BW63" i="3"/>
  <c r="CP114" i="2"/>
  <c r="CP103" i="2"/>
  <c r="CP117" i="2"/>
  <c r="DF74" i="3"/>
  <c r="DF75" i="3"/>
  <c r="DF76" i="3" s="1"/>
  <c r="DF68" i="3"/>
  <c r="DF69" i="3" s="1"/>
  <c r="CY48" i="4"/>
  <c r="CY51" i="4" s="1"/>
  <c r="CX54" i="4"/>
  <c r="CI48" i="4"/>
  <c r="CI51" i="4" s="1"/>
  <c r="CH54" i="4"/>
  <c r="AC48" i="4"/>
  <c r="AC51" i="4" s="1"/>
  <c r="AB54" i="4"/>
  <c r="BW66" i="3" l="1"/>
  <c r="BW33" i="3" s="1"/>
  <c r="CP63" i="3"/>
  <c r="BW296" i="3"/>
  <c r="BV68" i="3"/>
  <c r="BV69" i="3" s="1"/>
  <c r="BV74" i="3"/>
  <c r="BV75" i="3"/>
  <c r="BV76" i="3" s="1"/>
  <c r="AC54" i="4"/>
  <c r="AD48" i="4"/>
  <c r="AD51" i="4" s="1"/>
  <c r="CI54" i="4"/>
  <c r="CJ48" i="4"/>
  <c r="CJ51" i="4" s="1"/>
  <c r="CZ48" i="4"/>
  <c r="CZ51" i="4" s="1"/>
  <c r="CY54" i="4"/>
  <c r="CP66" i="3" l="1"/>
  <c r="CP296" i="3"/>
  <c r="CP33" i="3"/>
  <c r="BW74" i="3"/>
  <c r="BW75" i="3"/>
  <c r="BW76" i="3" s="1"/>
  <c r="BW68" i="3"/>
  <c r="BW69" i="3" s="1"/>
  <c r="CJ54" i="4"/>
  <c r="CK48" i="4"/>
  <c r="CK51" i="4" s="1"/>
  <c r="AE48" i="4"/>
  <c r="AE51" i="4" s="1"/>
  <c r="AD54" i="4"/>
  <c r="DA48" i="4"/>
  <c r="DA51" i="4" s="1"/>
  <c r="CZ54" i="4"/>
  <c r="CP74" i="3" l="1"/>
  <c r="CP75" i="3"/>
  <c r="CP76" i="3" s="1"/>
  <c r="CP68" i="3"/>
  <c r="CP69" i="3" s="1"/>
  <c r="CL48" i="4"/>
  <c r="CL51" i="4" s="1"/>
  <c r="CK54" i="4"/>
  <c r="DA54" i="4"/>
  <c r="DB48" i="4"/>
  <c r="DB51" i="4" s="1"/>
  <c r="AF48" i="4"/>
  <c r="AF51" i="4" s="1"/>
  <c r="AE54" i="4"/>
  <c r="DB54" i="4" l="1"/>
  <c r="DC48" i="4"/>
  <c r="DC51" i="4" s="1"/>
  <c r="AF54" i="4"/>
  <c r="AG48" i="4"/>
  <c r="AG51" i="4" s="1"/>
  <c r="CL54" i="4"/>
  <c r="CM48" i="4"/>
  <c r="AH48" i="4" l="1"/>
  <c r="AH51" i="4" s="1"/>
  <c r="AG54" i="4"/>
  <c r="DD48" i="4"/>
  <c r="DC54" i="4"/>
  <c r="AI48" i="4" l="1"/>
  <c r="AI51" i="4" s="1"/>
  <c r="AH54" i="4"/>
  <c r="AI54" i="4" l="1"/>
  <c r="AJ48" i="4"/>
  <c r="AJ51" i="4" s="1"/>
  <c r="AK48" i="4" l="1"/>
  <c r="AK51" i="4" s="1"/>
  <c r="AJ54" i="4"/>
  <c r="AL48" i="4" l="1"/>
  <c r="AL51" i="4" s="1"/>
  <c r="AK54" i="4"/>
  <c r="AM48" i="4" l="1"/>
  <c r="AM51" i="4" s="1"/>
  <c r="AL54" i="4"/>
  <c r="AN48" i="4" l="1"/>
  <c r="AN51" i="4" s="1"/>
  <c r="AM54" i="4"/>
  <c r="AO48" i="4" l="1"/>
  <c r="AO51" i="4" s="1"/>
  <c r="AN54" i="4"/>
  <c r="AO54" i="4" l="1"/>
  <c r="AP48" i="4"/>
  <c r="AP51" i="4" s="1"/>
  <c r="AQ48" i="4" l="1"/>
  <c r="AQ51" i="4" s="1"/>
  <c r="AP54" i="4"/>
  <c r="AR48" i="4" l="1"/>
  <c r="AR51" i="4" s="1"/>
  <c r="AQ54" i="4"/>
  <c r="AS48" i="4" l="1"/>
  <c r="AS51" i="4" s="1"/>
  <c r="AR54" i="4"/>
  <c r="AS54" i="4" l="1"/>
  <c r="AT48" i="4"/>
  <c r="AT51" i="4" s="1"/>
  <c r="AU48" i="4" l="1"/>
  <c r="AU51" i="4" s="1"/>
  <c r="AT54" i="4"/>
  <c r="AU54" i="4" l="1"/>
  <c r="AV48" i="4"/>
  <c r="AV51" i="4" s="1"/>
  <c r="AW48" i="4" l="1"/>
  <c r="AW51" i="4" s="1"/>
  <c r="AV54" i="4"/>
  <c r="AW54" i="4" l="1"/>
  <c r="AX48" i="4"/>
  <c r="AX51" i="4" s="1"/>
  <c r="AY48" i="4" l="1"/>
  <c r="AY51" i="4" s="1"/>
  <c r="AX54" i="4"/>
  <c r="AZ48" i="4" l="1"/>
  <c r="AZ51" i="4" s="1"/>
  <c r="AY54" i="4"/>
  <c r="BA48" i="4" l="1"/>
  <c r="BA51" i="4" s="1"/>
  <c r="AZ54" i="4"/>
  <c r="BA54" i="4" l="1"/>
  <c r="BB48" i="4"/>
  <c r="BB51" i="4" s="1"/>
  <c r="BC48" i="4" l="1"/>
  <c r="BC51" i="4" s="1"/>
  <c r="BB54" i="4"/>
  <c r="BD48" i="4" l="1"/>
  <c r="BD51" i="4" s="1"/>
  <c r="BC54" i="4"/>
  <c r="BE48" i="4" l="1"/>
  <c r="BE51" i="4" s="1"/>
  <c r="BD54" i="4"/>
  <c r="BE54" i="4" l="1"/>
  <c r="BF48" i="4"/>
  <c r="BF51" i="4" s="1"/>
  <c r="BG48" i="4" l="1"/>
  <c r="BG51" i="4" s="1"/>
  <c r="BF54" i="4"/>
  <c r="BH48" i="4" l="1"/>
  <c r="BH51" i="4" s="1"/>
  <c r="BG54" i="4"/>
  <c r="BI48" i="4" l="1"/>
  <c r="BI51" i="4" s="1"/>
  <c r="BH54" i="4"/>
  <c r="BI54" i="4" l="1"/>
  <c r="BJ48" i="4"/>
  <c r="BJ51" i="4" s="1"/>
  <c r="BK48" i="4" s="1"/>
  <c r="BK51" i="4" s="1"/>
  <c r="BK54" i="4" l="1"/>
  <c r="BL48" i="4"/>
  <c r="BL51" i="4" s="1"/>
  <c r="BL54" i="4" s="1"/>
  <c r="BJ54" i="4"/>
  <c r="BM26" i="3" l="1"/>
  <c r="CM26" i="3"/>
  <c r="DD26" i="3"/>
  <c r="DD28" i="3" s="1"/>
  <c r="DD35" i="3" s="1"/>
  <c r="BM27" i="3"/>
  <c r="CM27" i="3"/>
  <c r="DD27" i="3"/>
  <c r="BK28" i="3"/>
  <c r="BL35" i="3"/>
  <c r="CM28" i="3"/>
  <c r="BK35" i="3"/>
  <c r="CM35" i="3"/>
  <c r="CM37" i="3" s="1"/>
  <c r="BK37" i="3"/>
  <c r="BK45" i="3"/>
  <c r="BM45" i="3" s="1"/>
  <c r="BN45" i="3" s="1"/>
  <c r="BO45" i="3" s="1"/>
  <c r="BP45" i="3" s="1"/>
  <c r="BQ45" i="3" s="1"/>
  <c r="BR45" i="3" s="1"/>
  <c r="BS45" i="3" s="1"/>
  <c r="BT45" i="3" s="1"/>
  <c r="BU45" i="3" s="1"/>
  <c r="BV45" i="3" s="1"/>
  <c r="BW45" i="3" s="1"/>
  <c r="CM45" i="3"/>
  <c r="DD45" i="3"/>
  <c r="BK83" i="3"/>
  <c r="CM83" i="3"/>
  <c r="CM26" i="4"/>
  <c r="DD26" i="4"/>
  <c r="DD27" i="4" s="1"/>
  <c r="DD50" i="4" s="1"/>
  <c r="DD51" i="4" s="1"/>
  <c r="DE48" i="4" s="1"/>
  <c r="BK76" i="4"/>
  <c r="BN27" i="3" l="1"/>
  <c r="BO27" i="3" s="1"/>
  <c r="BM26" i="4"/>
  <c r="BM27" i="4" s="1"/>
  <c r="BM50" i="4" s="1"/>
  <c r="BM8" i="3" s="1"/>
  <c r="DD76" i="4"/>
  <c r="DD77" i="4" s="1"/>
  <c r="BL76" i="4"/>
  <c r="BK77" i="4"/>
  <c r="BK78" i="4"/>
  <c r="CM27" i="4"/>
  <c r="BL77" i="3"/>
  <c r="DD8" i="3"/>
  <c r="BP27" i="3"/>
  <c r="CN27" i="3"/>
  <c r="BN26" i="3"/>
  <c r="BM28" i="3"/>
  <c r="BM35" i="3" s="1"/>
  <c r="BM76" i="4" l="1"/>
  <c r="BM77" i="4" s="1"/>
  <c r="DD78" i="4"/>
  <c r="BL77" i="4"/>
  <c r="BL78" i="4"/>
  <c r="BM48" i="4"/>
  <c r="BM51" i="4" s="1"/>
  <c r="BN48" i="4" s="1"/>
  <c r="CM50" i="4"/>
  <c r="CM51" i="4" s="1"/>
  <c r="CM76" i="4"/>
  <c r="BO26" i="3"/>
  <c r="BN28" i="3"/>
  <c r="BN35" i="3" s="1"/>
  <c r="BN26" i="4"/>
  <c r="BL83" i="3"/>
  <c r="BL37" i="3"/>
  <c r="BL81" i="3"/>
  <c r="BL78" i="3"/>
  <c r="DD14" i="3"/>
  <c r="DD77" i="3"/>
  <c r="DD53" i="4"/>
  <c r="DD54" i="4" s="1"/>
  <c r="BQ27" i="3"/>
  <c r="DE27" i="3"/>
  <c r="BM77" i="3"/>
  <c r="BM14" i="3"/>
  <c r="BM53" i="4"/>
  <c r="BM78" i="4" l="1"/>
  <c r="BM54" i="4"/>
  <c r="CM78" i="4"/>
  <c r="CM77" i="4"/>
  <c r="CN48" i="4"/>
  <c r="CM54" i="4"/>
  <c r="BM21" i="3"/>
  <c r="BM37" i="3" s="1"/>
  <c r="BM83" i="3"/>
  <c r="DD83" i="3"/>
  <c r="DD21" i="3"/>
  <c r="DD37" i="3" s="1"/>
  <c r="BM81" i="3"/>
  <c r="BM78" i="3"/>
  <c r="BR27" i="3"/>
  <c r="BL85" i="3"/>
  <c r="DD85" i="3" s="1"/>
  <c r="BL82" i="3"/>
  <c r="BN27" i="4"/>
  <c r="DD78" i="3"/>
  <c r="DD81" i="3"/>
  <c r="DD82" i="3" s="1"/>
  <c r="BO28" i="3"/>
  <c r="BO35" i="3" s="1"/>
  <c r="BP26" i="3"/>
  <c r="CN26" i="3"/>
  <c r="BO26" i="4"/>
  <c r="BO27" i="4" s="1"/>
  <c r="CN26" i="4" l="1"/>
  <c r="BN50" i="4"/>
  <c r="BN76" i="4"/>
  <c r="BS27" i="3"/>
  <c r="BP28" i="3"/>
  <c r="BP35" i="3" s="1"/>
  <c r="BQ26" i="3"/>
  <c r="DE26" i="3"/>
  <c r="BP26" i="4"/>
  <c r="BO76" i="4"/>
  <c r="BO50" i="4"/>
  <c r="CN28" i="3"/>
  <c r="CN35" i="3" s="1"/>
  <c r="CN45" i="3"/>
  <c r="BM85" i="3"/>
  <c r="BM82" i="3"/>
  <c r="BP27" i="4" l="1"/>
  <c r="DE26" i="4"/>
  <c r="DE27" i="4" s="1"/>
  <c r="DE28" i="3"/>
  <c r="DE35" i="3" s="1"/>
  <c r="DE45" i="3"/>
  <c r="BT27" i="3"/>
  <c r="CO27" i="3"/>
  <c r="BO77" i="4"/>
  <c r="BO78" i="4"/>
  <c r="BR26" i="3"/>
  <c r="BQ28" i="3"/>
  <c r="BQ35" i="3" s="1"/>
  <c r="BQ26" i="4"/>
  <c r="BN77" i="4"/>
  <c r="BN78" i="4"/>
  <c r="CN27" i="4"/>
  <c r="BN8" i="3"/>
  <c r="BN51" i="4"/>
  <c r="BO48" i="4" s="1"/>
  <c r="BO51" i="4" s="1"/>
  <c r="BP48" i="4" s="1"/>
  <c r="BS26" i="3" l="1"/>
  <c r="BR28" i="3"/>
  <c r="BR35" i="3" s="1"/>
  <c r="BR26" i="4"/>
  <c r="BR27" i="4" s="1"/>
  <c r="DE50" i="4"/>
  <c r="DE51" i="4" s="1"/>
  <c r="DF48" i="4" s="1"/>
  <c r="DE76" i="4"/>
  <c r="BU27" i="3"/>
  <c r="DF27" i="3"/>
  <c r="BO8" i="3"/>
  <c r="BN77" i="3"/>
  <c r="BN14" i="3"/>
  <c r="BN53" i="4"/>
  <c r="BN54" i="4" s="1"/>
  <c r="CN50" i="4"/>
  <c r="CN51" i="4" s="1"/>
  <c r="CO48" i="4" s="1"/>
  <c r="CN76" i="4"/>
  <c r="BQ27" i="4"/>
  <c r="BP76" i="4"/>
  <c r="BP50" i="4"/>
  <c r="BP51" i="4" s="1"/>
  <c r="BQ48" i="4" s="1"/>
  <c r="BV27" i="3" l="1"/>
  <c r="BR50" i="4"/>
  <c r="BR76" i="4"/>
  <c r="BQ50" i="4"/>
  <c r="BQ51" i="4" s="1"/>
  <c r="BR48" i="4" s="1"/>
  <c r="BQ76" i="4"/>
  <c r="BN21" i="3"/>
  <c r="BN37" i="3" s="1"/>
  <c r="BN83" i="3"/>
  <c r="DE77" i="4"/>
  <c r="DE78" i="4"/>
  <c r="CO26" i="3"/>
  <c r="BS28" i="3"/>
  <c r="BS35" i="3" s="1"/>
  <c r="BT26" i="3"/>
  <c r="BS26" i="4"/>
  <c r="BS27" i="4" s="1"/>
  <c r="BP77" i="4"/>
  <c r="BP78" i="4"/>
  <c r="BO14" i="3"/>
  <c r="BP8" i="3"/>
  <c r="CN8" i="3"/>
  <c r="BO77" i="3"/>
  <c r="BO53" i="4"/>
  <c r="BO54" i="4" s="1"/>
  <c r="CO26" i="4"/>
  <c r="CO27" i="4" s="1"/>
  <c r="CN77" i="4"/>
  <c r="CN78" i="4"/>
  <c r="BN78" i="3"/>
  <c r="BN81" i="3"/>
  <c r="BR51" i="4" l="1"/>
  <c r="BS48" i="4" s="1"/>
  <c r="BS76" i="4"/>
  <c r="BS50" i="4"/>
  <c r="CN77" i="3"/>
  <c r="CN14" i="3"/>
  <c r="CN53" i="4"/>
  <c r="CN54" i="4" s="1"/>
  <c r="CO28" i="3"/>
  <c r="CO35" i="3" s="1"/>
  <c r="CO45" i="3"/>
  <c r="BQ8" i="3"/>
  <c r="BP77" i="3"/>
  <c r="BP14" i="3"/>
  <c r="DE8" i="3"/>
  <c r="BP53" i="4"/>
  <c r="BP54" i="4" s="1"/>
  <c r="BN82" i="3"/>
  <c r="BN85" i="3"/>
  <c r="BO83" i="3"/>
  <c r="BO21" i="3"/>
  <c r="BO37" i="3" s="1"/>
  <c r="DF26" i="3"/>
  <c r="BT28" i="3"/>
  <c r="BT35" i="3" s="1"/>
  <c r="BU26" i="3"/>
  <c r="BT26" i="4"/>
  <c r="BQ77" i="4"/>
  <c r="BQ78" i="4"/>
  <c r="CO50" i="4"/>
  <c r="CO51" i="4" s="1"/>
  <c r="CP48" i="4" s="1"/>
  <c r="CO76" i="4"/>
  <c r="BR77" i="4"/>
  <c r="BR78" i="4"/>
  <c r="BO78" i="3"/>
  <c r="BO81" i="3"/>
  <c r="BW27" i="3"/>
  <c r="BS51" i="4" l="1"/>
  <c r="BT48" i="4" s="1"/>
  <c r="BO82" i="3"/>
  <c r="BO85" i="3"/>
  <c r="CN85" i="3" s="1"/>
  <c r="CO77" i="4"/>
  <c r="CO78" i="4"/>
  <c r="BT27" i="4"/>
  <c r="BP81" i="3"/>
  <c r="BP78" i="3"/>
  <c r="DF28" i="3"/>
  <c r="DF35" i="3" s="1"/>
  <c r="DF45" i="3"/>
  <c r="BP83" i="3"/>
  <c r="BP21" i="3"/>
  <c r="BP37" i="3" s="1"/>
  <c r="BV26" i="3"/>
  <c r="BU28" i="3"/>
  <c r="BU35" i="3" s="1"/>
  <c r="BU26" i="4"/>
  <c r="BU27" i="4" s="1"/>
  <c r="BR8" i="3"/>
  <c r="BQ77" i="3"/>
  <c r="BQ14" i="3"/>
  <c r="BQ53" i="4"/>
  <c r="BQ54" i="4" s="1"/>
  <c r="CN83" i="3"/>
  <c r="CN21" i="3"/>
  <c r="CN37" i="3" s="1"/>
  <c r="BS77" i="4"/>
  <c r="BS78" i="4"/>
  <c r="CP27" i="3"/>
  <c r="DF26" i="4"/>
  <c r="DF27" i="4" s="1"/>
  <c r="DE77" i="3"/>
  <c r="DE14" i="3"/>
  <c r="DE53" i="4"/>
  <c r="DE54" i="4" s="1"/>
  <c r="CN81" i="3"/>
  <c r="CN82" i="3" s="1"/>
  <c r="CN78" i="3"/>
  <c r="DF50" i="4" l="1"/>
  <c r="DF51" i="4" s="1"/>
  <c r="DF76" i="4"/>
  <c r="BQ21" i="3"/>
  <c r="BQ37" i="3" s="1"/>
  <c r="BQ83" i="3"/>
  <c r="BT76" i="4"/>
  <c r="BT50" i="4"/>
  <c r="BT51" i="4" s="1"/>
  <c r="BU48" i="4" s="1"/>
  <c r="BQ81" i="3"/>
  <c r="BQ78" i="3"/>
  <c r="BW26" i="3"/>
  <c r="BV28" i="3"/>
  <c r="BV35" i="3" s="1"/>
  <c r="BV26" i="4"/>
  <c r="BV27" i="4" s="1"/>
  <c r="DE83" i="3"/>
  <c r="DE21" i="3"/>
  <c r="DE37" i="3" s="1"/>
  <c r="BS8" i="3"/>
  <c r="BR77" i="3"/>
  <c r="BR14" i="3"/>
  <c r="BR53" i="4"/>
  <c r="BR54" i="4" s="1"/>
  <c r="DE81" i="3"/>
  <c r="DE82" i="3" s="1"/>
  <c r="DE78" i="3"/>
  <c r="BU50" i="4"/>
  <c r="BU76" i="4"/>
  <c r="BP85" i="3"/>
  <c r="DE85" i="3" s="1"/>
  <c r="BP82" i="3"/>
  <c r="BU51" i="4" l="1"/>
  <c r="BV48" i="4" s="1"/>
  <c r="BU77" i="4"/>
  <c r="BU78" i="4"/>
  <c r="BR21" i="3"/>
  <c r="BR37" i="3" s="1"/>
  <c r="BR83" i="3"/>
  <c r="BW28" i="3"/>
  <c r="BW35" i="3" s="1"/>
  <c r="CP26" i="3"/>
  <c r="BW26" i="4"/>
  <c r="BT77" i="4"/>
  <c r="BT78" i="4"/>
  <c r="DF77" i="4"/>
  <c r="DF78" i="4"/>
  <c r="BR78" i="3"/>
  <c r="BR81" i="3"/>
  <c r="CO8" i="3"/>
  <c r="BS14" i="3"/>
  <c r="BT8" i="3"/>
  <c r="BS77" i="3"/>
  <c r="BS53" i="4"/>
  <c r="BS54" i="4" s="1"/>
  <c r="BV50" i="4"/>
  <c r="BV76" i="4"/>
  <c r="BQ85" i="3"/>
  <c r="BQ82" i="3"/>
  <c r="BV77" i="4" l="1"/>
  <c r="BV78" i="4"/>
  <c r="BU8" i="3"/>
  <c r="DF8" i="3"/>
  <c r="BT77" i="3"/>
  <c r="BT14" i="3"/>
  <c r="BT53" i="4"/>
  <c r="BT54" i="4" s="1"/>
  <c r="BV51" i="4"/>
  <c r="BW48" i="4" s="1"/>
  <c r="BS83" i="3"/>
  <c r="BS21" i="3"/>
  <c r="BS37" i="3" s="1"/>
  <c r="CO77" i="3"/>
  <c r="CO14" i="3"/>
  <c r="CO53" i="4"/>
  <c r="CO54" i="4" s="1"/>
  <c r="BW27" i="4"/>
  <c r="CP26" i="4"/>
  <c r="BS78" i="3"/>
  <c r="BS81" i="3"/>
  <c r="BR82" i="3"/>
  <c r="BR85" i="3"/>
  <c r="CP28" i="3"/>
  <c r="CP35" i="3" s="1"/>
  <c r="CP45" i="3"/>
  <c r="BS82" i="3" l="1"/>
  <c r="BS85" i="3"/>
  <c r="CO85" i="3" s="1"/>
  <c r="BV8" i="3"/>
  <c r="BU77" i="3"/>
  <c r="BU14" i="3"/>
  <c r="BU53" i="4"/>
  <c r="BU54" i="4" s="1"/>
  <c r="CO21" i="3"/>
  <c r="CO37" i="3" s="1"/>
  <c r="CO83" i="3"/>
  <c r="BT83" i="3"/>
  <c r="BT21" i="3"/>
  <c r="BT37" i="3" s="1"/>
  <c r="CP27" i="4"/>
  <c r="CO81" i="3"/>
  <c r="CO82" i="3" s="1"/>
  <c r="CO78" i="3"/>
  <c r="BT81" i="3"/>
  <c r="BT78" i="3"/>
  <c r="BW76" i="4"/>
  <c r="BW50" i="4"/>
  <c r="BW51" i="4" s="1"/>
  <c r="DF77" i="3"/>
  <c r="DF14" i="3"/>
  <c r="DF53" i="4"/>
  <c r="DF54" i="4" s="1"/>
  <c r="BT85" i="3" l="1"/>
  <c r="DF85" i="3" s="1"/>
  <c r="BT82" i="3"/>
  <c r="CP76" i="4"/>
  <c r="CP50" i="4"/>
  <c r="CP51" i="4" s="1"/>
  <c r="BU21" i="3"/>
  <c r="BU37" i="3" s="1"/>
  <c r="BU83" i="3"/>
  <c r="BW77" i="4"/>
  <c r="BW78" i="4"/>
  <c r="BU81" i="3"/>
  <c r="BU78" i="3"/>
  <c r="DF81" i="3"/>
  <c r="DF82" i="3" s="1"/>
  <c r="DF78" i="3"/>
  <c r="DF21" i="3"/>
  <c r="DF37" i="3" s="1"/>
  <c r="DF83" i="3"/>
  <c r="BW8" i="3"/>
  <c r="BV77" i="3"/>
  <c r="BV14" i="3"/>
  <c r="BV53" i="4"/>
  <c r="BV54" i="4" s="1"/>
  <c r="BV21" i="3" l="1"/>
  <c r="BV37" i="3" s="1"/>
  <c r="BV83" i="3"/>
  <c r="BV78" i="3"/>
  <c r="BV81" i="3"/>
  <c r="CP77" i="4"/>
  <c r="CP78" i="4"/>
  <c r="BW14" i="3"/>
  <c r="CP8" i="3"/>
  <c r="BW77" i="3"/>
  <c r="BW53" i="4"/>
  <c r="BW54" i="4" s="1"/>
  <c r="BU85" i="3"/>
  <c r="BU82" i="3"/>
  <c r="BW83" i="3" l="1"/>
  <c r="BW21" i="3"/>
  <c r="BW37" i="3" s="1"/>
  <c r="BV82" i="3"/>
  <c r="BV85" i="3"/>
  <c r="BW78" i="3"/>
  <c r="BW81" i="3"/>
  <c r="CP77" i="3"/>
  <c r="CP14" i="3"/>
  <c r="CP53" i="4"/>
  <c r="CP54" i="4" s="1"/>
  <c r="CP78" i="3" l="1"/>
  <c r="CP81" i="3"/>
  <c r="CP82" i="3" s="1"/>
  <c r="CP83" i="3"/>
  <c r="CP21" i="3"/>
  <c r="CP37" i="3" s="1"/>
  <c r="BW82" i="3"/>
  <c r="BW85" i="3"/>
  <c r="CP85" i="3" s="1"/>
  <c r="P1" i="4" l="1"/>
  <c r="H1" i="3"/>
  <c r="CU1" i="2"/>
  <c r="X1" i="3"/>
  <c r="L1" i="4"/>
  <c r="H1" i="4"/>
  <c r="CI1" i="3"/>
  <c r="BH1" i="3"/>
  <c r="AH1" i="3"/>
  <c r="AP1" i="3"/>
  <c r="AR1" i="3"/>
  <c r="Z1" i="3"/>
  <c r="BN1" i="3"/>
  <c r="D1" i="3"/>
  <c r="T1" i="3"/>
  <c r="BJ1" i="3"/>
  <c r="AV1" i="2"/>
  <c r="AP1" i="2"/>
  <c r="L1" i="3"/>
  <c r="AD1" i="3"/>
  <c r="AN1" i="3"/>
  <c r="P1" i="3"/>
  <c r="AX1" i="3"/>
  <c r="CE1" i="3"/>
  <c r="AB1" i="3"/>
  <c r="CY1" i="3"/>
  <c r="J1" i="3"/>
  <c r="AJ1" i="3"/>
  <c r="AZ1" i="3"/>
  <c r="CW1" i="3"/>
  <c r="CM1" i="3"/>
  <c r="BF1" i="3"/>
  <c r="CP1" i="3"/>
  <c r="CG1" i="3"/>
  <c r="BL1" i="3"/>
  <c r="AL1" i="3"/>
  <c r="AF1" i="3"/>
  <c r="X1" i="4"/>
  <c r="CK1" i="3"/>
  <c r="CU1" i="3"/>
  <c r="AT1" i="3"/>
  <c r="V1" i="3"/>
  <c r="F1" i="3"/>
  <c r="BD1" i="3"/>
  <c r="AV1" i="3"/>
  <c r="BB1" i="2"/>
  <c r="Z1" i="2"/>
  <c r="BN1" i="2"/>
  <c r="AT1" i="2"/>
  <c r="BF1" i="2"/>
  <c r="CM1" i="4"/>
  <c r="CK1" i="4"/>
  <c r="AV1" i="4"/>
  <c r="BD1" i="2"/>
  <c r="T1" i="2"/>
  <c r="BB1" i="3"/>
  <c r="BH1" i="4"/>
  <c r="AD1" i="2"/>
  <c r="D1" i="4"/>
  <c r="AB1" i="4"/>
  <c r="CY1" i="2"/>
  <c r="AT1" i="4"/>
  <c r="AD1" i="4"/>
  <c r="L1" i="2"/>
  <c r="AZ1" i="4"/>
  <c r="D1" i="2"/>
  <c r="CE1" i="2"/>
  <c r="X1" i="2"/>
  <c r="AX1" i="4"/>
  <c r="BL1" i="4"/>
  <c r="CW1" i="2"/>
  <c r="CG1" i="4"/>
  <c r="AN1" i="2"/>
  <c r="T1" i="4"/>
  <c r="AL1" i="4"/>
  <c r="AJ1" i="2"/>
  <c r="R1" i="2"/>
  <c r="N1" i="3"/>
  <c r="AR1" i="2"/>
  <c r="CG1" i="2"/>
  <c r="CY1" i="4"/>
  <c r="Z1" i="4"/>
  <c r="CW1" i="4"/>
  <c r="AN1" i="4"/>
  <c r="BL1" i="2"/>
  <c r="BH1" i="2"/>
  <c r="P1" i="2"/>
  <c r="AZ1" i="2"/>
  <c r="N1" i="4"/>
  <c r="CI1" i="2"/>
  <c r="AH1" i="4"/>
  <c r="AB1" i="2"/>
  <c r="BD1" i="4"/>
  <c r="CK1" i="2"/>
  <c r="F1" i="2"/>
  <c r="R1" i="4"/>
  <c r="N1" i="2"/>
  <c r="AF1" i="4"/>
  <c r="AJ1" i="4"/>
  <c r="AP1" i="4"/>
  <c r="BX1" i="4"/>
  <c r="AR1" i="4"/>
  <c r="CB1" i="2"/>
  <c r="BF1" i="4"/>
  <c r="BB1" i="4"/>
  <c r="BJ1" i="2"/>
  <c r="V1" i="4"/>
  <c r="BX1" i="2"/>
  <c r="J1" i="2"/>
  <c r="CP1" i="2"/>
  <c r="AX1" i="2"/>
  <c r="R1" i="3"/>
  <c r="AH1" i="2"/>
  <c r="F1" i="4"/>
  <c r="AF1" i="2"/>
  <c r="AL1" i="2"/>
  <c r="CM1" i="2"/>
  <c r="H1" i="2"/>
  <c r="BZ1" i="2"/>
  <c r="BJ1" i="4"/>
  <c r="V1" i="2"/>
  <c r="J1" i="4"/>
  <c r="BN1" i="4"/>
  <c r="CE1" i="4"/>
  <c r="CU1" i="4"/>
  <c r="CI1" i="4"/>
</calcChain>
</file>

<file path=xl/comments1.xml><?xml version="1.0" encoding="utf-8"?>
<comments xmlns="http://schemas.openxmlformats.org/spreadsheetml/2006/main">
  <authors>
    <author>devgans</author>
    <author>nihalg</author>
    <author>Sanjay Devgan</author>
    <author>kimmic</author>
    <author>hazlett</author>
    <author>josuev</author>
    <author>sergiol</author>
    <author>Aaron Husock</author>
    <author>zachaa</author>
    <author>mattne</author>
    <author>curtain</author>
    <author>Souto, Antonio (Research)</author>
    <author>Matthew Nerlinger</author>
  </authors>
  <commentList>
    <comment ref="AA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GM% up 10 - 30 bps.</t>
        </r>
      </text>
    </comment>
    <comment ref="AB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GM% to 41% - 41.5%.</t>
        </r>
      </text>
    </comment>
    <comment ref="AC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GM% to 39% - 40%.</t>
        </r>
      </text>
    </comment>
    <comment ref="AD2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call : 40-40.5%</t>
        </r>
      </text>
    </comment>
    <comment ref="AE27" authorId="2">
      <text>
        <r>
          <rPr>
            <b/>
            <sz val="8"/>
            <color indexed="81"/>
            <rFont val="Tahoma"/>
            <family val="2"/>
          </rPr>
          <t>Sanjay Devgan:</t>
        </r>
        <r>
          <rPr>
            <sz val="8"/>
            <color indexed="81"/>
            <rFont val="Tahoma"/>
            <family val="2"/>
          </rPr>
          <t xml:space="preserve">
Guided to 40.5% - 41.0%</t>
        </r>
      </text>
    </comment>
    <comment ref="AF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GM% to be 41.5% - 42%</t>
        </r>
      </text>
    </comment>
    <comment ref="AG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GM% to be 41% - 41.5%</t>
        </r>
      </text>
    </comment>
    <comment ref="AH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43%.</t>
        </r>
      </text>
    </comment>
    <comment ref="AI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Gross Margin to be 43.5% - 44%.</t>
        </r>
      </text>
    </comment>
    <comment ref="AJ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GM% to be 44.5%</t>
        </r>
      </text>
    </comment>
    <comment ref="AK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43.8%.</t>
        </r>
      </text>
    </comment>
    <comment ref="AL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44.5% - 45%.</t>
        </r>
      </text>
    </comment>
    <comment ref="AM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GM to be 44.6 - 45%</t>
        </r>
      </text>
    </comment>
    <comment ref="AN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44% - 44.5% gm.</t>
        </r>
      </text>
    </comment>
    <comment ref="AO2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Lower factory utilization in March qtr due to lower revenue.</t>
        </r>
      </text>
    </comment>
    <comment ref="AP27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of 43.5%</t>
        </r>
      </text>
    </comment>
    <comment ref="AQ27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43.0 - 43.5%</t>
        </r>
      </text>
    </comment>
    <comment ref="AR2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GM of 43%</t>
        </r>
      </text>
    </comment>
    <comment ref="AS2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GM of 42.3-42.5%</t>
        </r>
      </text>
    </comment>
    <comment ref="AT2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04/25/13 - g - GM of 43.5-44%</t>
        </r>
      </text>
    </comment>
    <comment ref="AU27" authorId="6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GM 44- 44.5%</t>
        </r>
      </text>
    </comment>
    <comment ref="X37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Z3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slightly north of $57 million.
10q: SBC= $2.436</t>
        </r>
      </text>
    </comment>
    <comment ref="AA3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$58 million.</t>
        </r>
      </text>
    </comment>
    <comment ref="AB3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$59 million.</t>
        </r>
      </text>
    </comment>
    <comment ref="AC3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$49 - $50 million.</t>
        </r>
      </text>
    </comment>
    <comment ref="X48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Up q/q as lose C3Q impact from vacation days</t>
        </r>
      </text>
    </comment>
    <comment ref="Z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slightly north of $57 million.
10q: sbc=$3.025</t>
        </r>
      </text>
    </comment>
    <comment ref="AA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$58 million.</t>
        </r>
      </text>
    </comment>
    <comment ref="AB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$59 million.</t>
        </r>
      </text>
    </comment>
    <comment ref="AC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Total Opex to be $49 - $50 million.</t>
        </r>
      </text>
    </comment>
    <comment ref="AJ57" authorId="8">
      <text>
        <r>
          <rPr>
            <b/>
            <sz val="8"/>
            <color indexed="81"/>
            <rFont val="Tahoma"/>
            <family val="2"/>
          </rPr>
          <t>zachaa:</t>
        </r>
        <r>
          <rPr>
            <sz val="8"/>
            <color indexed="81"/>
            <rFont val="Tahoma"/>
            <family val="2"/>
          </rPr>
          <t xml:space="preserve">
Acquisition related expense and amortization of discount on conv. Debt, and def exec comp</t>
        </r>
      </text>
    </comment>
    <comment ref="AQ62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$77M in Opex</t>
        </r>
      </text>
    </comment>
    <comment ref="AR62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$80m in OpEx</t>
        </r>
      </text>
    </comment>
    <comment ref="AS62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$100m in OpEx</t>
        </r>
      </text>
    </comment>
    <comment ref="AD63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guidance= $49mn</t>
        </r>
      </text>
    </comment>
    <comment ref="AE63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Guided OpEx to $50 million.</t>
        </r>
      </text>
    </comment>
    <comment ref="AF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~$51.5 million.</t>
        </r>
      </text>
    </comment>
    <comment ref="AG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~$52 million.</t>
        </r>
      </text>
    </comment>
    <comment ref="AH63" authorId="9">
      <text>
        <r>
          <rPr>
            <b/>
            <sz val="8"/>
            <color indexed="81"/>
            <rFont val="Tahoma"/>
            <family val="2"/>
          </rPr>
          <t>mattne:</t>
        </r>
        <r>
          <rPr>
            <sz val="8"/>
            <color indexed="81"/>
            <rFont val="Tahoma"/>
            <family val="2"/>
          </rPr>
          <t xml:space="preserve">
opex to be b/w $54 - 55M</t>
        </r>
      </text>
    </comment>
    <comment ref="AI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$54.5 - $56 million.</t>
        </r>
      </text>
    </comment>
    <comment ref="AJ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$57 million.</t>
        </r>
      </text>
    </comment>
    <comment ref="AK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$57.5 - $58 million</t>
        </r>
      </text>
    </comment>
    <comment ref="AL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$60 million.</t>
        </r>
      </text>
    </comment>
    <comment ref="AM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~$70 million.</t>
        </r>
      </text>
    </comment>
    <comment ref="AN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69 million.</t>
        </r>
      </text>
    </comment>
    <comment ref="AO6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Total Opex to be $74 - $75m.  </t>
        </r>
      </text>
    </comment>
    <comment ref="AP63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Opex $76M</t>
        </r>
      </text>
    </comment>
    <comment ref="AU63" authorId="6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Opex arounf $81m</t>
        </r>
      </text>
    </comment>
    <comment ref="AA6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OM% to be ~15%.</t>
        </r>
      </text>
    </comment>
    <comment ref="AB6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OM% to be ~17%.</t>
        </r>
      </text>
    </comment>
    <comment ref="AE69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7/22/09: guide=17%</t>
        </r>
      </text>
    </comment>
    <comment ref="AF6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20% OM - Also noted long-term target is now in the mid-20% range.</t>
        </r>
      </text>
    </comment>
    <comment ref="AH69" authorId="9">
      <text>
        <r>
          <rPr>
            <b/>
            <sz val="8"/>
            <color indexed="81"/>
            <rFont val="Tahoma"/>
            <family val="2"/>
          </rPr>
          <t>mattne:</t>
        </r>
        <r>
          <rPr>
            <sz val="8"/>
            <color indexed="81"/>
            <rFont val="Tahoma"/>
            <family val="2"/>
          </rPr>
          <t xml:space="preserve">
op margin approaching 23%</t>
        </r>
      </text>
    </comment>
    <comment ref="AI6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Operating Margin to be ~25%.</t>
        </r>
      </text>
    </comment>
    <comment ref="AJ6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OM% to be 27 - 28%.</t>
        </r>
      </text>
    </comment>
    <comment ref="AQ73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$100k in expenses</t>
        </r>
      </text>
    </comment>
    <comment ref="AR73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$100k in expenses</t>
        </r>
      </text>
    </comment>
    <comment ref="AS73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$100k in expenses</t>
        </r>
      </text>
    </comment>
    <comment ref="X74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Guide: $200K net expense</t>
        </r>
      </text>
    </comment>
    <comment ref="Y74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Interest expense falls by 580K per q.
Guide: $100K net expense</t>
        </r>
      </text>
    </comment>
    <comment ref="AD74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guide : 0.8</t>
        </r>
      </text>
    </comment>
    <comment ref="AG7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other expenses to be ~700K.</t>
        </r>
      </text>
    </comment>
    <comment ref="AH74" authorId="9">
      <text>
        <r>
          <rPr>
            <b/>
            <sz val="8"/>
            <color indexed="81"/>
            <rFont val="Tahoma"/>
            <family val="2"/>
          </rPr>
          <t>mattne:</t>
        </r>
        <r>
          <rPr>
            <sz val="8"/>
            <color indexed="81"/>
            <rFont val="Tahoma"/>
            <family val="2"/>
          </rPr>
          <t xml:space="preserve">
700K of interest expense</t>
        </r>
      </text>
    </comment>
    <comment ref="AJ7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Interest expense to be $220K</t>
        </r>
      </text>
    </comment>
    <comment ref="AK7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Interest expense to be $300 K.</t>
        </r>
      </text>
    </comment>
    <comment ref="AL7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interest exp of $200 K.</t>
        </r>
      </text>
    </comment>
    <comment ref="AM7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interest exp of $200 K.</t>
        </r>
      </text>
    </comment>
    <comment ref="AP74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Interest Expense 300K</t>
        </r>
      </text>
    </comment>
    <comment ref="B78" authorId="10">
      <text>
        <r>
          <rPr>
            <sz val="8"/>
            <color indexed="81"/>
            <rFont val="Tahoma"/>
            <family val="2"/>
          </rPr>
          <t>Loss (gain) on retirement of convertible subordinated notes + Non-cash interest expense on convertible subordinated notes</t>
        </r>
      </text>
    </comment>
    <comment ref="AD94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call: 3%</t>
        </r>
      </text>
    </comment>
    <comment ref="AE94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7/22/09 call: 3%</t>
        </r>
      </text>
    </comment>
    <comment ref="AF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Taxes to be ~8% for 2010.
</t>
        </r>
      </text>
    </comment>
    <comment ref="AG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Taxes to be ~8% for 2010.
</t>
        </r>
      </text>
    </comment>
    <comment ref="AI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 rate to be 7%.</t>
        </r>
      </text>
    </comment>
    <comment ref="AJ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Per analyst earnings call on 11/4, F2011 tax rate to be 9%.
</t>
        </r>
      </text>
    </comment>
    <comment ref="AK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Cash tax rate to be 8.5% for 2011.</t>
        </r>
      </text>
    </comment>
    <comment ref="AL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7% tax rate for remainder of the year.</t>
        </r>
      </text>
    </comment>
    <comment ref="AM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7% tax rate for remainder of the year.</t>
        </r>
      </text>
    </comment>
    <comment ref="AN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 rate to be 8.5% in Q1 and in all of F2012.</t>
        </r>
      </text>
    </comment>
    <comment ref="AO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 rate to be 8.5% in Q1 and in all of F2012.</t>
        </r>
      </text>
    </comment>
    <comment ref="AP94" authorId="0">
      <text>
        <r>
          <rPr>
            <b/>
            <sz val="8"/>
            <color indexed="81"/>
            <rFont val="Tahoma"/>
            <family val="2"/>
          </rPr>
          <t>Kim:</t>
        </r>
        <r>
          <rPr>
            <sz val="8"/>
            <color indexed="81"/>
            <rFont val="Tahoma"/>
            <family val="2"/>
          </rPr>
          <t xml:space="preserve">
Guide Tax rate to be 7% </t>
        </r>
      </text>
    </comment>
    <comment ref="AQ94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Tax rate to be 8.5% in Q1 and in all of F2012. (Recent earnings changed this to</t>
        </r>
        <r>
          <rPr>
            <b/>
            <sz val="8"/>
            <color indexed="81"/>
            <rFont val="Tahoma"/>
            <family val="2"/>
          </rPr>
          <t xml:space="preserve"> 6.5%</t>
        </r>
        <r>
          <rPr>
            <sz val="8"/>
            <color indexed="81"/>
            <rFont val="Tahoma"/>
            <family val="2"/>
          </rPr>
          <t xml:space="preserve"> in F4Q12E)</t>
        </r>
      </text>
    </comment>
    <comment ref="AR94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- 7.5%</t>
        </r>
      </text>
    </comment>
    <comment ref="AS94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- 7%</t>
        </r>
      </text>
    </comment>
    <comment ref="D98" authorId="11">
      <text>
        <r>
          <rPr>
            <sz val="9"/>
            <color indexed="81"/>
            <rFont val="Tahoma"/>
            <family val="2"/>
          </rPr>
          <t xml:space="preserve">Includes cumulative effect of change in accounting principles - Plug
</t>
        </r>
      </text>
    </comment>
    <comment ref="AD10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call: ~$5mn</t>
        </r>
      </text>
    </comment>
    <comment ref="AE10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7/22/09: guide=6.8</t>
        </r>
      </text>
    </comment>
    <comment ref="X117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Guide: $0.15-0.17</t>
        </r>
      </text>
    </comment>
    <comment ref="Y117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Guide: $0.15</t>
        </r>
      </text>
    </comment>
    <comment ref="Z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 to $0.17.</t>
        </r>
      </text>
    </comment>
    <comment ref="AA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 to $0.20.</t>
        </r>
      </text>
    </comment>
    <comment ref="AB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 to $0.23.
Revised Guide of $0.17.</t>
        </r>
      </text>
    </comment>
    <comment ref="AC11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guidance=$0.10- $0.11</t>
        </r>
      </text>
    </comment>
    <comment ref="AD11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guidance=0.14</t>
        </r>
      </text>
    </comment>
    <comment ref="AE11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7/22/09: guide=0.19</t>
        </r>
      </text>
    </comment>
    <comment ref="AF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$0.25</t>
        </r>
      </text>
    </comment>
    <comment ref="AG117" authorId="12">
      <text>
        <r>
          <rPr>
            <b/>
            <sz val="8"/>
            <color indexed="81"/>
            <rFont val="Tahoma"/>
            <family val="2"/>
          </rPr>
          <t>Matthew Nerlinger:</t>
        </r>
        <r>
          <rPr>
            <sz val="8"/>
            <color indexed="81"/>
            <rFont val="Tahoma"/>
            <family val="2"/>
          </rPr>
          <t xml:space="preserve">
guided to $0.21</t>
        </r>
      </text>
    </comment>
    <comment ref="AH117" authorId="9">
      <text>
        <r>
          <rPr>
            <b/>
            <sz val="8"/>
            <color indexed="81"/>
            <rFont val="Tahoma"/>
            <family val="2"/>
          </rPr>
          <t>mattne:</t>
        </r>
        <r>
          <rPr>
            <sz val="8"/>
            <color indexed="81"/>
            <rFont val="Tahoma"/>
            <family val="2"/>
          </rPr>
          <t xml:space="preserve">
non-gaap EPS of $0.30</t>
        </r>
      </text>
    </comment>
    <comment ref="AI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EPS to be $0.37
Updated Guidance to $0.40</t>
        </r>
      </text>
    </comment>
    <comment ref="AJ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EPS to be $0.44</t>
        </r>
      </text>
    </comment>
    <comment ref="AK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EPS to be $0.38 - $0.40.</t>
        </r>
      </text>
    </comment>
    <comment ref="AL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$0.46</t>
        </r>
      </text>
    </comment>
    <comment ref="AM117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$0.53</t>
        </r>
      </text>
    </comment>
    <comment ref="AN117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Ngaap EPS of $0.50 per CQ3 Press Release.</t>
        </r>
      </text>
    </comment>
    <comment ref="AO117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Management guidance of $0.40</t>
        </r>
      </text>
    </comment>
    <comment ref="AP117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$0.44</t>
        </r>
      </text>
    </comment>
    <comment ref="AQ117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$0.50 to $0.51 per share</t>
        </r>
      </text>
    </comment>
    <comment ref="AR11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$0.54</t>
        </r>
      </text>
    </comment>
    <comment ref="AS11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$0.47</t>
        </r>
      </text>
    </comment>
    <comment ref="AT117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$0.53</t>
        </r>
      </text>
    </comment>
    <comment ref="AU117" authorId="6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EPS $0.62</t>
        </r>
      </text>
    </comment>
    <comment ref="X125" authorId="7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162</t>
        </r>
      </text>
    </comment>
    <comment ref="AC125" authorId="2">
      <text>
        <r>
          <rPr>
            <b/>
            <sz val="8"/>
            <color indexed="81"/>
            <rFont val="Tahoma"/>
            <family val="2"/>
          </rPr>
          <t>Sanjay Devgan:</t>
        </r>
        <r>
          <rPr>
            <sz val="8"/>
            <color indexed="81"/>
            <rFont val="Tahoma"/>
            <family val="2"/>
          </rPr>
          <t xml:space="preserve">
Guided to 166 million shares.</t>
        </r>
      </text>
    </comment>
    <comment ref="AD125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guide: 168mn sh</t>
        </r>
      </text>
    </comment>
    <comment ref="AE125" authorId="2">
      <text>
        <r>
          <rPr>
            <b/>
            <sz val="8"/>
            <color indexed="81"/>
            <rFont val="Tahoma"/>
            <family val="2"/>
          </rPr>
          <t>Sanjay Devgan:</t>
        </r>
        <r>
          <rPr>
            <sz val="8"/>
            <color indexed="81"/>
            <rFont val="Tahoma"/>
            <family val="2"/>
          </rPr>
          <t xml:space="preserve">
Guided to 175 million shares.</t>
        </r>
      </text>
    </comment>
    <comment ref="AF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179 million shares.</t>
        </r>
      </text>
    </comment>
    <comment ref="AG125" authorId="12">
      <text>
        <r>
          <rPr>
            <b/>
            <sz val="8"/>
            <color indexed="81"/>
            <rFont val="Tahoma"/>
            <family val="2"/>
          </rPr>
          <t>Matthew Nerlinger:</t>
        </r>
        <r>
          <rPr>
            <sz val="8"/>
            <color indexed="81"/>
            <rFont val="Tahoma"/>
            <family val="2"/>
          </rPr>
          <t xml:space="preserve">
guided to 182M shares</t>
        </r>
      </text>
    </comment>
    <comment ref="AH125" authorId="9">
      <text>
        <r>
          <rPr>
            <b/>
            <sz val="8"/>
            <color indexed="81"/>
            <rFont val="Tahoma"/>
            <family val="2"/>
          </rPr>
          <t>mattne:</t>
        </r>
        <r>
          <rPr>
            <sz val="8"/>
            <color indexed="81"/>
            <rFont val="Tahoma"/>
            <family val="2"/>
          </rPr>
          <t xml:space="preserve">
forecasting 185M shares</t>
        </r>
      </text>
    </comment>
    <comment ref="AI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186 million.</t>
        </r>
      </text>
    </comment>
    <comment ref="AK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Total Sharecount to be 190 million.</t>
        </r>
      </text>
    </comment>
    <comment ref="AL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192 million shares.</t>
        </r>
      </text>
    </comment>
    <comment ref="AM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193 million shares.</t>
        </r>
      </text>
    </comment>
    <comment ref="AN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 count to be 191 million.</t>
        </r>
      </text>
    </comment>
    <comment ref="AO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189 million.</t>
        </r>
      </text>
    </comment>
    <comment ref="AP125" authorId="3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shares 192M</t>
        </r>
      </text>
    </comment>
    <comment ref="AQ125" authorId="4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193.5M shares</t>
        </r>
      </text>
    </comment>
    <comment ref="AR125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11/01/12 - g - 195m shares</t>
        </r>
      </text>
    </comment>
    <comment ref="AS125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- 193.5m shares</t>
        </r>
      </text>
    </comment>
    <comment ref="AT125" authorId="5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01/30/13 - g - 192.5m shares</t>
        </r>
      </text>
    </comment>
    <comment ref="AU125" authorId="6">
      <text>
        <r>
          <rPr>
            <b/>
            <sz val="8"/>
            <color indexed="81"/>
            <rFont val="Tahoma"/>
            <family val="2"/>
          </rPr>
          <t>sergiol:</t>
        </r>
        <r>
          <rPr>
            <sz val="8"/>
            <color indexed="81"/>
            <rFont val="Tahoma"/>
            <family val="2"/>
          </rPr>
          <t xml:space="preserve">
Count share 190m </t>
        </r>
      </text>
    </comment>
  </commentList>
</comments>
</file>

<file path=xl/comments2.xml><?xml version="1.0" encoding="utf-8"?>
<comments xmlns="http://schemas.openxmlformats.org/spreadsheetml/2006/main">
  <authors>
    <author>Souto, Antonio (Research)</author>
    <author>zachaa</author>
  </authors>
  <commentList>
    <comment ref="D17" authorId="0">
      <text>
        <r>
          <rPr>
            <b/>
            <sz val="9"/>
            <color indexed="81"/>
            <rFont val="Tahoma"/>
            <family val="2"/>
          </rPr>
          <t>Souto, Antonio (Research):</t>
        </r>
        <r>
          <rPr>
            <sz val="9"/>
            <color indexed="81"/>
            <rFont val="Tahoma"/>
            <family val="2"/>
          </rPr>
          <t xml:space="preserve">
Includes Intangible assets</t>
        </r>
      </text>
    </comment>
    <comment ref="E17" authorId="0">
      <text>
        <r>
          <rPr>
            <b/>
            <sz val="9"/>
            <color indexed="81"/>
            <rFont val="Tahoma"/>
            <family val="2"/>
          </rPr>
          <t>Souto, Antonio (Research):</t>
        </r>
        <r>
          <rPr>
            <sz val="9"/>
            <color indexed="81"/>
            <rFont val="Tahoma"/>
            <family val="2"/>
          </rPr>
          <t xml:space="preserve">
Includes Intangible assets</t>
        </r>
      </text>
    </comment>
    <comment ref="B57" authorId="1">
      <text>
        <r>
          <rPr>
            <b/>
            <sz val="8"/>
            <color indexed="81"/>
            <rFont val="Tahoma"/>
            <family val="2"/>
          </rPr>
          <t>zachaa:</t>
        </r>
        <r>
          <rPr>
            <sz val="8"/>
            <color indexed="81"/>
            <rFont val="Tahoma"/>
            <family val="2"/>
          </rPr>
          <t xml:space="preserve">
During earnings, paste value first difference in row 72 (check) (from the next quarter) into this row (current quarter). </t>
        </r>
      </text>
    </comment>
  </commentList>
</comments>
</file>

<file path=xl/comments3.xml><?xml version="1.0" encoding="utf-8"?>
<comments xmlns="http://schemas.openxmlformats.org/spreadsheetml/2006/main">
  <authors>
    <author>curtain</author>
    <author>zachaa</author>
  </authors>
  <commentList>
    <comment ref="X20" authorId="0">
      <text>
        <r>
          <rPr>
            <sz val="8"/>
            <color indexed="81"/>
            <rFont val="Tahoma"/>
            <family val="2"/>
          </rPr>
          <t>Change in lieu of income tax expense</t>
        </r>
      </text>
    </comment>
    <comment ref="Y20" authorId="0">
      <text>
        <r>
          <rPr>
            <sz val="8"/>
            <color indexed="81"/>
            <rFont val="Tahoma"/>
            <family val="2"/>
          </rPr>
          <t>Change in lieu of income tax expense</t>
        </r>
      </text>
    </comment>
    <comment ref="Z20" authorId="0">
      <text>
        <r>
          <rPr>
            <sz val="8"/>
            <color indexed="81"/>
            <rFont val="Tahoma"/>
            <family val="2"/>
          </rPr>
          <t>Change in lieu of income tax expense</t>
        </r>
      </text>
    </comment>
    <comment ref="AA20" authorId="0">
      <text>
        <r>
          <rPr>
            <sz val="8"/>
            <color indexed="81"/>
            <rFont val="Tahoma"/>
            <family val="2"/>
          </rPr>
          <t>Change in lieu of income tax expense + Non-cash restructuring expense</t>
        </r>
      </text>
    </comment>
    <comment ref="AC20" authorId="0">
      <text>
        <r>
          <rPr>
            <sz val="8"/>
            <color indexed="81"/>
            <rFont val="Tahoma"/>
            <family val="2"/>
          </rPr>
          <t>Non-cash restructuring expense + Inventory write-downs + Asset impairments</t>
        </r>
      </text>
    </comment>
    <comment ref="AD20" authorId="0">
      <text>
        <r>
          <rPr>
            <sz val="8"/>
            <color indexed="81"/>
            <rFont val="Tahoma"/>
            <family val="2"/>
          </rPr>
          <t>Non-cash restructuring expense + Inventory write-downs + Asset impairments</t>
        </r>
      </text>
    </comment>
    <comment ref="AE20" authorId="0">
      <text>
        <r>
          <rPr>
            <sz val="8"/>
            <color indexed="81"/>
            <rFont val="Tahoma"/>
            <family val="2"/>
          </rPr>
          <t>Non-cash restructuring expense + Inventory write-downs + Asset impairments</t>
        </r>
      </text>
    </comment>
    <comment ref="AE49" authorId="0">
      <text>
        <r>
          <rPr>
            <sz val="8"/>
            <color indexed="81"/>
            <rFont val="Tahoma"/>
            <family val="2"/>
          </rPr>
          <t>Adjustment due to the adoption of ASC 470-20 accounting principle, effective as of October 3, 2009</t>
        </r>
      </text>
    </comment>
    <comment ref="B59" authorId="1">
      <text>
        <r>
          <rPr>
            <b/>
            <sz val="8"/>
            <color indexed="81"/>
            <rFont val="Tahoma"/>
            <family val="2"/>
          </rPr>
          <t>zachaa:</t>
        </r>
        <r>
          <rPr>
            <sz val="8"/>
            <color indexed="81"/>
            <rFont val="Tahoma"/>
            <family val="2"/>
          </rPr>
          <t xml:space="preserve">
During earnings, paste value first incorrect value from line 69 (check).  When updating from Q, delete.  Have to multiply by -1</t>
        </r>
      </text>
    </comment>
  </commentList>
</comments>
</file>

<file path=xl/comments4.xml><?xml version="1.0" encoding="utf-8"?>
<comments xmlns="http://schemas.openxmlformats.org/spreadsheetml/2006/main">
  <authors>
    <author>Aaron Husock</author>
    <author>nihalg</author>
    <author>Sanjay Devgan</author>
    <author>Matthew Nerlinger</author>
    <author>devgans</author>
    <author>DJF</author>
    <author>Paniagua, Marco (Research)</author>
  </authors>
  <commentList>
    <comment ref="U10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MOT W series shift to FEMs helps as does MTK share gains and NOK ramp</t>
        </r>
      </text>
    </comment>
    <comment ref="V10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FSL biz starts to ramp end C2Q.  MTK share still ramping</t>
        </r>
      </text>
    </comment>
    <comment ref="Y10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MOT W series shift to FEMs helps as does MTK share gains and NOK ramp</t>
        </r>
      </text>
    </comment>
    <comment ref="Z10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FSL biz starts to ramp end C2Q.  MTK share still ramping</t>
        </r>
      </text>
    </comment>
    <comment ref="W22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in Q3 and Q2</t>
        </r>
      </text>
    </comment>
    <comment ref="AA22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in Q3 and Q2</t>
        </r>
      </text>
    </comment>
    <comment ref="AB22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: decq (earnings call)</t>
        </r>
      </text>
    </comment>
    <comment ref="AC22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call: 20-25% range</t>
        </r>
      </text>
    </comment>
    <comment ref="AD22" authorId="2">
      <text>
        <r>
          <rPr>
            <b/>
            <sz val="8"/>
            <color indexed="81"/>
            <rFont val="Tahoma"/>
            <family val="2"/>
          </rPr>
          <t>Sanjay Devgan:</t>
        </r>
        <r>
          <rPr>
            <sz val="8"/>
            <color indexed="81"/>
            <rFont val="Tahoma"/>
            <family val="2"/>
          </rPr>
          <t xml:space="preserve">
Linear was 20% - 25%.</t>
        </r>
      </text>
    </comment>
    <comment ref="AE22" authorId="3">
      <text>
        <r>
          <rPr>
            <b/>
            <sz val="8"/>
            <color indexed="81"/>
            <rFont val="Tahoma"/>
            <family val="2"/>
          </rPr>
          <t>Matthew Nerlinger:</t>
        </r>
        <r>
          <rPr>
            <sz val="8"/>
            <color indexed="81"/>
            <rFont val="Tahoma"/>
            <family val="2"/>
          </rPr>
          <t xml:space="preserve">
Linear was 20%</t>
        </r>
      </text>
    </comment>
    <comment ref="AH22" authorId="4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Linear products in the 20% - 25% range
Smart metering products ~20% of linear products.</t>
        </r>
      </text>
    </comment>
    <comment ref="U23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Y23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AL23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M23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N23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O23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P23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W2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in Q3 and Q2</t>
        </r>
      </text>
    </comment>
    <comment ref="AA2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in Q3 and Q2</t>
        </r>
      </text>
    </comment>
    <comment ref="AB2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23% : decq (earnings call)</t>
        </r>
      </text>
    </comment>
    <comment ref="AC27" authorId="1">
      <text>
        <r>
          <rPr>
            <b/>
            <sz val="8"/>
            <color indexed="81"/>
            <rFont val="Tahoma"/>
            <family val="2"/>
          </rPr>
          <t>nihalg:</t>
        </r>
        <r>
          <rPr>
            <sz val="8"/>
            <color indexed="81"/>
            <rFont val="Tahoma"/>
            <family val="2"/>
          </rPr>
          <t xml:space="preserve">
4/23/09 call: 20-25% range</t>
        </r>
      </text>
    </comment>
    <comment ref="AD27" authorId="2">
      <text>
        <r>
          <rPr>
            <b/>
            <sz val="8"/>
            <color indexed="81"/>
            <rFont val="Tahoma"/>
            <family val="2"/>
          </rPr>
          <t>Sanjay Devgan:</t>
        </r>
        <r>
          <rPr>
            <sz val="8"/>
            <color indexed="81"/>
            <rFont val="Tahoma"/>
            <family val="2"/>
          </rPr>
          <t xml:space="preserve">
Linear was 20% - 25%.</t>
        </r>
      </text>
    </comment>
    <comment ref="AE27" authorId="3">
      <text>
        <r>
          <rPr>
            <b/>
            <sz val="8"/>
            <color indexed="81"/>
            <rFont val="Tahoma"/>
            <family val="2"/>
          </rPr>
          <t>Matthew Nerlinger:</t>
        </r>
        <r>
          <rPr>
            <sz val="8"/>
            <color indexed="81"/>
            <rFont val="Tahoma"/>
            <family val="2"/>
          </rPr>
          <t xml:space="preserve">
Linear was 20%</t>
        </r>
      </text>
    </comment>
    <comment ref="AH27" authorId="4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Linear products in the 20% - 25% range
Smart metering products ~20% of linear products.</t>
        </r>
      </text>
    </comment>
    <comment ref="U28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Y28" authorId="0">
      <text>
        <r>
          <rPr>
            <b/>
            <sz val="8"/>
            <color indexed="81"/>
            <rFont val="Tahoma"/>
            <family val="2"/>
          </rPr>
          <t>Aaron Husock: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AL28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M28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N28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O28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AP28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LLTC analog revenue growth</t>
        </r>
      </text>
    </comment>
    <comment ref="BC46" authorId="6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Reduced form 59% to 58% to add 100%
</t>
        </r>
      </text>
    </comment>
    <comment ref="BC51" authorId="6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Reduced form 59% to 58% to add 100%
</t>
        </r>
      </text>
    </comment>
    <comment ref="B91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Apple</t>
        </r>
      </text>
    </comment>
    <comment ref="CK93" authorId="6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lower than 10%. Not disclosed</t>
        </r>
      </text>
    </comment>
    <comment ref="B99" authorId="5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Apple</t>
        </r>
      </text>
    </comment>
  </commentList>
</comments>
</file>

<file path=xl/comments5.xml><?xml version="1.0" encoding="utf-8"?>
<comments xmlns="http://schemas.openxmlformats.org/spreadsheetml/2006/main">
  <authors>
    <author>kimmic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_xFFFF_１亲B坓卋䙞彅卅䥔䅍䕔✨䅓䕌❓✬䕍乁Ⱗ儧䅕呒剅奌剟䱏❌✬〲ㄱ㈯❃〬Ⱜ✬⤧_x0018_＀＀_x0018_＀＀_x0008_＀＀_x0001_＀＀_x0001_＀＀㌳㌳䄳䁶_xFFFF_Ｄ亲@坓卋䙞彅卅䥔䅍䕔✨偅❓✬䕍乁Ⱗ儧䅕呒剅奌剟䱏❌✬〲ㄱ㐯❃〬Ⱜ✬⤧_x0018_＀＀_x0018_＀＀_x0008_＀＀_x0001_＀＀_x0001_＀＀嘠쬤㿠⬚䴒_x001D_坓卋偞偟䥒䕃䅟䝖㐨㐰ㄵ㐬㔰㌴착_x0018_＀＀_x0018_＀＀_x0008_＀＀_x0001_＀＀_x0001_＀＀䯇褷䀷_xFFFF_１亲@坓卋䙞彅卅䥔䅍䕔✨偅❓✬䕍乁Ⱗ儧䅕呒剅奌剟䱏❌✬〲ㄱ㈯❃〬Ⱜ✬⤧_x0018_＀＀_x0018_＀＀_x0008_＀＀_x0001_＀＀_x0001_＀＀轜尨㿟ⴱ䳵_x0013_䙒䑍偞偟䥒䕃䅟䝖Ⱘ착_x0018_＀＀_x0018_＀＀_x0008_＀＀_x0001_＀＀_x0001_＀＀ꏗ㵰휊䀜䑼䴷B坓卋䙞彅卅䥔䅍䕔✨䅓䕌❓✬䕍乁Ⱗ儧䅕呒剅奌剟䱏❌✬〲〱㐯❃〬Ⱜ✬⤧_x0018_＀＀_x0018_＀＀_x0008_＀＀_x0001_＀＀_x0001_＀＀䂸_xDDC7_䁴_xFFFF_Ｄ亲B坓卋䙞彅卅䥔䅍䕔✨䅓䕌❓✬䕍乁Ⱗ儧䅕呒剅奌剟䱏❌✬〲ㄱ㌯❃〬Ⱜ✬⤧_x0018_＀＀_x0018_＀＀_x0008_＀＀_x0001_＀＀_x0001_＀＀අ꽏ᆔ䁹녲䶵B坓卋䙞彅卅䥔䅍䕔✨䅓䕌❓✬䕍乁Ⱗ儧䅕呒剅奌剟䱏❌✬〲ㄱㄯ❃〬Ⱜ✬⤧_x0018_＀＀_x0018_＀＀_x0008_＀＀_x0001_＀＀_x0001_＀＀錋쪩䁳귔严_x001D_坓卋唭幓彐䕂䅔䱟䍏䑉⡘㌭䵁〬착_x0018_＀＀_x0018_＀＀_x0008_＀＀_x0001_＀＀_x0001_＀＀啤鮄㿼⾤䳵_x001D_䙒䑍偞偟䥒䕃䅟䝖㐨㌰㤵㐬㐰ㄵ착_x0018_＀＀_x0018_＀＀_x0008_＀＀_x0001_＀＀_x0001_＀＀Ჟ蠅䀒嬺䳵_x001D_坓卋偞偟䥒䕃䅟䝖㐨㌰㤵㐬㐰ㄵ착_x0018_＀＀_x0018_＀＀_x0008_＀＀_x0001_＀＀_x0001_＀＀䧥㗒㞓䀲䑼䴷@坓卋䙞彅卅䥔䅍䕔✨偅❓✬䕍乁Ⱗ儧䅕呒剅奌剟䱏❌✬〲〱㐯❃〬Ⱜ✬⤧_x0018_＀＀_x0018_＀＀_x0008_＀＀_x0001_＀＀_x0001_＀＀롒蔞凫㿜_xFFFF_Ｄ亲@坓卋䙞彅卅䥔䅍䕔✨偅❓✬䕍乁Ⱗ儧䅕呒剅奌剟䱏❌✬〲ㄱ㌯❃〬Ⱜ✬⤧_x0018_＀＀_x0018_＀＀_x0008_＀＀_x0001_＀＀_x0001_＀＀⣶轜㿠⽖䳵_x001D_䙒䑍偞偟䥒䕃䅟䝖㐨㈰㠶㐬㌰㤵착_x0018_＀＀_x0018_＀＀_x0008_＀＀_x0001_＀＀_x0001_＀＀䔰㒹䀓녲䶵@坓卋䙞彅卅䥔䅍䕔✨偅❓✬䕍乁Ⱗ儧䅕呒剅奌剟䱏❌✬〲ㄱㄯ❃〬Ⱜ✬⤧_x0018_＀＀_x0018_＀＀_x0008_＀＀_x0001_＀＀_x0001_＀＀⣶轜㿘䳒_x0014_坓卋䙞彇剐䍉⡅丧坏⤧_x0018_＀＀_x0018_＀＀_x0008_＀＀_x0001_＀＀_x0001_＀＀긔鑺䀷⾶䳵_x001D_坓卋偞偟䥒䕃䅟䝖㐨㈰㠶㐬㌰㤵착_x0018_＀＀_x0018_＀＀_x0008_＀＀_x0001_＀＀_x0001_＀＀唞၍ཱུ䀰_xFFFF_Ｄ亲B坓卋䙞彅卅䥔䅍䕔✨䅓䕌❓✬䕍乁Ⱗ儧䅕呒剅奌剟䱏❌✬〲ㄱ㐯❃〬Ⱜ✬⤧_x0018_＀＀_x0018_＀＀_x0008_＀＀_x0001_＀＀_x0001_＀＀딋禦䁹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842</t>
        </r>
      </text>
    </comment>
  </commentList>
</comments>
</file>

<file path=xl/sharedStrings.xml><?xml version="1.0" encoding="utf-8"?>
<sst xmlns="http://schemas.openxmlformats.org/spreadsheetml/2006/main" count="1120" uniqueCount="898">
  <si>
    <t>Company</t>
  </si>
  <si>
    <t>F4Q12A</t>
  </si>
  <si>
    <t>F1Q13A</t>
  </si>
  <si>
    <t>Other non GAAP OpEx</t>
  </si>
  <si>
    <t>Percentage of Total Revenues</t>
  </si>
  <si>
    <t>Sequential Change</t>
  </si>
  <si>
    <t>Total Revenues</t>
  </si>
  <si>
    <t>Extraordinary</t>
  </si>
  <si>
    <t>Total Revenues MW</t>
  </si>
  <si>
    <t>Y-o-Y Change</t>
  </si>
  <si>
    <t>COGS - GAAP</t>
  </si>
  <si>
    <t>SBC</t>
  </si>
  <si>
    <t>Discontinued operations</t>
  </si>
  <si>
    <t>COGS - non GAAP</t>
  </si>
  <si>
    <t>COGS - MW</t>
  </si>
  <si>
    <t>Gross Margin - GAAP</t>
  </si>
  <si>
    <t>Gross Margin GAAP %</t>
  </si>
  <si>
    <t>Gross Margin - non GAAP</t>
  </si>
  <si>
    <t>Gross Margin MW%</t>
  </si>
  <si>
    <t>Gross Margin - MW</t>
  </si>
  <si>
    <t>R&amp;D - GAAP</t>
  </si>
  <si>
    <t>R&amp;D - non GAAP</t>
  </si>
  <si>
    <t>R&amp;D - MW</t>
  </si>
  <si>
    <t>SG&amp;A - GAAP</t>
  </si>
  <si>
    <t>SG&amp;A - non GAAP</t>
  </si>
  <si>
    <t>SG&amp;A - MW</t>
  </si>
  <si>
    <t>Amortization of Purchased Intangible Assets</t>
  </si>
  <si>
    <t>Restructuring Charges (Recoveries), net</t>
  </si>
  <si>
    <t>Operating Expenses - GAAP</t>
  </si>
  <si>
    <t>Operating Expenses - non GAAP</t>
  </si>
  <si>
    <t>Operating Expenses - MW</t>
  </si>
  <si>
    <t>Operating Income - GAAP</t>
  </si>
  <si>
    <t>Operating Income - non GAAP</t>
  </si>
  <si>
    <t>Operating Income - MW</t>
  </si>
  <si>
    <t>Interest Income (expense), net</t>
  </si>
  <si>
    <t>Other Income, net</t>
  </si>
  <si>
    <t>PBT - GAAP</t>
  </si>
  <si>
    <t>PBT Margin GAAP %</t>
  </si>
  <si>
    <t>PBT - non GAAP</t>
  </si>
  <si>
    <t>PBT MW Margin %</t>
  </si>
  <si>
    <t>PBT - MW</t>
  </si>
  <si>
    <t>Effective Tax rate GAAP %</t>
  </si>
  <si>
    <t>Income Tax Expense (Benefit) - non GAAP</t>
  </si>
  <si>
    <t>Income Tax Expense (Benefit) - MW</t>
  </si>
  <si>
    <t>Extraordinary, net of tax</t>
  </si>
  <si>
    <t>Discontinued Operations - non GAAP</t>
  </si>
  <si>
    <t>SBC, net of tax</t>
  </si>
  <si>
    <t>Income (loss) from Discontinued Operations</t>
  </si>
  <si>
    <t>Total GAAP to non GAAP Adjustments</t>
  </si>
  <si>
    <t>Income (loss) from Discontinued Operations - non GAAP</t>
  </si>
  <si>
    <t>EPS - GAAP (Cont Ops)</t>
  </si>
  <si>
    <t>EPS - MW (Cont Ops)</t>
  </si>
  <si>
    <t>EPS - non GAAP (Cont Ops)</t>
  </si>
  <si>
    <t>Average Basic Shares</t>
  </si>
  <si>
    <t>Average Basic Shares Non-GAAP</t>
  </si>
  <si>
    <t>Average Diluted Shares</t>
  </si>
  <si>
    <t>Average Diluted Shares Non-GAAP</t>
  </si>
  <si>
    <t>Dilution Ratio</t>
  </si>
  <si>
    <t>Period-end shares</t>
  </si>
  <si>
    <t>Dividends declared Per Share</t>
  </si>
  <si>
    <t>Price per share</t>
  </si>
  <si>
    <t>Cost of equity</t>
  </si>
  <si>
    <t>Statutory tax (%)</t>
  </si>
  <si>
    <t>Operating expenses</t>
  </si>
  <si>
    <t>Total costs</t>
  </si>
  <si>
    <t>Actual/Estimate Toggle</t>
  </si>
  <si>
    <t>Fiscal Year</t>
  </si>
  <si>
    <t>Fiscal Quarter</t>
  </si>
  <si>
    <t>Calendar Year</t>
  </si>
  <si>
    <t>Calendar Quarter</t>
  </si>
  <si>
    <t>Skyworks Solutions, Inc.</t>
  </si>
  <si>
    <t>Skyworks Solutions Income Statement</t>
  </si>
  <si>
    <t>USD</t>
  </si>
  <si>
    <t>SWKS.O</t>
  </si>
  <si>
    <t>2008-Q1</t>
  </si>
  <si>
    <t>2008-Q2</t>
  </si>
  <si>
    <t>2008-Q3</t>
  </si>
  <si>
    <t>2008-Q4</t>
  </si>
  <si>
    <t>2008-FY</t>
  </si>
  <si>
    <t>2009-Q1</t>
  </si>
  <si>
    <t>2009-Q2</t>
  </si>
  <si>
    <t>2009-Q3</t>
  </si>
  <si>
    <t>2009-Q4</t>
  </si>
  <si>
    <t>2009-FY</t>
  </si>
  <si>
    <t>2010-Q1</t>
  </si>
  <si>
    <t>2010-Q2</t>
  </si>
  <si>
    <t>2010-Q3</t>
  </si>
  <si>
    <t>2010-Q4</t>
  </si>
  <si>
    <t>E</t>
  </si>
  <si>
    <t>2010-FY</t>
  </si>
  <si>
    <t>2011-Q1</t>
  </si>
  <si>
    <t>2011-Q2</t>
  </si>
  <si>
    <t>2011-Q3</t>
  </si>
  <si>
    <t>2011-Q4</t>
  </si>
  <si>
    <t>2011-FY</t>
  </si>
  <si>
    <t>2012-Q1</t>
  </si>
  <si>
    <t>2012-Q2</t>
  </si>
  <si>
    <t>2012-Q3</t>
  </si>
  <si>
    <t>2012-Q4</t>
  </si>
  <si>
    <t>2012-FY</t>
  </si>
  <si>
    <t>2013-Q1</t>
  </si>
  <si>
    <t>2013-Q2</t>
  </si>
  <si>
    <t>2013-Q3</t>
  </si>
  <si>
    <t>2013-Q4</t>
  </si>
  <si>
    <t>2013-FY</t>
  </si>
  <si>
    <t>2014-Q1</t>
  </si>
  <si>
    <t>2014-Q2</t>
  </si>
  <si>
    <t>2014-Q3</t>
  </si>
  <si>
    <t>2014-Q4</t>
  </si>
  <si>
    <t>2014-FY</t>
  </si>
  <si>
    <t>2015-FY</t>
  </si>
  <si>
    <t>2016-FY</t>
  </si>
  <si>
    <t>2017-FY</t>
  </si>
  <si>
    <t>2018-FY</t>
  </si>
  <si>
    <t>2019-FY</t>
  </si>
  <si>
    <t>($ in millions; fiscal year ends in September)</t>
  </si>
  <si>
    <t>(Loss) gain on early retirement of convertible debt</t>
  </si>
  <si>
    <t>Assets</t>
  </si>
  <si>
    <t>Cash and cash equivalents</t>
  </si>
  <si>
    <t>Accounts receivable, net</t>
  </si>
  <si>
    <t>Inventories</t>
  </si>
  <si>
    <t>Deferred tax assets</t>
  </si>
  <si>
    <t>Other current assets</t>
  </si>
  <si>
    <t>Total Current Assets</t>
  </si>
  <si>
    <t>Goodwill</t>
  </si>
  <si>
    <t>Other assets</t>
  </si>
  <si>
    <t>Total Assets</t>
  </si>
  <si>
    <t>Liabilities &amp; Shareholders' Equity</t>
  </si>
  <si>
    <t>Short-term debt</t>
  </si>
  <si>
    <t>Accounts payable</t>
  </si>
  <si>
    <t>Other accrued liabilities</t>
  </si>
  <si>
    <t>Total Current Liabilities</t>
  </si>
  <si>
    <t>Long-term debt</t>
  </si>
  <si>
    <t>Shareholders'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</si>
  <si>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</si>
  <si>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</si>
  <si>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</si>
  <si>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</si>
  <si>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</si>
  <si>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</si>
  <si>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</si>
  <si>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Deferred income % of annualized Revenues</t>
  </si>
  <si>
    <t>Other current assets % of operating assets</t>
  </si>
  <si>
    <t>Other Assets excl intangibles % of Operating Assets</t>
  </si>
  <si>
    <t>Revenues</t>
  </si>
  <si>
    <t>Cost of Goods sold</t>
  </si>
  <si>
    <t>Operating assets excluding other assets</t>
  </si>
  <si>
    <t>Stockholders Equity</t>
  </si>
  <si>
    <t>Preferred stock</t>
  </si>
  <si>
    <t>Common stock and capital</t>
  </si>
  <si>
    <t>Additional paid-in capital</t>
  </si>
  <si>
    <t>Common stock held in treasury</t>
  </si>
  <si>
    <t>Total share capital</t>
  </si>
  <si>
    <t>Dividends</t>
  </si>
  <si>
    <t>Retained earnings</t>
  </si>
  <si>
    <t>Deferred share-based compensation</t>
  </si>
  <si>
    <t>Accumulated other comprehensive income (loss)</t>
  </si>
  <si>
    <t>vs. Balance Sheet</t>
  </si>
  <si>
    <t>Balance Sheet Metrics</t>
  </si>
  <si>
    <t>Book value per share</t>
  </si>
  <si>
    <t>Tangible book value</t>
  </si>
  <si>
    <t>Tangible book value per share</t>
  </si>
  <si>
    <t>Total Cash</t>
  </si>
  <si>
    <t>Total Cash per share</t>
  </si>
  <si>
    <t>Net working capital</t>
  </si>
  <si>
    <t>MODELWARE</t>
  </si>
  <si>
    <t>Unrecorded goodwill from poolings, write-offs, and cumulative amortization</t>
  </si>
  <si>
    <t>Change in Share Capital</t>
  </si>
  <si>
    <t>Skyworks Solutions Balance Sheet</t>
  </si>
  <si>
    <t>Restricted cash</t>
  </si>
  <si>
    <t>Intangible assets, net</t>
  </si>
  <si>
    <t>Property, plant and equipment, net</t>
  </si>
  <si>
    <t>Accrued compensation and benefits</t>
  </si>
  <si>
    <t>Other long-term liabilities</t>
  </si>
  <si>
    <t>Short-term investments</t>
  </si>
  <si>
    <t>Cash flows provided by (used for) operating activities:</t>
  </si>
  <si>
    <t>Net income</t>
  </si>
  <si>
    <t>Adjustments to reconcile net income to net cash provided by operating activities:</t>
  </si>
  <si>
    <t>Changes in operating assets and liabilities:</t>
  </si>
  <si>
    <t>Net cash provided by operating activities</t>
  </si>
  <si>
    <t>Cash flows from investing activities:</t>
  </si>
  <si>
    <t>Net cash used for investing activities</t>
  </si>
  <si>
    <t>Cash flows from financing activities:</t>
  </si>
  <si>
    <t>Repurchase of common stock</t>
  </si>
  <si>
    <t>Net cash used for financing activities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</si>
  <si>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</si>
  <si>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</si>
  <si>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</si>
  <si>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</si>
  <si>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</si>
  <si>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</si>
  <si>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Gain on sale of assets</t>
  </si>
  <si>
    <t>Gross PP&amp;E</t>
  </si>
  <si>
    <t>Less accumulated depreciation and amortization</t>
  </si>
  <si>
    <t>Net PP&amp;E</t>
  </si>
  <si>
    <t>Depreciation Schedule</t>
  </si>
  <si>
    <t>Percentage of Gross PP&amp;E</t>
  </si>
  <si>
    <t>vs. Cash Flow Statement</t>
  </si>
  <si>
    <t>Cash Flow Statement Metrics</t>
  </si>
  <si>
    <t>Free Cash Flow</t>
  </si>
  <si>
    <t xml:space="preserve">Adjusted FCF </t>
  </si>
  <si>
    <t>Skyworks Solutions Statement of Cash Flows</t>
  </si>
  <si>
    <t>Share-based compensation expense</t>
  </si>
  <si>
    <t>Depreciation</t>
  </si>
  <si>
    <t>Amortization of intangible assets</t>
  </si>
  <si>
    <t>Amortization of deferred financing costs</t>
  </si>
  <si>
    <t>Amortization of discount on convertible debt</t>
  </si>
  <si>
    <t>Contribution of common shares to savings and retirement plans</t>
  </si>
  <si>
    <t>Deferred income taxes</t>
  </si>
  <si>
    <t>Loss on disposals of assets</t>
  </si>
  <si>
    <t>Allowances for accounts receivable</t>
  </si>
  <si>
    <t>Receivables</t>
  </si>
  <si>
    <t>Other current and long-term assets</t>
  </si>
  <si>
    <t>Other current and long-term liabilities</t>
  </si>
  <si>
    <t>Capital expenditures</t>
  </si>
  <si>
    <t>Payments for acquisitions</t>
  </si>
  <si>
    <t>Retirement of 2007 Convertible Notes</t>
  </si>
  <si>
    <t>Reacquisition of equity instruments</t>
  </si>
  <si>
    <t>Change in restricted cash</t>
  </si>
  <si>
    <t>Net proceeds from exercise of stock options</t>
  </si>
  <si>
    <t>Sale of investments</t>
  </si>
  <si>
    <t>Purchase of investments</t>
  </si>
  <si>
    <t>Proceeds from 2007 Convertible Notes</t>
  </si>
  <si>
    <t>ND</t>
  </si>
  <si>
    <t>-</t>
  </si>
  <si>
    <t>Currency</t>
  </si>
  <si>
    <t>2007-FY</t>
  </si>
  <si>
    <t>Current Stock Price</t>
  </si>
  <si>
    <t>Count</t>
  </si>
  <si>
    <t>SWKS.O,mscalc:targetPrice,,,,USD</t>
  </si>
  <si>
    <t>SWKS.O,mscalc:closePriceCurrencyCalc</t>
  </si>
  <si>
    <t>SWKS.O,mscalc:sedolCodeCalc</t>
  </si>
  <si>
    <t>Revenue</t>
  </si>
  <si>
    <t>Gross Margin</t>
  </si>
  <si>
    <t>Gross Margin non GAAP%</t>
  </si>
  <si>
    <t>Total Debt</t>
  </si>
  <si>
    <t>This sheet contains Factset binary data for use with this workbook's =FDS codes.  Modifying the worksheet's contents may damage the workbook's =FDS functionality.</t>
  </si>
  <si>
    <t>Percent of Revenue</t>
  </si>
  <si>
    <t>Other non GAAP expenses</t>
  </si>
  <si>
    <t>Other OpEx - GAAP</t>
  </si>
  <si>
    <t>Other OpEx - non GAAP</t>
  </si>
  <si>
    <t>Other OpEx - MW</t>
  </si>
  <si>
    <t>Operating Margin - GAAP</t>
  </si>
  <si>
    <t>Operating Margin - non GAAP</t>
  </si>
  <si>
    <t>Operating Margin - MW</t>
  </si>
  <si>
    <t>Other interest income 1x</t>
  </si>
  <si>
    <t>Total Interest Income and Other Income - GAAP</t>
  </si>
  <si>
    <t>Total Interest Income and Other Income - non GAAP</t>
  </si>
  <si>
    <t>Total Interest Income and Other Income - MW</t>
  </si>
  <si>
    <t>Net Income, Cont. Ops. - GAAP</t>
  </si>
  <si>
    <t>Net Income, Cont. Ops. - non GAAP</t>
  </si>
  <si>
    <t>Net Income Margin - non GAAP</t>
  </si>
  <si>
    <t>Net Income, Cont. Ops. - MW</t>
  </si>
  <si>
    <t>Net Income Margin - MW</t>
  </si>
  <si>
    <t>Net Income Margin - GAAP</t>
  </si>
  <si>
    <t>Net Income - GAAP</t>
  </si>
  <si>
    <t>Income Tax Expense (Benefit) - GAAP</t>
  </si>
  <si>
    <t>Taxes-SBC</t>
  </si>
  <si>
    <t>Taxes-Extraordinary</t>
  </si>
  <si>
    <t>Taxes-Disc. Operations</t>
  </si>
  <si>
    <t>Effective Tax rate - non GAAP</t>
  </si>
  <si>
    <t>Effective Tax rate - MW</t>
  </si>
  <si>
    <t>Temporary BS plug for earnings (all quarters going forward)</t>
  </si>
  <si>
    <t>Excess tax benefit from share-based payments</t>
  </si>
  <si>
    <t>Skyworks Solutions Revenue by Segment</t>
  </si>
  <si>
    <t>Linear Sales</t>
  </si>
  <si>
    <t>Total Bottoms Up Revenue</t>
  </si>
  <si>
    <t>Actual Revenue from Income Statement</t>
  </si>
  <si>
    <t>BU / Income Statement Check</t>
  </si>
  <si>
    <t>RF Sales</t>
  </si>
  <si>
    <t>One time PPE Plug</t>
  </si>
  <si>
    <t>Other adjustments</t>
  </si>
  <si>
    <t>Samsung</t>
  </si>
  <si>
    <t>Nokia</t>
  </si>
  <si>
    <t>Payments on line of credit</t>
  </si>
  <si>
    <t>Q-o-Q growth</t>
  </si>
  <si>
    <t>Y-o-Y growth</t>
  </si>
  <si>
    <t>Total Revenue</t>
  </si>
  <si>
    <t>Mobile Internet Access</t>
  </si>
  <si>
    <t>2G Feature phones</t>
  </si>
  <si>
    <t>FCF to Sales</t>
  </si>
  <si>
    <t>NA</t>
  </si>
  <si>
    <t>,mscalc:sedolCodeCalc</t>
  </si>
  <si>
    <t>,mscalc:closePriceCurrencyCalc</t>
  </si>
  <si>
    <t>,mscalc:targetPrice,,,,USD</t>
  </si>
  <si>
    <t>SWKS.O,mscalc:targetPrice</t>
  </si>
  <si>
    <t>Percent of RF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</si>
  <si>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</si>
  <si>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</si>
  <si>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</si>
  <si>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</si>
  <si>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</si>
  <si>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</si>
  <si>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</si>
  <si>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</si>
  <si>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</si>
  <si>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</si>
  <si>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</si>
  <si>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</si>
  <si>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</si>
  <si>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</si>
  <si>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</si>
  <si>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</si>
  <si>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</si>
  <si>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C1Q12A</t>
  </si>
  <si>
    <t>C2Q12A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</si>
  <si>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</si>
  <si>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</si>
  <si>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</si>
  <si>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</si>
  <si>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</si>
  <si>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</si>
  <si>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</si>
  <si>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</si>
  <si>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</si>
  <si>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</si>
  <si>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</si>
  <si>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</si>
  <si>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</si>
  <si>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</si>
  <si>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</si>
  <si>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</si>
  <si>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</si>
  <si>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</si>
  <si>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</si>
  <si>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Foxconn</t>
  </si>
  <si>
    <t>Asian Information Technology</t>
  </si>
  <si>
    <t>Sony Ericsson Mobile</t>
  </si>
  <si>
    <t>Dollars</t>
  </si>
  <si>
    <t>Note: Total Revenues</t>
  </si>
  <si>
    <t>Subtotal</t>
  </si>
  <si>
    <t>Top Customers as a % of Revenues</t>
  </si>
  <si>
    <t xml:space="preserve">% of Revenue </t>
  </si>
  <si>
    <t>Customer Concentration Summary</t>
  </si>
  <si>
    <t>C3Q12A</t>
  </si>
  <si>
    <t>C4Q12A</t>
  </si>
  <si>
    <t>C1Q13A</t>
  </si>
  <si>
    <t>C2Q13A</t>
  </si>
  <si>
    <t>C3Q13A</t>
  </si>
  <si>
    <t>F1Q07A</t>
  </si>
  <si>
    <t>F2Q07A</t>
  </si>
  <si>
    <t>F3Q07A</t>
  </si>
  <si>
    <t>F4Q07A</t>
  </si>
  <si>
    <t>C4Q06A</t>
  </si>
  <si>
    <t>C1Q07A</t>
  </si>
  <si>
    <t>C2Q07A</t>
  </si>
  <si>
    <t>C3Q07A</t>
  </si>
  <si>
    <t>C4Q05A</t>
  </si>
  <si>
    <t>C1Q06A</t>
  </si>
  <si>
    <t>C2Q06A</t>
  </si>
  <si>
    <t>C3Q06A</t>
  </si>
  <si>
    <t>F1Q06A</t>
  </si>
  <si>
    <t>F2Q06A</t>
  </si>
  <si>
    <t>F3Q06A</t>
  </si>
  <si>
    <t>F4Q06A</t>
  </si>
  <si>
    <t>C4Q04A</t>
  </si>
  <si>
    <t>C1Q05A</t>
  </si>
  <si>
    <t>C2Q05A</t>
  </si>
  <si>
    <t>C3Q05A</t>
  </si>
  <si>
    <t>F1Q05A</t>
  </si>
  <si>
    <t>F2Q05A</t>
  </si>
  <si>
    <t>F3Q05A</t>
  </si>
  <si>
    <t>F4Q05A</t>
  </si>
  <si>
    <t>C4Q03A</t>
  </si>
  <si>
    <t>C1Q04A</t>
  </si>
  <si>
    <t>C2Q04A</t>
  </si>
  <si>
    <t>C3Q04A</t>
  </si>
  <si>
    <t>F1Q04A</t>
  </si>
  <si>
    <t>F2Q04A</t>
  </si>
  <si>
    <t>F3Q04A</t>
  </si>
  <si>
    <t>F4Q04A</t>
  </si>
  <si>
    <t>C4Q02A</t>
  </si>
  <si>
    <t>C1Q03A</t>
  </si>
  <si>
    <t>C2Q03A</t>
  </si>
  <si>
    <t>C3Q03A</t>
  </si>
  <si>
    <t>F1Q03A</t>
  </si>
  <si>
    <t>F2Q03A</t>
  </si>
  <si>
    <t>F3Q03A</t>
  </si>
  <si>
    <t>F4Q03A</t>
  </si>
  <si>
    <t>Power Amplifiers</t>
  </si>
  <si>
    <t>Integrated Mobile Systems</t>
  </si>
  <si>
    <t>Broad Markets</t>
  </si>
  <si>
    <t>Percent of Revenue Growth</t>
  </si>
  <si>
    <t>2003-FY</t>
  </si>
  <si>
    <t>2004-FY</t>
  </si>
  <si>
    <t>2005-FY</t>
  </si>
  <si>
    <t>C1Q18E</t>
  </si>
  <si>
    <t>C2Q18E</t>
  </si>
  <si>
    <t>C3Q18E</t>
  </si>
  <si>
    <t>F2Q18E</t>
  </si>
  <si>
    <t>F3Q18E</t>
  </si>
  <si>
    <t>F4Q18E</t>
  </si>
  <si>
    <t>Front End modules</t>
  </si>
  <si>
    <t>Percent Gross Margin</t>
  </si>
  <si>
    <t>Gross Margins</t>
  </si>
  <si>
    <t>COGS Worksheet:</t>
  </si>
  <si>
    <t>Variable cost portion</t>
  </si>
  <si>
    <t>% of Revenues</t>
  </si>
  <si>
    <t>Other fixed costs</t>
  </si>
  <si>
    <t>Total Bottoms Up Gross Margin</t>
  </si>
  <si>
    <t>Gross Margin %</t>
  </si>
  <si>
    <t>Actual Gross Margin from Income Statement</t>
  </si>
  <si>
    <t>Actual Operating Income from Income Statement</t>
  </si>
  <si>
    <t>Total</t>
  </si>
  <si>
    <t>Net Debt</t>
  </si>
  <si>
    <t>,mscalc:epsForConsensusForThomsonFeed,2015FY,,CY</t>
  </si>
  <si>
    <t>,mscalc:epsForConsensusForThomsonFeed,2017FY,,CY</t>
  </si>
  <si>
    <t>#Refresh#</t>
  </si>
  <si>
    <t>,mscalc:grossMarginForConsensus,2017FY,,CY</t>
  </si>
  <si>
    <t>TXN.O,mscalc:epsForConsensusForThomsonFeed,2015FY,,CY</t>
  </si>
  <si>
    <t>LLTC.O,mscalc:epsForConsensusForThomsonFeed,2017FY,,CY</t>
  </si>
  <si>
    <t>MCHP.O,mscalc:grossMarginForConsensus,2017FY,,CY</t>
  </si>
  <si>
    <t>MCHP.O,mscalc:epsForConsensusForThomsonFeed,2015FY,,CY</t>
  </si>
  <si>
    <t>TXN.O,mscalc:epsForConsensusForThomsonFeed,2017FY,,CY</t>
  </si>
  <si>
    <t>LLTC.O,mscalc:epsForConsensusForThomsonFeed,2015FY,,CY</t>
  </si>
  <si>
    <t>AVGO.O,mscalc:grossMarginForConsensus,2017FY,,CY</t>
  </si>
  <si>
    <t>AVGO.O,mscalc:epsForConsensusForThomsonFeed,2015FY,,CY</t>
  </si>
  <si>
    <t>AVGO.O,mscalc:epsForConsensusForThomsonFeed,2017FY,,CY</t>
  </si>
  <si>
    <t>MXIM.O,mscalc:epsForConsensusForThomsonFeed,2015FY,,CY</t>
  </si>
  <si>
    <t>ADI.O,mscalc:grossMarginForConsensus,2017FY,,CY</t>
  </si>
  <si>
    <t>MXIM.O,mscalc:grossMarginForConsensus,2017FY,,CY</t>
  </si>
  <si>
    <t>TXN.O,mscalc:grossMarginForConsensus,2017FY,,CY</t>
  </si>
  <si>
    <t>ADI.O,mscalc:epsForConsensusForThomsonFeed,2015FY,,CY</t>
  </si>
  <si>
    <t>MCHP.O,mscalc:epsForConsensusForThomsonFeed,2017FY,,CY</t>
  </si>
  <si>
    <t>ADI.O,mscalc:epsForConsensusForThomsonFeed,2017FY,,CY</t>
  </si>
  <si>
    <t>MXIM.O,mscalc:epsForConsensusForThomsonFeed,2017FY,,CY</t>
  </si>
  <si>
    <t>LLTC.O,mscalc:grossMarginForConsensus,2017FY,,CY</t>
  </si>
  <si>
    <t>$BD$2</t>
  </si>
  <si>
    <t>2.82127455678007</t>
  </si>
  <si>
    <t>2.32847278223075</t>
  </si>
  <si>
    <t>0.565860323363496</t>
  </si>
  <si>
    <t>2.65792166124637</t>
  </si>
  <si>
    <t>3.31196109217317</t>
  </si>
  <si>
    <t>2.04786426004574</t>
  </si>
  <si>
    <t>0.607341417349096</t>
  </si>
  <si>
    <t>9.28906453372892</t>
  </si>
  <si>
    <t>13.3604573793925</t>
  </si>
  <si>
    <t>1.56035584006038</t>
  </si>
  <si>
    <t>0.656131523990582</t>
  </si>
  <si>
    <t>0.638991437094789</t>
  </si>
  <si>
    <t>0.624367455044805</t>
  </si>
  <si>
    <t>3.11293135489036</t>
  </si>
  <si>
    <t>3.93383769980791</t>
  </si>
  <si>
    <t>3.17150664033662</t>
  </si>
  <si>
    <t>2.02655517228713</t>
  </si>
  <si>
    <t>0.765345579056694</t>
  </si>
  <si>
    <t>FY2018E</t>
  </si>
  <si>
    <t>FY2014A</t>
  </si>
  <si>
    <t>FY2015A</t>
  </si>
  <si>
    <t>NM</t>
  </si>
  <si>
    <t>`</t>
  </si>
  <si>
    <t>F2Q13A</t>
  </si>
  <si>
    <t>F3Q13A</t>
  </si>
  <si>
    <t>F4Q13A</t>
  </si>
  <si>
    <t>F1Q14A</t>
  </si>
  <si>
    <t>F2Q14A</t>
  </si>
  <si>
    <t>F3Q14A</t>
  </si>
  <si>
    <t>F4Q14A</t>
  </si>
  <si>
    <t>EBITDA - MW</t>
  </si>
  <si>
    <t>Total Debt per share</t>
  </si>
  <si>
    <t>Geographic Breakdown</t>
  </si>
  <si>
    <t>United States</t>
  </si>
  <si>
    <t>Other Americas</t>
  </si>
  <si>
    <t>Total Americas</t>
  </si>
  <si>
    <t>China</t>
  </si>
  <si>
    <t>South Korea</t>
  </si>
  <si>
    <t>Taiwan</t>
  </si>
  <si>
    <t>Other Asia-Pacific</t>
  </si>
  <si>
    <t>Europe, Middle East, and Africa</t>
  </si>
  <si>
    <t>Total Asia-Pacific</t>
  </si>
  <si>
    <t>Geographic Breakdown Check</t>
  </si>
  <si>
    <t>EBIT Non-GAAP</t>
  </si>
  <si>
    <t>EBITDA Calculation</t>
  </si>
  <si>
    <t>EBITDA - non GAAP</t>
  </si>
  <si>
    <t>EBIT MW</t>
  </si>
  <si>
    <t>Net Debt per share</t>
  </si>
  <si>
    <t>Adjusted Net Leverage</t>
  </si>
  <si>
    <t>F1Q15A</t>
  </si>
  <si>
    <t>F2Q15A</t>
  </si>
  <si>
    <t>F3Q15A</t>
  </si>
  <si>
    <t>F4Q15A</t>
  </si>
  <si>
    <t>F1Q16A</t>
  </si>
  <si>
    <t>F2Q16A</t>
  </si>
  <si>
    <t>C1Q16A</t>
  </si>
  <si>
    <t>C4Q15A</t>
  </si>
  <si>
    <t>C3Q15A</t>
  </si>
  <si>
    <t>C4Q13A</t>
  </si>
  <si>
    <t>C1Q14A</t>
  </si>
  <si>
    <t>C2Q14A</t>
  </si>
  <si>
    <t>C3Q14A</t>
  </si>
  <si>
    <t>C4Q14A</t>
  </si>
  <si>
    <t>C1Q15A</t>
  </si>
  <si>
    <t>C2Q15A</t>
  </si>
  <si>
    <t>FY2013A</t>
  </si>
  <si>
    <t>FY2019E</t>
  </si>
  <si>
    <t>2006-Fs</t>
  </si>
  <si>
    <t>Motorola</t>
  </si>
  <si>
    <t>Skyworks Solutions Inc</t>
  </si>
  <si>
    <t>Total depreciation</t>
  </si>
  <si>
    <t>2020-FY</t>
  </si>
  <si>
    <t>Dividends Paid</t>
  </si>
  <si>
    <t>2961053</t>
  </si>
  <si>
    <t>F3Q16A</t>
  </si>
  <si>
    <t>C2Q16A</t>
  </si>
  <si>
    <t>FY2016A</t>
  </si>
  <si>
    <t>C4Q18E</t>
  </si>
  <si>
    <t>C1Q19E</t>
  </si>
  <si>
    <t>C2Q19E</t>
  </si>
  <si>
    <t>C3Q19E</t>
  </si>
  <si>
    <t>F1Q19E</t>
  </si>
  <si>
    <t>F2Q19E</t>
  </si>
  <si>
    <t>F3Q19E</t>
  </si>
  <si>
    <t>F4Q19E</t>
  </si>
  <si>
    <t>FY2020E</t>
  </si>
  <si>
    <t>F4Q16A</t>
  </si>
  <si>
    <t>F1Q17A</t>
  </si>
  <si>
    <t>C1Q17A</t>
  </si>
  <si>
    <t>F2Q17A</t>
  </si>
  <si>
    <t>F3Q17A</t>
  </si>
  <si>
    <t>C2Q17A</t>
  </si>
  <si>
    <t>C4Q19E</t>
  </si>
  <si>
    <t>C1Q20E</t>
  </si>
  <si>
    <t>C2Q20E</t>
  </si>
  <si>
    <t>C3Q20E</t>
  </si>
  <si>
    <t>F1Q20E</t>
  </si>
  <si>
    <t>F2Q20E</t>
  </si>
  <si>
    <t>F3Q20E</t>
  </si>
  <si>
    <t>F4Q20E</t>
  </si>
  <si>
    <t>C3Q17A</t>
  </si>
  <si>
    <t>F4Q17A</t>
  </si>
  <si>
    <t>C3Q16A</t>
  </si>
  <si>
    <t>C4Q16A</t>
  </si>
  <si>
    <t>85</t>
  </si>
  <si>
    <t>C4Q17A</t>
  </si>
  <si>
    <t>F1Q18A</t>
  </si>
  <si>
    <t>FY2017A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</si>
  <si>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</si>
  <si>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</si>
  <si>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</si>
  <si>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</si>
  <si>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</si>
  <si>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</si>
  <si>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</si>
  <si>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Moore, Vinayak Rao</t>
  </si>
  <si>
    <t>Date: 05 Feb 2018</t>
  </si>
  <si>
    <t>Ticker: SWKS.O</t>
  </si>
  <si>
    <t>Stock Rating: Underweight</t>
  </si>
  <si>
    <t>Industry: Semiconductors</t>
  </si>
  <si>
    <t>Industry View: In-Line</t>
  </si>
  <si>
    <t>Price as of 05 Feb 2018: 94.68</t>
  </si>
  <si>
    <t>Target Price: 85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</si>
  <si>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</si>
  <si>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</si>
  <si>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</si>
  <si>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</si>
  <si>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Skyworks Solutions Inc.</t>
  </si>
  <si>
    <t>STOCK RATINGS</t>
  </si>
  <si>
    <t>Global Stock Ratings Distribution</t>
  </si>
  <si>
    <t>(as of January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</si>
  <si>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</si>
  <si>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</si>
  <si>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</si>
  <si>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</si>
  <si>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</si>
  <si>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</si>
  <si>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</si>
  <si>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</si>
  <si>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</si>
  <si>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</si>
  <si>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</si>
  <si>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</si>
  <si>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</si>
  <si>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</si>
  <si>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</si>
  <si>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</si>
  <si>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</si>
  <si>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</si>
  <si>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</si>
  <si>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</si>
  <si>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</si>
  <si>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</si>
  <si>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</si>
  <si>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</si>
  <si>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</si>
  <si>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</si>
  <si>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</si>
  <si>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</si>
  <si>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</si>
  <si>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</si>
  <si>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</si>
  <si>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</si>
  <si>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</si>
  <si>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</si>
  <si>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</si>
  <si>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</si>
  <si>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</si>
  <si>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</si>
  <si>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</si>
  <si>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</si>
  <si>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</si>
  <si>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</si>
  <si>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</si>
  <si>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</si>
  <si>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</si>
  <si>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</si>
  <si>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</si>
  <si>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</si>
  <si>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</si>
  <si>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</si>
  <si>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</si>
  <si>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</si>
  <si>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</si>
  <si>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</si>
  <si>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</si>
  <si>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</si>
  <si>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</si>
  <si>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</si>
  <si>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</si>
  <si>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</si>
  <si>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</si>
  <si>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</si>
  <si>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</si>
  <si>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</si>
  <si>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</si>
  <si>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</si>
  <si>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</si>
  <si>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</si>
  <si>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</si>
  <si>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</si>
  <si>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</si>
  <si>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</si>
  <si>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</si>
  <si>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</si>
  <si>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</si>
  <si>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</si>
  <si>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</si>
  <si>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</si>
  <si>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</si>
  <si>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</si>
  <si>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</si>
  <si>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</si>
  <si>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</si>
  <si>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</si>
  <si>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</si>
  <si>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</si>
  <si>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</si>
  <si>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</si>
  <si>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</si>
  <si>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</si>
  <si>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</si>
  <si>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</si>
  <si>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</si>
  <si>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</si>
  <si>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</si>
  <si>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</si>
  <si>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</si>
  <si>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</si>
  <si>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</si>
  <si>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</si>
  <si>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</si>
  <si>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</si>
  <si>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</si>
  <si>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</si>
  <si>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</si>
  <si>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</si>
  <si>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</si>
  <si>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</si>
  <si>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</si>
  <si>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</si>
  <si>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</si>
  <si>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</si>
  <si>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</si>
  <si>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</si>
  <si>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</si>
  <si>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</si>
  <si>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</si>
  <si>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</si>
  <si>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</si>
  <si>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</si>
  <si>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</si>
  <si>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</si>
  <si>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</si>
  <si>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</si>
  <si>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</si>
  <si>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</si>
  <si>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</si>
  <si>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</si>
  <si>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</si>
  <si>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</si>
  <si>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</si>
  <si>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</si>
  <si>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</si>
  <si>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</si>
  <si>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</si>
  <si>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</si>
  <si>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</si>
  <si>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</si>
  <si>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</si>
  <si>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</si>
  <si>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</si>
  <si>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</si>
  <si>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</si>
  <si>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</si>
  <si>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</si>
  <si>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</si>
  <si>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</si>
  <si>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</si>
  <si>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</si>
  <si>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</si>
  <si>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</si>
  <si>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</si>
  <si>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</si>
  <si>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</si>
  <si>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</si>
  <si>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</si>
  <si>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</si>
  <si>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</si>
  <si>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</si>
  <si>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</si>
  <si>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</si>
  <si>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</si>
  <si>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</si>
  <si>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</si>
  <si>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</si>
  <si>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</si>
  <si>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</si>
  <si>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</si>
  <si>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</si>
  <si>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</si>
  <si>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</si>
  <si>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</si>
  <si>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</si>
  <si>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</si>
  <si>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</si>
  <si>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</si>
  <si>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</si>
  <si>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</si>
  <si>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</si>
  <si>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</si>
  <si>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</si>
  <si>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</si>
  <si>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</si>
  <si>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</si>
  <si>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</si>
  <si>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</si>
  <si>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</si>
  <si>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</si>
  <si>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</si>
  <si>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</si>
  <si>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</si>
  <si>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</si>
  <si>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</si>
  <si>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</si>
  <si>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</si>
  <si>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</si>
  <si>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</si>
  <si>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</si>
  <si>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</si>
  <si>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</si>
  <si>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</si>
  <si>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</si>
  <si>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</si>
  <si>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</si>
  <si>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</si>
  <si>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</si>
  <si>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</si>
  <si>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</si>
  <si>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</si>
  <si>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</si>
  <si>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</si>
  <si>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</si>
  <si>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</si>
  <si>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</si>
  <si>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</si>
  <si>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</si>
  <si>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</si>
  <si>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</si>
  <si>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</si>
  <si>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</si>
  <si>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</si>
  <si>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</si>
  <si>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</si>
  <si>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</si>
  <si>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</si>
  <si>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</si>
  <si>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</si>
  <si>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</si>
  <si>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</si>
  <si>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</si>
  <si>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</si>
  <si>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</si>
  <si>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</si>
  <si>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</si>
  <si>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</si>
  <si>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</si>
  <si>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</si>
  <si>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</si>
  <si>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</si>
  <si>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Skyworks Solutions Inc.</t>
  </si>
  <si>
    <t>In the next 3 months, Morgan Stanley expects to receive or intends to seek compensation for investment</t>
  </si>
  <si>
    <t>banking services from Skyworks Solutions Inc.</t>
  </si>
  <si>
    <t>As of January 31, 2018, Morgan Stanley beneficially owned 1% or more of a class of common equity</t>
  </si>
  <si>
    <t>securities of the following companies covered in Morgan Stanley Research: Skyworks Solutions Inc.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</si>
  <si>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</si>
  <si>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</si>
  <si>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</si>
  <si>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</si>
  <si>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</si>
  <si>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</si>
  <si>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</si>
  <si>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</si>
  <si>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</si>
  <si>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</si>
  <si>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</si>
  <si>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</si>
  <si>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</si>
  <si>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</si>
  <si>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</si>
  <si>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</si>
  <si>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</si>
  <si>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</si>
  <si>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</si>
  <si>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</si>
  <si>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</si>
  <si>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</si>
  <si>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</si>
  <si>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</si>
  <si>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</si>
  <si>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</si>
  <si>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</si>
  <si>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</si>
  <si>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</si>
  <si>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</si>
  <si>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</si>
  <si>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</si>
  <si>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</si>
  <si>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</si>
  <si>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</si>
  <si>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</si>
  <si>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</si>
  <si>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</si>
  <si>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</si>
  <si>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</si>
  <si>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</si>
  <si>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</si>
  <si>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</si>
  <si>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</si>
  <si>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</si>
  <si>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</si>
  <si>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</si>
  <si>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</si>
  <si>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</si>
  <si>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</si>
  <si>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</si>
  <si>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</si>
  <si>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</si>
  <si>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</si>
  <si>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</si>
  <si>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</si>
  <si>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</si>
  <si>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</si>
  <si>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</si>
  <si>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</si>
  <si>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</si>
  <si>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</si>
  <si>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</si>
  <si>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</si>
  <si>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</si>
  <si>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</si>
  <si>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</si>
  <si>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</si>
  <si>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</si>
  <si>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</si>
  <si>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</si>
  <si>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</si>
  <si>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</si>
  <si>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</si>
  <si>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Underweight / In-Line</t>
  </si>
  <si>
    <t>Quarterly Update</t>
  </si>
  <si>
    <t>NorthAmerica</t>
  </si>
  <si>
    <t>vinayakr</t>
  </si>
  <si>
    <t>MSA89GWN, MSA32FNJ, MSA68HLF</t>
  </si>
  <si>
    <t>83088M102</t>
  </si>
  <si>
    <t>L:\SEMI CAP\Joe Files\Companies\SWKS\SWKS WIP.xlsm</t>
  </si>
  <si>
    <t>Please publish SWKS model after the note has gone out..Thanks</t>
  </si>
  <si>
    <t>[BRO MSA]</t>
  </si>
  <si>
    <t>[PRODUCT MODEL]</t>
  </si>
  <si>
    <t>[EMAIL_ALERT YES]</t>
  </si>
  <si>
    <t>[DISCIPLINE Company]</t>
  </si>
  <si>
    <t>[SUPPRESSED NO]</t>
  </si>
  <si>
    <t>[DOCDAT 2018-02-05]</t>
  </si>
  <si>
    <t>[DOCTIME 21:49]</t>
  </si>
  <si>
    <t>[PSYM SWKS.O(S&amp;P) (None)]</t>
  </si>
  <si>
    <t>[COU 1]</t>
  </si>
  <si>
    <t>[ANA MSA32FNJ MSA68HLF]</t>
  </si>
  <si>
    <t>[HL SWKS.O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</si>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</sst>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_);\(&quot;$&quot;#,##0.0\)"/>
    <numFmt numFmtId="165" formatCode="[$-409]mmm\-yy;@"/>
    <numFmt numFmtId="166" formatCode="_(&quot;$&quot;* #,##0.0_);_(&quot;$&quot;* \(#,##0.0\);_(&quot;$&quot;* &quot;-&quot;?_);_(@_)"/>
    <numFmt numFmtId="167" formatCode="0.0%"/>
    <numFmt numFmtId="168" formatCode="_(* #,##0.0_);_(* \(#,##0.0\);_(* &quot;-&quot;?_);_(@_)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* #,##0.000_);_(* \(#,##0.000\);_(* &quot;-&quot;?_);_(@_)"/>
    <numFmt numFmtId="172" formatCode="_(* #,##0.0_);_(* \(#,##0.0\);_(* &quot;-&quot;??_);_(@_)"/>
    <numFmt numFmtId="173" formatCode="_(&quot;$&quot;* #,##0.00_);_(&quot;$&quot;* \(#,##0.00\);_(&quot;$&quot;* &quot;-&quot;_);_(@_)"/>
    <numFmt numFmtId="174" formatCode="#,##0.0_);\(#,##0.0\);#,##0.0_);@_)"/>
    <numFmt numFmtId="175" formatCode="_(* #,##0.00_);_(* \(#,##0.00\);_(* &quot;-&quot;?_);_(@_)"/>
    <numFmt numFmtId="177" formatCode="_(* #,##0_);_(* \(#,##0\);_(* &quot;-&quot;?_);_(@_)"/>
    <numFmt numFmtId="179" formatCode="_(* #,##0.0_);_(* \(#,##0.0\);_(* &quot;-&quot;_);_(@_)"/>
    <numFmt numFmtId="180" formatCode="_(* #,##0.000_);_(* \(#,##0.000\);_(* &quot;-&quot;_);_(@_)"/>
    <numFmt numFmtId="181" formatCode="0.0;[Red]0.0"/>
    <numFmt numFmtId="182" formatCode="#,##0.0_);\(#,##0.0\)"/>
    <numFmt numFmtId="183" formatCode="#,##0.000_);\(#,##0.000\)"/>
    <numFmt numFmtId="184" formatCode="_(* #,##0_);_(* \(#,##0\);_(* &quot;-&quot;??_);_(@_)"/>
    <numFmt numFmtId="185" formatCode="_(* #,##0.0000_);_(* \(#,##0.0000\);_(* &quot;-&quot;_);_(@_)"/>
    <numFmt numFmtId="186" formatCode="0.000"/>
    <numFmt numFmtId="192" formatCode="_(&quot;$&quot;* #,##0_);_(&quot;$&quot;* \(#,##0\);_(&quot;$&quot;* &quot;-&quot;??_);_(@_)"/>
    <numFmt numFmtId="195" formatCode="&quot;$&quot;#,##0.0_);[Red]\(&quot;$&quot;#,##0.0\)"/>
    <numFmt numFmtId="197" formatCode="&quot;$&quot;#,##0.0_);\(&quot;$&quot;#,##0.0\);&quot;$&quot;#,##0.0_);@_)"/>
    <numFmt numFmtId="198" formatCode="_(&quot;$&quot;* #,##0.00_);_(&quot;$&quot;* \(#,##0.00\);_(&quot;$&quot;* &quot;-&quot;?_);_(@_)"/>
    <numFmt numFmtId="199" formatCode="#,##0.0"/>
    <numFmt numFmtId="201" formatCode="#,##0.0%_);\(#,##0.0%\);#,##0.0%_);@_)"/>
    <numFmt numFmtId="205" formatCode="0.0"/>
    <numFmt numFmtId="206" formatCode="0_)"/>
    <numFmt numFmtId="210" formatCode="0.0\X"/>
    <numFmt numFmtId="214" formatCode="&quot;$&quot;#,##0.0;\(&quot;$&quot;#,##0.0\)"/>
    <numFmt numFmtId="215" formatCode="\£\ #,##0_);[Red]\(\£\ #,##0\)"/>
    <numFmt numFmtId="216" formatCode="\¥\ #,##0_);[Red]\(\¥\ #,##0\)"/>
    <numFmt numFmtId="217" formatCode="_(* #,##0.0_);_(* \(#,##0.0\);_(* &quot;--- &quot;_)"/>
    <numFmt numFmtId="218" formatCode="#,##0_);\(#,##0\);\-_)"/>
    <numFmt numFmtId="219" formatCode="General_)"/>
    <numFmt numFmtId="220" formatCode="\•\ \ @"/>
    <numFmt numFmtId="221" formatCode="0.000_)"/>
    <numFmt numFmtId="222" formatCode="_-* #,##0.00_-;\-* #,##0.00_-;_-* &quot;-&quot;??_-;_-@_-"/>
    <numFmt numFmtId="223" formatCode="\ \ _•\–\ \ \ \ @"/>
    <numFmt numFmtId="224" formatCode="mmm\-yyyy"/>
    <numFmt numFmtId="225" formatCode="#,##0.0;\(###0.0\)"/>
    <numFmt numFmtId="226" formatCode="_([$€-2]* #,##0.00_);_([$€-2]* \(#,##0.00\);_([$€-2]* &quot;-&quot;??_)"/>
    <numFmt numFmtId="227" formatCode="_(#,##0_)\ &quot;e&quot;;\(#,##0\)\ &quot;e&quot;"/>
    <numFmt numFmtId="228" formatCode="0.00_)"/>
    <numFmt numFmtId="229" formatCode="0.00000000000000000%"/>
    <numFmt numFmtId="230" formatCode="#,##0.0;\(#,##0.0\)"/>
    <numFmt numFmtId="231" formatCode="0.00\ "/>
    <numFmt numFmtId="232" formatCode="_-&quot;$&quot;* #,##0_-;\-&quot;$&quot;* #,##0_-;_-&quot;$&quot;* &quot;-&quot;_-;_-@_-"/>
    <numFmt numFmtId="233" formatCode="_-* #,##0_-;\-* #,##0_-;_-* &quot;-&quot;_-;_-@_-"/>
    <numFmt numFmtId="234" formatCode="_-&quot;$&quot;* #,##0.00_-;\-&quot;$&quot;* #,##0.00_-;_-&quot;$&quot;* &quot;-&quot;??_-;_-@_-"/>
    <numFmt numFmtId="235" formatCode="[Blue]General;[Blue]\-General;[Blue]&quot;--&quot;"/>
    <numFmt numFmtId="236" formatCode="_(* #,##0.0_);_(* \(#,##0.00\);_(* &quot;-&quot;??_);_(@_)"/>
    <numFmt numFmtId="237" formatCode="&quot;fl&quot;#,##0_);\(&quot;fl&quot;#,##0\)"/>
    <numFmt numFmtId="238" formatCode="&quot;fl&quot;#,##0_);[Red]\(&quot;fl&quot;#,##0\)"/>
    <numFmt numFmtId="239" formatCode="&quot;fl&quot;#,##0.00_);\(&quot;fl&quot;#,##0.00\)"/>
    <numFmt numFmtId="240" formatCode="&quot;\&quot;#,##0.00;[Red]&quot;\&quot;&quot;\&quot;&quot;\&quot;&quot;\&quot;&quot;\&quot;\-#,##0.00"/>
    <numFmt numFmtId="241" formatCode="&quot;$&quot;#,##0\ ;\(&quot;$&quot;#,##0\)"/>
    <numFmt numFmtId="242" formatCode="_ &quot;\&quot;* #,##0_ ;_ &quot;\&quot;* &quot;\&quot;&quot;\&quot;&quot;\&quot;\-#,##0_ ;_ &quot;\&quot;* &quot;-&quot;_ ;_ @_ "/>
    <numFmt numFmtId="243" formatCode="&quot;US$&quot;#,##0.00_);[Red]\(&quot;US$&quot;#,##0.00\)"/>
    <numFmt numFmtId="244" formatCode="_-* #,##0_-;\-* #,##0_-;_-* &quot;-&quot;??_-;_-@_-"/>
    <numFmt numFmtId="245" formatCode="_ &quot;\&quot;* #,##0.00_ ;_ &quot;\&quot;* &quot;\&quot;&quot;\&quot;&quot;\&quot;\-#,##0.00_ ;_ &quot;\&quot;* &quot;-&quot;??_ ;_ @_ "/>
    <numFmt numFmtId="246" formatCode="0%;[Red]\(0%\)"/>
    <numFmt numFmtId="247" formatCode="#,##0.0_);[Red]\(#,##0.0\)"/>
    <numFmt numFmtId="248" formatCode="&quot;US$&quot;#,##0_);\(&quot;US$&quot;#,##0\)"/>
    <numFmt numFmtId="249" formatCode="&quot;\&quot;#,##0;\-&quot;\&quot;#,##0"/>
    <numFmt numFmtId="250" formatCode="&quot;\&quot;#,##0;[Red]\-&quot;\&quot;#,##0"/>
    <numFmt numFmtId="251" formatCode="&quot;\&quot;#,##0.00;\-&quot;\&quot;#,##0.00"/>
    <numFmt numFmtId="252" formatCode="&quot;\&quot;#,##0.00;[Red]\-&quot;\&quot;#,##0.00"/>
    <numFmt numFmtId="253" formatCode="_-&quot;\&quot;* #,##0_-;\-&quot;\&quot;* #,##0_-;_-&quot;\&quot;* &quot;-&quot;_-;_-@_-"/>
    <numFmt numFmtId="254" formatCode="_-&quot;\&quot;* #,##0.00_-;\-&quot;\&quot;* #,##0.00_-;_-&quot;\&quot;* &quot;-&quot;??_-;_-@_-"/>
    <numFmt numFmtId="255" formatCode="\60\4\7\:"/>
    <numFmt numFmtId="256" formatCode="&quot;US$&quot;#,##0_);[Red]\(&quot;US$&quot;#,##0\)"/>
    <numFmt numFmtId="257" formatCode="#,##0.000_);[Red]\(#,##0.000\)"/>
    <numFmt numFmtId="258" formatCode="&quot;?G&quot;#,##0.00;\-&quot;?G&quot;#,###"/>
    <numFmt numFmtId="259" formatCode="&quot;fl&quot;#,##0.00_);[Red]\(&quot;fl&quot;#,##0.00\)"/>
    <numFmt numFmtId="260" formatCode="_(&quot;fl&quot;* #,##0_);_(&quot;fl&quot;* \(#,##0\);_(&quot;fl&quot;* &quot;-&quot;_);_(@_)"/>
    <numFmt numFmtId="261" formatCode="mmmm\-yy"/>
    <numFmt numFmtId="262" formatCode="&quot;\&quot;#,##0.00;[Red]&quot;\&quot;\-#,##0.00"/>
    <numFmt numFmtId="263" formatCode="&quot;\&quot;#,##0;[Red]&quot;\&quot;\-#,##0"/>
    <numFmt numFmtId="264" formatCode="_ * #,##0.00_ ;_ * \-#,##0.00_ ;_ * &quot;-&quot;??_ ;_ @_ "/>
    <numFmt numFmtId="265" formatCode="_ * #,##0_ ;_ * \-#,##0_ ;_ * &quot;-&quot;_ ;_ @_ "/>
    <numFmt numFmtId="273" formatCode="mm/dd/yy\ hh:mm"/>
  </numFmts>
  <fonts count="21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b/>
      <sz val="11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9"/>
      <color indexed="8"/>
      <name val="Arial MT"/>
    </font>
    <font>
      <b/>
      <sz val="10"/>
      <name val="Arial"/>
      <family val="2"/>
    </font>
    <font>
      <b/>
      <sz val="11"/>
      <color indexed="8"/>
      <name val="Arial"/>
      <family val="2"/>
    </font>
    <font>
      <i/>
      <sz val="10"/>
      <name val="Arial"/>
      <family val="2"/>
    </font>
    <font>
      <b/>
      <sz val="11"/>
      <color indexed="12"/>
      <name val="Arial"/>
      <family val="2"/>
    </font>
    <font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color indexed="12"/>
      <name val="Arial"/>
      <family val="2"/>
    </font>
    <font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0"/>
      <color indexed="5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i/>
      <sz val="11"/>
      <color indexed="10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i/>
      <sz val="11"/>
      <color indexed="10"/>
      <name val="Arial"/>
      <family val="2"/>
    </font>
    <font>
      <sz val="8"/>
      <color indexed="8"/>
      <name val="Arial"/>
      <family val="2"/>
    </font>
    <font>
      <u/>
      <sz val="10"/>
      <color indexed="12"/>
      <name val="Arial"/>
      <family val="2"/>
    </font>
    <font>
      <b/>
      <sz val="8"/>
      <name val="Arial"/>
      <family val="2"/>
    </font>
    <font>
      <sz val="11"/>
      <color indexed="53"/>
      <name val="Arial"/>
      <family val="2"/>
    </font>
    <font>
      <b/>
      <sz val="11"/>
      <color indexed="1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81"/>
      <name val="Tahoma"/>
      <family val="2"/>
    </font>
    <font>
      <b/>
      <sz val="11"/>
      <color indexed="1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8"/>
      <color indexed="22"/>
      <name val="Arial"/>
      <family val="2"/>
    </font>
    <font>
      <i/>
      <sz val="11"/>
      <color indexed="8"/>
      <name val="Arial"/>
      <family val="2"/>
    </font>
    <font>
      <b/>
      <sz val="8"/>
      <color indexed="81"/>
      <name val="Tahoma"/>
      <family val="2"/>
    </font>
    <font>
      <sz val="11"/>
      <color indexed="17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0"/>
      <color indexed="8"/>
      <name val="MS Sans Serif"/>
      <family val="2"/>
    </font>
    <font>
      <b/>
      <sz val="11"/>
      <color indexed="9"/>
      <name val="Arial"/>
      <family val="2"/>
    </font>
    <font>
      <b/>
      <sz val="11"/>
      <color indexed="17"/>
      <name val="Arial"/>
      <family val="2"/>
    </font>
    <font>
      <u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sz val="8"/>
      <name val="Tms Rmn"/>
    </font>
    <font>
      <sz val="12"/>
      <name val="바탕체"/>
      <family val="3"/>
    </font>
    <font>
      <sz val="10"/>
      <name val="Helv"/>
      <family val="2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12"/>
      <name val="新細明體"/>
      <family val="1"/>
      <charset val="136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0"/>
      <color indexed="2"/>
      <name val="Segoe UI"/>
      <family val="2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Segoe UI"/>
      <family val="2"/>
    </font>
    <font>
      <b/>
      <sz val="10"/>
      <color indexed="0"/>
      <name val="Tahoma"/>
      <family val="2"/>
    </font>
    <font>
      <sz val="9"/>
      <name val="GillSans Light"/>
    </font>
    <font>
      <b/>
      <sz val="10"/>
      <color indexed="17"/>
      <name val="Helvetica"/>
      <family val="2"/>
    </font>
    <font>
      <b/>
      <sz val="10"/>
      <color indexed="17"/>
      <name val="Helvetica"/>
      <family val="2"/>
    </font>
    <font>
      <sz val="9"/>
      <name val="Futura UBS Bk"/>
      <family val="2"/>
    </font>
    <font>
      <b/>
      <sz val="8"/>
      <color indexed="10"/>
      <name val="Helvetica"/>
      <family val="2"/>
    </font>
    <font>
      <sz val="10"/>
      <name val="Segoe UI"/>
      <family val="2"/>
    </font>
    <font>
      <sz val="10"/>
      <name val="Tahoma"/>
      <family val="2"/>
    </font>
    <font>
      <u/>
      <sz val="10"/>
      <color indexed="8"/>
      <name val="Arial"/>
      <family val="2"/>
    </font>
    <font>
      <u/>
      <sz val="9"/>
      <color indexed="12"/>
      <name val="Arial"/>
      <family val="2"/>
    </font>
    <font>
      <u/>
      <sz val="8"/>
      <color indexed="12"/>
      <name val="Arial"/>
      <family val="2"/>
    </font>
    <font>
      <u/>
      <sz val="8.5"/>
      <color indexed="12"/>
      <name val="Arial"/>
      <family val="2"/>
    </font>
    <font>
      <sz val="10"/>
      <color indexed="12"/>
      <name val="Times New Roman"/>
      <family val="1"/>
    </font>
    <font>
      <sz val="10"/>
      <name val="GillSans Light"/>
    </font>
    <font>
      <b/>
      <i/>
      <sz val="10"/>
      <color indexed="4"/>
      <name val="Segoe UI"/>
      <family val="2"/>
    </font>
    <font>
      <b/>
      <i/>
      <sz val="10"/>
      <color indexed="4"/>
      <name val="Tahoma"/>
      <family val="2"/>
    </font>
    <font>
      <sz val="10"/>
      <color indexed="4"/>
      <name val="Segoe UI"/>
      <family val="2"/>
    </font>
    <font>
      <sz val="10"/>
      <color indexed="4"/>
      <name val="Tahoma"/>
      <family val="2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sz val="8"/>
      <color indexed="12"/>
      <name val="Helvetica"/>
      <family val="2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9"/>
      <name val="Verdana"/>
      <family val="2"/>
    </font>
    <font>
      <b/>
      <sz val="10"/>
      <color indexed="63"/>
      <name val="Verdana"/>
      <family val="2"/>
    </font>
    <font>
      <b/>
      <sz val="10"/>
      <name val="GillSans"/>
    </font>
    <font>
      <b/>
      <sz val="16"/>
      <color indexed="62"/>
      <name val="Arial"/>
      <family val="2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sz val="11"/>
      <color indexed="8"/>
      <name val="Arial"/>
      <family val="2"/>
    </font>
    <font>
      <b/>
      <sz val="11"/>
      <color indexed="24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u/>
      <sz val="11"/>
      <color indexed="24"/>
      <name val="Calibri"/>
      <family val="2"/>
    </font>
    <font>
      <sz val="11"/>
      <color indexed="8"/>
      <name val="Calibri"/>
      <family val="2"/>
    </font>
    <font>
      <sz val="8"/>
      <name val="Arial"/>
      <family val="2"/>
    </font>
    <font>
      <u/>
      <sz val="11"/>
      <color indexed="24"/>
      <name val="Calibri"/>
      <family val="2"/>
    </font>
    <font>
      <sz val="11"/>
      <color indexed="8"/>
      <name val="Calibri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0"/>
      <name val="Arial"/>
      <family val="2"/>
    </font>
    <font>
      <u/>
      <sz val="11"/>
      <color indexed="24"/>
      <name val="Calibri"/>
      <family val="2"/>
    </font>
    <font>
      <sz val="10"/>
      <name val="Arial"/>
      <family val="2"/>
    </font>
    <font>
      <b/>
      <sz val="10"/>
      <color indexed="17"/>
      <name val="Helvetica"/>
      <family val="2"/>
    </font>
    <font>
      <sz val="8"/>
      <color indexed="12"/>
      <name val="Helvetica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2270AB"/>
      <name val="Arial"/>
      <family val="2"/>
    </font>
    <font>
      <sz val="11"/>
      <name val="??"/>
      <family val="1"/>
    </font>
    <font>
      <u/>
      <sz val="8.4"/>
      <color indexed="12"/>
      <name val="Arial"/>
      <family val="2"/>
    </font>
    <font>
      <sz val="10"/>
      <name val="MS ??"/>
      <family val="1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¹ÙÅÁÃ¼"/>
      <family val="1"/>
      <charset val="129"/>
    </font>
    <font>
      <b/>
      <sz val="10"/>
      <name val="Helvetica"/>
      <family val="2"/>
    </font>
    <font>
      <sz val="12"/>
      <name val="바탕체"/>
      <family val="3"/>
      <charset val="129"/>
    </font>
    <font>
      <sz val="10"/>
      <name val="Tms Rmn"/>
      <family val="1"/>
    </font>
    <font>
      <sz val="12"/>
      <name val="±¼¸²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0"/>
      <name val="±¼¸²Ã¼"/>
      <family val="3"/>
      <charset val="129"/>
    </font>
    <font>
      <sz val="8"/>
      <name val="Tms Rmn"/>
      <family val="1"/>
    </font>
    <font>
      <b/>
      <sz val="8"/>
      <name val="Book Antiqua"/>
      <family val="1"/>
    </font>
    <font>
      <sz val="24"/>
      <name val="MS Sans Serif"/>
      <family val="2"/>
    </font>
    <font>
      <b/>
      <sz val="8"/>
      <name val="Helv"/>
      <family val="2"/>
    </font>
    <font>
      <sz val="11"/>
      <color indexed="12"/>
      <name val="Book Antiqua"/>
      <family val="1"/>
    </font>
    <font>
      <b/>
      <sz val="14"/>
      <name val="Tms Rmn"/>
      <family val="1"/>
    </font>
    <font>
      <b/>
      <sz val="10"/>
      <color indexed="17"/>
      <name val="Helvetica"/>
      <family val="2"/>
    </font>
    <font>
      <u/>
      <sz val="11"/>
      <color indexed="12"/>
      <name val="Calibri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b/>
      <sz val="10"/>
      <name val="MS Sans Serif"/>
      <family val="2"/>
    </font>
    <font>
      <sz val="10"/>
      <name val="Palatino"/>
      <family val="1"/>
    </font>
    <font>
      <sz val="8.25"/>
      <color indexed="8"/>
      <name val="Microsoft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8"/>
      <color indexed="12"/>
      <name val="Helvetica"/>
      <family val="2"/>
    </font>
    <font>
      <sz val="7"/>
      <name val="Arial"/>
      <family val="2"/>
    </font>
    <font>
      <b/>
      <sz val="12"/>
      <name val="MS Sans Serif"/>
      <family val="2"/>
    </font>
    <font>
      <u/>
      <sz val="8"/>
      <name val="Times New Roman"/>
      <family val="1"/>
    </font>
    <font>
      <sz val="12"/>
      <name val="뼻뮝"/>
      <family val="1"/>
      <charset val="129"/>
    </font>
    <font>
      <sz val="12"/>
      <name val="宋体"/>
      <family val="2"/>
      <charset val="134"/>
    </font>
    <font>
      <sz val="12"/>
      <name val="宋体"/>
      <charset val="134"/>
    </font>
    <font>
      <sz val="11"/>
      <name val="Times New Roman"/>
      <family val="1"/>
    </font>
    <font>
      <u/>
      <sz val="10"/>
      <color indexed="36"/>
      <name val="Arial"/>
      <family val="2"/>
    </font>
    <font>
      <sz val="12"/>
      <name val="Courier"/>
      <family val="3"/>
    </font>
    <font>
      <u/>
      <sz val="12"/>
      <color indexed="12"/>
      <name val="Times New Roman"/>
      <family val="1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32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0"/>
        <bgColor indexed="64"/>
      </patternFill>
    </fill>
    <fill>
      <patternFill patternType="mediumGray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lightGray">
        <fgColor indexed="12"/>
      </patternFill>
    </fill>
    <fill>
      <patternFill patternType="gray0625">
        <fgColor indexed="11"/>
      </patternFill>
    </fill>
    <fill>
      <patternFill patternType="gray0625">
        <bgColor indexed="11"/>
      </patternFill>
    </fill>
    <fill>
      <patternFill patternType="solid">
        <fgColor indexed="13"/>
      </patternFill>
    </fill>
    <fill>
      <patternFill patternType="solid">
        <fgColor indexed="21"/>
      </patternFill>
    </fill>
    <fill>
      <patternFill patternType="solid">
        <fgColor indexed="6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3980">
    <xf numFmtId="0" fontId="0" fillId="0" borderId="0"/>
    <xf numFmtId="9" fontId="55" fillId="0" borderId="0">
      <alignment horizontal="right"/>
    </xf>
    <xf numFmtId="0" fontId="62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62" fillId="0" borderId="0" applyNumberFormat="0" applyFont="0" applyFill="0" applyBorder="0" applyAlignment="0" applyProtection="0"/>
    <xf numFmtId="0" fontId="62" fillId="0" borderId="0" applyNumberFormat="0" applyFont="0" applyFill="0" applyBorder="0" applyAlignment="0" applyProtection="0"/>
    <xf numFmtId="0" fontId="25" fillId="0" borderId="0" applyNumberFormat="0" applyFill="0" applyBorder="0" applyAlignment="0" applyProtection="0"/>
    <xf numFmtId="214" fontId="88" fillId="0" borderId="0">
      <alignment horizontal="right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0" fontId="25" fillId="0" borderId="0" applyFont="0" applyFill="0" applyBorder="0" applyAlignment="0" applyProtection="0"/>
    <xf numFmtId="0" fontId="62" fillId="0" borderId="0" applyNumberFormat="0" applyFont="0" applyFill="0" applyBorder="0" applyAlignment="0" applyProtection="0"/>
    <xf numFmtId="0" fontId="89" fillId="0" borderId="0"/>
    <xf numFmtId="0" fontId="25" fillId="0" borderId="0"/>
    <xf numFmtId="0" fontId="25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0" fillId="0" borderId="0"/>
    <xf numFmtId="0" fontId="90" fillId="0" borderId="0"/>
    <xf numFmtId="3" fontId="86" fillId="0" borderId="0"/>
    <xf numFmtId="3" fontId="86" fillId="0" borderId="0"/>
    <xf numFmtId="0" fontId="90" fillId="0" borderId="0"/>
    <xf numFmtId="0" fontId="90" fillId="0" borderId="0"/>
    <xf numFmtId="0" fontId="90" fillId="0" borderId="0"/>
    <xf numFmtId="3" fontId="8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0" fontId="8" fillId="0" borderId="0"/>
    <xf numFmtId="0" fontId="153" fillId="0" borderId="0"/>
    <xf numFmtId="0" fontId="161" fillId="0" borderId="0"/>
    <xf numFmtId="0" fontId="25" fillId="0" borderId="0"/>
    <xf numFmtId="0" fontId="163" fillId="0" borderId="0"/>
    <xf numFmtId="0" fontId="25" fillId="0" borderId="0"/>
    <xf numFmtId="0" fontId="25" fillId="0" borderId="0"/>
    <xf numFmtId="0" fontId="161" fillId="0" borderId="0"/>
    <xf numFmtId="0" fontId="25" fillId="0" borderId="0"/>
    <xf numFmtId="0" fontId="163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3" fontId="86" fillId="0" borderId="0"/>
    <xf numFmtId="3" fontId="86" fillId="0" borderId="0"/>
    <xf numFmtId="0" fontId="90" fillId="0" borderId="0"/>
    <xf numFmtId="0" fontId="25" fillId="0" borderId="0"/>
    <xf numFmtId="0" fontId="25" fillId="0" borderId="0" applyFill="0" applyAlignment="0">
      <protection locked="0"/>
    </xf>
    <xf numFmtId="0" fontId="25" fillId="0" borderId="0" applyFill="0" applyAlignment="0">
      <protection locked="0"/>
    </xf>
    <xf numFmtId="3" fontId="86" fillId="0" borderId="0"/>
    <xf numFmtId="44" fontId="91" fillId="0" borderId="0" applyFont="0" applyFill="0" applyBorder="0" applyAlignment="0" applyProtection="0"/>
    <xf numFmtId="42" fontId="91" fillId="0" borderId="0" applyFont="0" applyFill="0" applyBorder="0" applyAlignment="0" applyProtection="0"/>
    <xf numFmtId="215" fontId="92" fillId="0" borderId="0" applyFont="0" applyFill="0" applyBorder="0" applyAlignment="0" applyProtection="0"/>
    <xf numFmtId="216" fontId="92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93" fillId="0" borderId="0"/>
    <xf numFmtId="0" fontId="91" fillId="0" borderId="0"/>
    <xf numFmtId="0" fontId="42" fillId="0" borderId="0"/>
    <xf numFmtId="0" fontId="42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9" fontId="25" fillId="0" borderId="0"/>
    <xf numFmtId="0" fontId="25" fillId="0" borderId="0"/>
    <xf numFmtId="0" fontId="25" fillId="0" borderId="0"/>
    <xf numFmtId="0" fontId="86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2" fontId="42" fillId="0" borderId="0"/>
    <xf numFmtId="2" fontId="42" fillId="0" borderId="0"/>
    <xf numFmtId="10" fontId="42" fillId="0" borderId="0"/>
    <xf numFmtId="1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206" fontId="42" fillId="0" borderId="0"/>
    <xf numFmtId="206" fontId="42" fillId="0" borderId="0"/>
    <xf numFmtId="206" fontId="42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182" fontId="25" fillId="0" borderId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2" borderId="0" applyNumberFormat="0" applyBorder="0" applyAlignment="0" applyProtection="0"/>
    <xf numFmtId="0" fontId="66" fillId="5" borderId="0" applyNumberFormat="0" applyBorder="0" applyAlignment="0" applyProtection="0"/>
    <xf numFmtId="0" fontId="66" fillId="5" borderId="0" applyNumberFormat="0" applyBorder="0" applyAlignment="0" applyProtection="0"/>
    <xf numFmtId="0" fontId="66" fillId="5" borderId="0" applyNumberFormat="0" applyBorder="0" applyAlignment="0" applyProtection="0"/>
    <xf numFmtId="0" fontId="66" fillId="5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3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6" borderId="0" applyNumberFormat="0" applyBorder="0" applyAlignment="0" applyProtection="0"/>
    <xf numFmtId="0" fontId="66" fillId="7" borderId="0" applyNumberFormat="0" applyBorder="0" applyAlignment="0" applyProtection="0"/>
    <xf numFmtId="0" fontId="66" fillId="7" borderId="0" applyNumberFormat="0" applyBorder="0" applyAlignment="0" applyProtection="0"/>
    <xf numFmtId="0" fontId="66" fillId="7" borderId="0" applyNumberFormat="0" applyBorder="0" applyAlignment="0" applyProtection="0"/>
    <xf numFmtId="0" fontId="66" fillId="7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6" fillId="4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0" fontId="67" fillId="9" borderId="0" applyNumberFormat="0" applyBorder="0" applyAlignment="0" applyProtection="0"/>
    <xf numFmtId="0" fontId="67" fillId="9" borderId="0" applyNumberFormat="0" applyBorder="0" applyAlignment="0" applyProtection="0"/>
    <xf numFmtId="0" fontId="67" fillId="9" borderId="0" applyNumberFormat="0" applyBorder="0" applyAlignment="0" applyProtection="0"/>
    <xf numFmtId="0" fontId="67" fillId="6" borderId="0" applyNumberFormat="0" applyBorder="0" applyAlignment="0" applyProtection="0"/>
    <xf numFmtId="0" fontId="67" fillId="6" borderId="0" applyNumberFormat="0" applyBorder="0" applyAlignment="0" applyProtection="0"/>
    <xf numFmtId="0" fontId="67" fillId="6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4" borderId="0" applyNumberFormat="0" applyBorder="0" applyAlignment="0" applyProtection="0"/>
    <xf numFmtId="0" fontId="67" fillId="4" borderId="0" applyNumberFormat="0" applyBorder="0" applyAlignment="0" applyProtection="0"/>
    <xf numFmtId="0" fontId="67" fillId="4" borderId="0" applyNumberFormat="0" applyBorder="0" applyAlignment="0" applyProtection="0"/>
    <xf numFmtId="37" fontId="94" fillId="0" borderId="0">
      <alignment horizontal="center"/>
    </xf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0" fontId="67" fillId="9" borderId="0" applyNumberFormat="0" applyBorder="0" applyAlignment="0" applyProtection="0"/>
    <xf numFmtId="0" fontId="67" fillId="9" borderId="0" applyNumberFormat="0" applyBorder="0" applyAlignment="0" applyProtection="0"/>
    <xf numFmtId="0" fontId="67" fillId="9" borderId="0" applyNumberFormat="0" applyBorder="0" applyAlignment="0" applyProtection="0"/>
    <xf numFmtId="0" fontId="67" fillId="10" borderId="0" applyNumberFormat="0" applyBorder="0" applyAlignment="0" applyProtection="0"/>
    <xf numFmtId="0" fontId="67" fillId="10" borderId="0" applyNumberFormat="0" applyBorder="0" applyAlignment="0" applyProtection="0"/>
    <xf numFmtId="0" fontId="67" fillId="10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8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0" fontId="67" fillId="3" borderId="0" applyNumberFormat="0" applyBorder="0" applyAlignment="0" applyProtection="0"/>
    <xf numFmtId="217" fontId="95" fillId="0" borderId="0" applyFont="0" applyFill="0" applyBorder="0" applyAlignment="0" applyProtection="0"/>
    <xf numFmtId="218" fontId="9" fillId="0" borderId="0" applyFont="0" applyFill="0" applyBorder="0" applyProtection="0"/>
    <xf numFmtId="218" fontId="9" fillId="0" borderId="0" applyFont="0" applyFill="0" applyBorder="0" applyProtection="0"/>
    <xf numFmtId="218" fontId="156" fillId="0" borderId="0" applyFont="0" applyFill="0" applyBorder="0" applyProtection="0"/>
    <xf numFmtId="218" fontId="9" fillId="0" borderId="0" applyFont="0" applyFill="0" applyBorder="0" applyProtection="0"/>
    <xf numFmtId="219" fontId="96" fillId="0" borderId="0">
      <alignment horizontal="left"/>
    </xf>
    <xf numFmtId="167" fontId="97" fillId="0" borderId="0" applyFont="0" applyFill="0" applyBorder="0" applyAlignment="0" applyProtection="0"/>
    <xf numFmtId="0" fontId="68" fillId="11" borderId="0" applyNumberFormat="0" applyBorder="0" applyAlignment="0" applyProtection="0"/>
    <xf numFmtId="0" fontId="68" fillId="11" borderId="0" applyNumberFormat="0" applyBorder="0" applyAlignment="0" applyProtection="0"/>
    <xf numFmtId="0" fontId="68" fillId="11" borderId="0" applyNumberFormat="0" applyBorder="0" applyAlignment="0" applyProtection="0"/>
    <xf numFmtId="1" fontId="98" fillId="12" borderId="1" applyNumberFormat="0" applyBorder="0" applyAlignment="0">
      <alignment horizontal="center" vertical="top" wrapText="1"/>
      <protection hidden="1"/>
    </xf>
    <xf numFmtId="0" fontId="99" fillId="0" borderId="0" applyNumberFormat="0" applyFill="0" applyBorder="0" applyAlignment="0" applyProtection="0"/>
    <xf numFmtId="0" fontId="100" fillId="0" borderId="2" applyNumberFormat="0" applyFill="0" applyAlignment="0" applyProtection="0"/>
    <xf numFmtId="220" fontId="9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9" fillId="0" borderId="0"/>
    <xf numFmtId="0" fontId="69" fillId="13" borderId="3" applyNumberFormat="0" applyAlignment="0" applyProtection="0"/>
    <xf numFmtId="0" fontId="69" fillId="13" borderId="3" applyNumberFormat="0" applyAlignment="0" applyProtection="0"/>
    <xf numFmtId="0" fontId="69" fillId="13" borderId="3" applyNumberFormat="0" applyAlignment="0" applyProtection="0"/>
    <xf numFmtId="0" fontId="88" fillId="0" borderId="0">
      <alignment horizontal="right"/>
    </xf>
    <xf numFmtId="1" fontId="101" fillId="0" borderId="0"/>
    <xf numFmtId="0" fontId="70" fillId="14" borderId="4" applyNumberFormat="0" applyAlignment="0" applyProtection="0"/>
    <xf numFmtId="0" fontId="70" fillId="14" borderId="4" applyNumberFormat="0" applyAlignment="0" applyProtection="0"/>
    <xf numFmtId="0" fontId="70" fillId="14" borderId="4" applyNumberFormat="0" applyAlignment="0" applyProtection="0"/>
    <xf numFmtId="0" fontId="102" fillId="0" borderId="2" applyNumberFormat="0" applyFill="0" applyProtection="0">
      <alignment horizontal="left" vertical="center"/>
    </xf>
    <xf numFmtId="205" fontId="39" fillId="0" borderId="0" applyBorder="0">
      <alignment horizontal="right"/>
    </xf>
    <xf numFmtId="205" fontId="39" fillId="0" borderId="5" applyAlignment="0">
      <alignment horizontal="right"/>
    </xf>
    <xf numFmtId="43" fontId="8" fillId="0" borderId="0" applyFont="0" applyFill="0" applyBorder="0" applyAlignment="0" applyProtection="0"/>
    <xf numFmtId="221" fontId="103" fillId="0" borderId="0"/>
    <xf numFmtId="221" fontId="103" fillId="0" borderId="0"/>
    <xf numFmtId="221" fontId="103" fillId="0" borderId="0"/>
    <xf numFmtId="221" fontId="103" fillId="0" borderId="0"/>
    <xf numFmtId="221" fontId="103" fillId="0" borderId="0"/>
    <xf numFmtId="221" fontId="103" fillId="0" borderId="0"/>
    <xf numFmtId="221" fontId="103" fillId="0" borderId="0"/>
    <xf numFmtId="221" fontId="103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99" fontId="86" fillId="0" borderId="0"/>
    <xf numFmtId="43" fontId="25" fillId="0" borderId="0" applyFont="0" applyFill="0" applyBorder="0" applyAlignment="0" applyProtection="0"/>
    <xf numFmtId="199" fontId="86" fillId="0" borderId="0"/>
    <xf numFmtId="43" fontId="66" fillId="0" borderId="0" applyFont="0" applyFill="0" applyBorder="0" applyAlignment="0" applyProtection="0"/>
    <xf numFmtId="199" fontId="86" fillId="0" borderId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222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222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58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53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53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53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16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104" fillId="0" borderId="0"/>
    <xf numFmtId="0" fontId="105" fillId="0" borderId="0" applyFill="0" applyBorder="0">
      <alignment horizontal="left"/>
    </xf>
    <xf numFmtId="44" fontId="8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66" fillId="0" borderId="0" applyFont="0" applyFill="0" applyBorder="0" applyAlignment="0" applyProtection="0"/>
    <xf numFmtId="44" fontId="161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161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163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66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66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223" fontId="92" fillId="0" borderId="0" applyFont="0" applyFill="0" applyBorder="0" applyAlignment="0" applyProtection="0"/>
    <xf numFmtId="14" fontId="18" fillId="0" borderId="6" applyFont="0">
      <alignment horizontal="right"/>
    </xf>
    <xf numFmtId="224" fontId="25" fillId="0" borderId="0" applyFont="0" applyFill="0" applyBorder="0" applyAlignment="0" applyProtection="0"/>
    <xf numFmtId="0" fontId="91" fillId="0" borderId="0"/>
    <xf numFmtId="0" fontId="106" fillId="0" borderId="0"/>
    <xf numFmtId="225" fontId="88" fillId="0" borderId="0">
      <alignment horizontal="right"/>
    </xf>
    <xf numFmtId="0" fontId="88" fillId="0" borderId="0"/>
    <xf numFmtId="5" fontId="10" fillId="0" borderId="0" applyFont="0" applyFill="0" applyBorder="0" applyAlignment="0" applyProtection="0">
      <protection locked="0"/>
    </xf>
    <xf numFmtId="5" fontId="10" fillId="0" borderId="0" applyFont="0" applyFill="0" applyBorder="0" applyAlignment="0" applyProtection="0">
      <protection locked="0"/>
    </xf>
    <xf numFmtId="226" fontId="66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07" fillId="0" borderId="0"/>
    <xf numFmtId="0" fontId="108" fillId="0" borderId="0"/>
    <xf numFmtId="1" fontId="109" fillId="15" borderId="7" applyNumberFormat="0" applyBorder="0" applyAlignment="0">
      <alignment horizontal="centerContinuous" vertical="center"/>
      <protection locked="0"/>
    </xf>
    <xf numFmtId="0" fontId="110" fillId="16" borderId="0"/>
    <xf numFmtId="0" fontId="111" fillId="16" borderId="0"/>
    <xf numFmtId="0" fontId="88" fillId="0" borderId="0"/>
    <xf numFmtId="0" fontId="112" fillId="0" borderId="0" applyNumberFormat="0" applyFill="0" applyBorder="0" applyProtection="0">
      <alignment horizontal="left" vertical="center"/>
    </xf>
    <xf numFmtId="49" fontId="9" fillId="0" borderId="0" applyFill="0" applyBorder="0"/>
    <xf numFmtId="49" fontId="9" fillId="0" borderId="0" applyFill="0" applyBorder="0"/>
    <xf numFmtId="49" fontId="25" fillId="0" borderId="0"/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49" fontId="25" fillId="0" borderId="0" applyFill="0" applyBorder="0">
      <alignment horizontal="right" vertical="center"/>
    </xf>
    <xf numFmtId="0" fontId="72" fillId="17" borderId="0" applyNumberFormat="0" applyBorder="0" applyAlignment="0" applyProtection="0"/>
    <xf numFmtId="0" fontId="72" fillId="17" borderId="0" applyNumberFormat="0" applyBorder="0" applyAlignment="0" applyProtection="0"/>
    <xf numFmtId="0" fontId="72" fillId="17" borderId="0" applyNumberFormat="0" applyBorder="0" applyAlignment="0" applyProtection="0"/>
    <xf numFmtId="0" fontId="113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4" fillId="0" borderId="0"/>
    <xf numFmtId="0" fontId="114" fillId="0" borderId="0"/>
    <xf numFmtId="0" fontId="113" fillId="0" borderId="0"/>
    <xf numFmtId="0" fontId="159" fillId="0" borderId="0"/>
    <xf numFmtId="0" fontId="113" fillId="0" borderId="0"/>
    <xf numFmtId="0" fontId="164" fillId="0" borderId="0"/>
    <xf numFmtId="0" fontId="114" fillId="0" borderId="0"/>
    <xf numFmtId="0" fontId="113" fillId="0" borderId="0"/>
    <xf numFmtId="0" fontId="114" fillId="0" borderId="0"/>
    <xf numFmtId="0" fontId="113" fillId="0" borderId="0"/>
    <xf numFmtId="38" fontId="9" fillId="18" borderId="0" applyNumberFormat="0" applyBorder="0" applyAlignment="0" applyProtection="0"/>
    <xf numFmtId="38" fontId="9" fillId="18" borderId="0" applyNumberFormat="0" applyBorder="0" applyAlignment="0" applyProtection="0"/>
    <xf numFmtId="38" fontId="9" fillId="18" borderId="0" applyNumberFormat="0" applyBorder="0" applyAlignment="0" applyProtection="0"/>
    <xf numFmtId="167" fontId="25" fillId="19" borderId="8" applyNumberFormat="0" applyFont="0" applyBorder="0" applyAlignment="0" applyProtection="0"/>
    <xf numFmtId="167" fontId="25" fillId="19" borderId="8" applyNumberFormat="0" applyFont="0" applyBorder="0" applyAlignment="0" applyProtection="0"/>
    <xf numFmtId="182" fontId="115" fillId="19" borderId="0" applyNumberFormat="0" applyFont="0" applyAlignment="0"/>
    <xf numFmtId="0" fontId="116" fillId="20" borderId="0">
      <alignment horizontal="left"/>
    </xf>
    <xf numFmtId="0" fontId="52" fillId="0" borderId="9" applyNumberFormat="0" applyAlignment="0" applyProtection="0">
      <alignment horizontal="left" vertical="center"/>
    </xf>
    <xf numFmtId="0" fontId="52" fillId="0" borderId="6">
      <alignment horizontal="left" vertical="center"/>
    </xf>
    <xf numFmtId="0" fontId="73" fillId="0" borderId="10" applyNumberFormat="0" applyFill="0" applyAlignment="0" applyProtection="0"/>
    <xf numFmtId="0" fontId="73" fillId="0" borderId="10" applyNumberFormat="0" applyFill="0" applyAlignment="0" applyProtection="0"/>
    <xf numFmtId="0" fontId="73" fillId="0" borderId="10" applyNumberFormat="0" applyFill="0" applyAlignment="0" applyProtection="0"/>
    <xf numFmtId="0" fontId="74" fillId="0" borderId="11" applyNumberFormat="0" applyFill="0" applyAlignment="0" applyProtection="0"/>
    <xf numFmtId="0" fontId="74" fillId="0" borderId="11" applyNumberFormat="0" applyFill="0" applyAlignment="0" applyProtection="0"/>
    <xf numFmtId="0" fontId="74" fillId="0" borderId="11" applyNumberFormat="0" applyFill="0" applyAlignment="0" applyProtection="0"/>
    <xf numFmtId="0" fontId="75" fillId="0" borderId="12" applyNumberFormat="0" applyFill="0" applyAlignment="0" applyProtection="0"/>
    <xf numFmtId="0" fontId="75" fillId="0" borderId="12" applyNumberFormat="0" applyFill="0" applyAlignment="0" applyProtection="0"/>
    <xf numFmtId="0" fontId="75" fillId="0" borderId="12" applyNumberFormat="0" applyFill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117" fillId="0" borderId="0">
      <alignment wrapText="1"/>
    </xf>
    <xf numFmtId="0" fontId="118" fillId="0" borderId="0">
      <alignment wrapText="1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2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0" fontId="15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76" fillId="4" borderId="3" applyNumberFormat="0" applyAlignment="0" applyProtection="0"/>
    <xf numFmtId="10" fontId="9" fillId="21" borderId="8" applyNumberFormat="0" applyBorder="0" applyAlignment="0" applyProtection="0"/>
    <xf numFmtId="10" fontId="9" fillId="21" borderId="8" applyNumberFormat="0" applyBorder="0" applyAlignment="0" applyProtection="0"/>
    <xf numFmtId="10" fontId="9" fillId="21" borderId="8" applyNumberFormat="0" applyBorder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76" fillId="4" borderId="3" applyNumberFormat="0" applyAlignment="0" applyProtection="0"/>
    <xf numFmtId="0" fontId="123" fillId="0" borderId="0" applyNumberFormat="0" applyFill="0" applyBorder="0" applyAlignment="0">
      <protection locked="0"/>
    </xf>
    <xf numFmtId="0" fontId="88" fillId="0" borderId="0"/>
    <xf numFmtId="0" fontId="124" fillId="0" borderId="0" applyNumberFormat="0" applyFill="0" applyBorder="0" applyProtection="0">
      <alignment horizontal="left" vertical="center"/>
    </xf>
    <xf numFmtId="0" fontId="77" fillId="0" borderId="13" applyNumberFormat="0" applyFill="0" applyAlignment="0" applyProtection="0"/>
    <xf numFmtId="0" fontId="77" fillId="0" borderId="13" applyNumberFormat="0" applyFill="0" applyAlignment="0" applyProtection="0"/>
    <xf numFmtId="0" fontId="77" fillId="0" borderId="13" applyNumberFormat="0" applyFill="0" applyAlignment="0" applyProtection="0"/>
    <xf numFmtId="0" fontId="110" fillId="0" borderId="0"/>
    <xf numFmtId="0" fontId="111" fillId="0" borderId="0"/>
    <xf numFmtId="0" fontId="125" fillId="0" borderId="0"/>
    <xf numFmtId="0" fontId="126" fillId="0" borderId="0"/>
    <xf numFmtId="0" fontId="127" fillId="0" borderId="0"/>
    <xf numFmtId="0" fontId="128" fillId="0" borderId="0"/>
    <xf numFmtId="224" fontId="9" fillId="21" borderId="0">
      <alignment horizontal="center"/>
    </xf>
    <xf numFmtId="224" fontId="9" fillId="21" borderId="0">
      <alignment horizontal="center"/>
    </xf>
    <xf numFmtId="224" fontId="9" fillId="21" borderId="0">
      <alignment horizontal="center"/>
    </xf>
    <xf numFmtId="227" fontId="9" fillId="0" borderId="0"/>
    <xf numFmtId="0" fontId="78" fillId="4" borderId="0" applyNumberFormat="0" applyBorder="0" applyAlignment="0" applyProtection="0"/>
    <xf numFmtId="0" fontId="78" fillId="4" borderId="0" applyNumberFormat="0" applyBorder="0" applyAlignment="0" applyProtection="0"/>
    <xf numFmtId="0" fontId="78" fillId="4" borderId="0" applyNumberFormat="0" applyBorder="0" applyAlignment="0" applyProtection="0"/>
    <xf numFmtId="37" fontId="129" fillId="0" borderId="0"/>
    <xf numFmtId="228" fontId="130" fillId="0" borderId="0"/>
    <xf numFmtId="3" fontId="86" fillId="0" borderId="0"/>
    <xf numFmtId="3" fontId="86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8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86" fillId="0" borderId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9" fillId="0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17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161" fillId="0" borderId="0"/>
    <xf numFmtId="0" fontId="25" fillId="0" borderId="0"/>
    <xf numFmtId="0" fontId="156" fillId="0" borderId="0" applyNumberFormat="0" applyBorder="0" applyAlignment="0" applyProtection="0"/>
    <xf numFmtId="0" fontId="25" fillId="0" borderId="0"/>
    <xf numFmtId="0" fontId="9" fillId="0" borderId="0" applyNumberFormat="0" applyBorder="0" applyAlignment="0" applyProtection="0"/>
    <xf numFmtId="0" fontId="156" fillId="0" borderId="0" applyNumberFormat="0" applyBorder="0" applyAlignment="0" applyProtection="0"/>
    <xf numFmtId="0" fontId="25" fillId="0" borderId="0" applyNumberFormat="0" applyFont="0" applyFill="0" applyBorder="0" applyAlignment="0" applyProtection="0"/>
    <xf numFmtId="0" fontId="9" fillId="0" borderId="0" applyNumberFormat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161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1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1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1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>
      <alignment vertical="center"/>
    </xf>
    <xf numFmtId="0" fontId="166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3" fontId="86" fillId="0" borderId="0"/>
    <xf numFmtId="0" fontId="25" fillId="0" borderId="0" applyNumberFormat="0" applyFont="0" applyFill="0" applyBorder="0" applyAlignment="0" applyProtection="0"/>
    <xf numFmtId="0" fontId="25" fillId="0" borderId="0"/>
    <xf numFmtId="3" fontId="8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3" fontId="8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>
      <alignment vertical="center"/>
    </xf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3" fontId="8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117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3" fontId="8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3" fontId="86" fillId="0" borderId="0"/>
    <xf numFmtId="0" fontId="25" fillId="0" borderId="0"/>
    <xf numFmtId="0" fontId="25" fillId="0" borderId="0"/>
    <xf numFmtId="0" fontId="25" fillId="0" borderId="0"/>
    <xf numFmtId="0" fontId="167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9" fillId="0" borderId="0" applyNumberFormat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166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167" fillId="0" borderId="0"/>
    <xf numFmtId="0" fontId="25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9" fillId="0" borderId="0" applyNumberFormat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9" fillId="0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9" fillId="0" borderId="0" applyNumberFormat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7" fillId="0" borderId="0"/>
    <xf numFmtId="0" fontId="25" fillId="0" borderId="0" applyNumberFormat="0" applyFont="0" applyFill="0" applyBorder="0" applyAlignment="0" applyProtection="0"/>
    <xf numFmtId="0" fontId="167" fillId="0" borderId="0"/>
    <xf numFmtId="0" fontId="25" fillId="0" borderId="0" applyNumberFormat="0" applyFont="0" applyFill="0" applyBorder="0" applyAlignment="0" applyProtection="0"/>
    <xf numFmtId="0" fontId="167" fillId="0" borderId="0"/>
    <xf numFmtId="0" fontId="25" fillId="0" borderId="0" applyNumberFormat="0" applyFont="0" applyFill="0" applyBorder="0" applyAlignment="0" applyProtection="0"/>
    <xf numFmtId="0" fontId="167" fillId="0" borderId="0"/>
    <xf numFmtId="0" fontId="25" fillId="0" borderId="0" applyNumberFormat="0" applyFont="0" applyFill="0" applyBorder="0" applyAlignment="0" applyProtection="0"/>
    <xf numFmtId="0" fontId="167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66" fillId="0" borderId="0"/>
    <xf numFmtId="0" fontId="25" fillId="0" borderId="0" applyNumberFormat="0" applyFont="0" applyFill="0" applyBorder="0" applyAlignment="0" applyProtection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166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25" fillId="0" borderId="0" applyNumberFormat="0" applyFont="0" applyFill="0" applyBorder="0" applyAlignment="0" applyProtection="0"/>
    <xf numFmtId="0" fontId="131" fillId="0" borderId="0"/>
    <xf numFmtId="0" fontId="13" fillId="0" borderId="0"/>
    <xf numFmtId="164" fontId="17" fillId="0" borderId="0"/>
    <xf numFmtId="0" fontId="13" fillId="0" borderId="0"/>
    <xf numFmtId="0" fontId="8" fillId="4" borderId="14" applyNumberFormat="0" applyFont="0" applyAlignment="0" applyProtection="0"/>
    <xf numFmtId="0" fontId="163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66" fillId="4" borderId="35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66" fillId="4" borderId="35" applyNumberFormat="0" applyFont="0" applyAlignment="0" applyProtection="0"/>
    <xf numFmtId="0" fontId="66" fillId="4" borderId="35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153" fillId="4" borderId="14" applyNumberFormat="0" applyFont="0" applyAlignment="0" applyProtection="0"/>
    <xf numFmtId="0" fontId="161" fillId="4" borderId="14" applyNumberFormat="0" applyFont="0" applyAlignment="0" applyProtection="0"/>
    <xf numFmtId="0" fontId="25" fillId="4" borderId="14" applyNumberFormat="0" applyFont="0" applyAlignment="0" applyProtection="0"/>
    <xf numFmtId="0" fontId="163" fillId="4" borderId="14" applyNumberFormat="0" applyFont="0" applyAlignment="0" applyProtection="0"/>
    <xf numFmtId="0" fontId="25" fillId="4" borderId="14" applyNumberFormat="0" applyFont="0" applyAlignment="0" applyProtection="0"/>
    <xf numFmtId="0" fontId="25" fillId="4" borderId="14" applyNumberFormat="0" applyFont="0" applyAlignment="0" applyProtection="0"/>
    <xf numFmtId="0" fontId="161" fillId="4" borderId="14" applyNumberFormat="0" applyFont="0" applyAlignment="0" applyProtection="0"/>
    <xf numFmtId="0" fontId="25" fillId="4" borderId="14" applyNumberFormat="0" applyFont="0" applyAlignment="0" applyProtection="0"/>
    <xf numFmtId="168" fontId="55" fillId="0" borderId="0" applyFont="0" applyFill="0" applyBorder="0" applyProtection="0">
      <alignment horizontal="right"/>
    </xf>
    <xf numFmtId="3" fontId="86" fillId="0" borderId="15" applyBorder="0"/>
    <xf numFmtId="168" fontId="55" fillId="0" borderId="0" applyFont="0" applyFill="0" applyBorder="0" applyProtection="0">
      <alignment horizontal="right"/>
    </xf>
    <xf numFmtId="3" fontId="86" fillId="0" borderId="15" applyBorder="0"/>
    <xf numFmtId="3" fontId="86" fillId="0" borderId="15" applyBorder="0"/>
    <xf numFmtId="3" fontId="86" fillId="0" borderId="15" applyBorder="0"/>
    <xf numFmtId="3" fontId="86" fillId="0" borderId="0" applyBorder="0"/>
    <xf numFmtId="3" fontId="86" fillId="0" borderId="0" applyBorder="0"/>
    <xf numFmtId="3" fontId="86" fillId="0" borderId="0" applyBorder="0"/>
    <xf numFmtId="3" fontId="86" fillId="0" borderId="0" applyBorder="0"/>
    <xf numFmtId="3" fontId="86" fillId="0" borderId="0" applyBorder="0"/>
    <xf numFmtId="3" fontId="86" fillId="0" borderId="0" applyBorder="0"/>
    <xf numFmtId="43" fontId="91" fillId="0" borderId="0" applyFont="0" applyFill="0" applyBorder="0" applyAlignment="0" applyProtection="0"/>
    <xf numFmtId="41" fontId="91" fillId="0" borderId="0" applyFont="0" applyFill="0" applyBorder="0" applyAlignment="0" applyProtection="0"/>
    <xf numFmtId="205" fontId="8" fillId="0" borderId="0"/>
    <xf numFmtId="0" fontId="132" fillId="0" borderId="0">
      <alignment horizontal="left"/>
    </xf>
    <xf numFmtId="0" fontId="79" fillId="13" borderId="16" applyNumberFormat="0" applyAlignment="0" applyProtection="0"/>
    <xf numFmtId="0" fontId="79" fillId="13" borderId="16" applyNumberFormat="0" applyAlignment="0" applyProtection="0"/>
    <xf numFmtId="0" fontId="79" fillId="13" borderId="16" applyNumberFormat="0" applyAlignment="0" applyProtection="0"/>
    <xf numFmtId="0" fontId="44" fillId="0" borderId="0">
      <alignment vertical="center"/>
    </xf>
    <xf numFmtId="0" fontId="127" fillId="0" borderId="0"/>
    <xf numFmtId="0" fontId="128" fillId="0" borderId="0"/>
    <xf numFmtId="9" fontId="8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86" fillId="0" borderId="0" applyFont="0" applyFill="0" applyBorder="0" applyProtection="0">
      <alignment horizontal="right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86" fillId="0" borderId="0" applyFont="0" applyFill="0" applyBorder="0" applyProtection="0">
      <alignment horizontal="right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86" fillId="0" borderId="0" applyFont="0" applyFill="0" applyBorder="0" applyProtection="0">
      <alignment horizontal="right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5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3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61" fillId="0" borderId="0" applyFont="0" applyFill="0" applyBorder="0" applyAlignment="0" applyProtection="0"/>
    <xf numFmtId="9" fontId="25" fillId="0" borderId="0" applyFont="0" applyFill="0" applyBorder="0" applyAlignment="0" applyProtection="0"/>
    <xf numFmtId="167" fontId="25" fillId="0" borderId="0" applyFont="0" applyFill="0" applyBorder="0" applyAlignment="0" applyProtection="0"/>
    <xf numFmtId="1" fontId="133" fillId="18" borderId="0">
      <alignment horizontal="center"/>
    </xf>
    <xf numFmtId="229" fontId="9" fillId="0" borderId="0"/>
    <xf numFmtId="229" fontId="9" fillId="0" borderId="0"/>
    <xf numFmtId="49" fontId="86" fillId="0" borderId="0">
      <alignment horizontal="right"/>
    </xf>
    <xf numFmtId="49" fontId="86" fillId="0" borderId="0">
      <alignment horizontal="right"/>
    </xf>
    <xf numFmtId="0" fontId="134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5" fillId="0" borderId="0"/>
    <xf numFmtId="0" fontId="135" fillId="0" borderId="0"/>
    <xf numFmtId="0" fontId="134" fillId="0" borderId="0"/>
    <xf numFmtId="0" fontId="160" fillId="0" borderId="0"/>
    <xf numFmtId="0" fontId="134" fillId="0" borderId="0"/>
    <xf numFmtId="0" fontId="165" fillId="0" borderId="0"/>
    <xf numFmtId="0" fontId="135" fillId="0" borderId="0"/>
    <xf numFmtId="0" fontId="134" fillId="0" borderId="0"/>
    <xf numFmtId="0" fontId="135" fillId="0" borderId="0"/>
    <xf numFmtId="0" fontId="134" fillId="0" borderId="0"/>
    <xf numFmtId="0" fontId="124" fillId="0" borderId="0" applyNumberFormat="0" applyFill="0" applyBorder="0" applyProtection="0">
      <alignment horizontal="right" vertical="center"/>
    </xf>
    <xf numFmtId="0" fontId="25" fillId="22" borderId="0" applyNumberFormat="0" applyFont="0" applyBorder="0" applyAlignment="0" applyProtection="0"/>
    <xf numFmtId="0" fontId="25" fillId="22" borderId="0" applyNumberFormat="0" applyFont="0" applyBorder="0" applyAlignment="0" applyProtection="0"/>
    <xf numFmtId="182" fontId="45" fillId="0" borderId="0"/>
    <xf numFmtId="182" fontId="45" fillId="0" borderId="0"/>
    <xf numFmtId="182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0" fontId="45" fillId="0" borderId="17">
      <alignment horizontal="centerContinuous"/>
    </xf>
    <xf numFmtId="3" fontId="9" fillId="0" borderId="0"/>
    <xf numFmtId="3" fontId="9" fillId="0" borderId="0"/>
    <xf numFmtId="0" fontId="46" fillId="0" borderId="17"/>
    <xf numFmtId="0" fontId="8" fillId="0" borderId="0">
      <alignment vertical="top"/>
    </xf>
    <xf numFmtId="0" fontId="25" fillId="0" borderId="0"/>
    <xf numFmtId="0" fontId="25" fillId="0" borderId="0" applyNumberFormat="0" applyFill="0" applyBorder="0" applyAlignment="0" applyProtection="0"/>
    <xf numFmtId="0" fontId="153" fillId="0" borderId="0">
      <alignment vertical="top"/>
    </xf>
    <xf numFmtId="0" fontId="161" fillId="0" borderId="0">
      <alignment vertical="top"/>
    </xf>
    <xf numFmtId="0" fontId="25" fillId="0" borderId="0">
      <alignment vertical="top"/>
    </xf>
    <xf numFmtId="0" fontId="163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161" fillId="0" borderId="0">
      <alignment vertical="top"/>
    </xf>
    <xf numFmtId="0" fontId="25" fillId="0" borderId="0">
      <alignment vertical="top"/>
    </xf>
    <xf numFmtId="0" fontId="163" fillId="0" borderId="0">
      <alignment vertical="top"/>
    </xf>
    <xf numFmtId="0" fontId="25" fillId="0" borderId="0">
      <alignment vertical="top"/>
    </xf>
    <xf numFmtId="0" fontId="25" fillId="0" borderId="0" applyNumberFormat="0" applyFill="0" applyBorder="0" applyAlignment="0" applyProtection="0"/>
    <xf numFmtId="3" fontId="86" fillId="0" borderId="0"/>
    <xf numFmtId="0" fontId="25" fillId="0" borderId="0">
      <alignment vertical="top"/>
    </xf>
    <xf numFmtId="0" fontId="25" fillId="0" borderId="0"/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3" fontId="86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/>
    <xf numFmtId="3" fontId="86" fillId="0" borderId="0"/>
    <xf numFmtId="0" fontId="25" fillId="0" borderId="0">
      <alignment vertical="top"/>
    </xf>
    <xf numFmtId="0" fontId="25" fillId="0" borderId="0" applyNumberFormat="0" applyFill="0" applyBorder="0" applyAlignment="0" applyProtection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>
      <alignment vertical="top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/>
    <xf numFmtId="0" fontId="25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3" fontId="86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/>
    <xf numFmtId="0" fontId="25" fillId="0" borderId="0">
      <alignment vertical="top"/>
    </xf>
    <xf numFmtId="0" fontId="25" fillId="0" borderId="0"/>
    <xf numFmtId="0" fontId="25" fillId="0" borderId="0"/>
    <xf numFmtId="0" fontId="136" fillId="23" borderId="18" applyNumberFormat="0" applyAlignment="0" applyProtection="0"/>
    <xf numFmtId="2" fontId="136" fillId="24" borderId="18" applyProtection="0">
      <alignment horizontal="right"/>
    </xf>
    <xf numFmtId="2" fontId="137" fillId="25" borderId="18" applyProtection="0">
      <alignment horizontal="right"/>
    </xf>
    <xf numFmtId="14" fontId="138" fillId="26" borderId="18" applyProtection="0">
      <alignment horizontal="right"/>
    </xf>
    <xf numFmtId="14" fontId="138" fillId="26" borderId="18" applyProtection="0">
      <alignment horizontal="left"/>
    </xf>
    <xf numFmtId="0" fontId="139" fillId="23" borderId="18" applyNumberFormat="0" applyProtection="0">
      <alignment horizontal="left"/>
    </xf>
    <xf numFmtId="0" fontId="39" fillId="0" borderId="0" applyNumberFormat="0" applyFill="0" applyBorder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25" fillId="0" borderId="0">
      <alignment vertical="top"/>
    </xf>
    <xf numFmtId="0" fontId="140" fillId="0" borderId="6" applyNumberFormat="0" applyFill="0" applyProtection="0">
      <alignment horizontal="left" vertical="center"/>
    </xf>
    <xf numFmtId="3" fontId="50" fillId="0" borderId="0" applyNumberFormat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3" fontId="141" fillId="0" borderId="0"/>
    <xf numFmtId="0" fontId="142" fillId="27" borderId="0" applyNumberFormat="0" applyBorder="0" applyProtection="0">
      <alignment horizontal="left" vertical="center"/>
    </xf>
    <xf numFmtId="0" fontId="143" fillId="1" borderId="0" applyNumberFormat="0" applyBorder="0" applyProtection="0">
      <alignment horizontal="left" vertical="center"/>
    </xf>
    <xf numFmtId="205" fontId="50" fillId="0" borderId="0"/>
    <xf numFmtId="192" fontId="144" fillId="0" borderId="15" applyNumberFormat="0" applyFont="0" applyFill="0" applyAlignment="0" applyProtection="0"/>
    <xf numFmtId="0" fontId="50" fillId="0" borderId="6">
      <alignment horizontal="center" wrapText="1"/>
    </xf>
    <xf numFmtId="0" fontId="50" fillId="0" borderId="6">
      <alignment horizontal="right" wrapText="1"/>
    </xf>
    <xf numFmtId="0" fontId="50" fillId="0" borderId="6">
      <alignment horizontal="center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50" fillId="0" borderId="6">
      <alignment horizontal="right" wrapText="1"/>
    </xf>
    <xf numFmtId="0" fontId="81" fillId="0" borderId="19" applyNumberFormat="0" applyFill="0" applyAlignment="0" applyProtection="0"/>
    <xf numFmtId="0" fontId="81" fillId="0" borderId="19" applyNumberFormat="0" applyFill="0" applyAlignment="0" applyProtection="0"/>
    <xf numFmtId="0" fontId="81" fillId="0" borderId="19" applyNumberFormat="0" applyFill="0" applyAlignment="0" applyProtection="0"/>
    <xf numFmtId="3" fontId="50" fillId="0" borderId="2" applyNumberFormat="0"/>
    <xf numFmtId="205" fontId="39" fillId="0" borderId="20"/>
    <xf numFmtId="230" fontId="145" fillId="0" borderId="0">
      <alignment horizontal="right"/>
    </xf>
    <xf numFmtId="231" fontId="133" fillId="18" borderId="1" applyBorder="0">
      <alignment horizontal="right" vertical="center"/>
      <protection locked="0"/>
    </xf>
    <xf numFmtId="0" fontId="146" fillId="0" borderId="0" applyNumberFormat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1" fontId="25" fillId="0" borderId="0">
      <alignment horizontal="center"/>
    </xf>
    <xf numFmtId="0" fontId="25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0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Fill="0" applyAlignment="0">
      <protection locked="0"/>
    </xf>
    <xf numFmtId="0" fontId="8" fillId="0" borderId="0" applyFill="0" applyAlignment="0"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9" fontId="8" fillId="0" borderId="0"/>
    <xf numFmtId="0" fontId="8" fillId="0" borderId="0"/>
    <xf numFmtId="0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182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22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22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224" fontId="8" fillId="0" borderId="0" applyFont="0" applyFill="0" applyBorder="0" applyAlignment="0" applyProtection="0"/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167" fontId="8" fillId="19" borderId="8" applyNumberFormat="0" applyFont="0" applyBorder="0" applyAlignment="0" applyProtection="0"/>
    <xf numFmtId="167" fontId="8" fillId="19" borderId="8" applyNumberFormat="0" applyFont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7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>
      <alignment vertical="center"/>
    </xf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7" fillId="0" borderId="0"/>
    <xf numFmtId="0" fontId="8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0" borderId="0" applyNumberFormat="0" applyFont="0" applyFill="0" applyBorder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0" fontId="8" fillId="4" borderId="14" applyNumberFormat="0" applyFont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22" borderId="0" applyNumberFormat="0" applyFont="0" applyBorder="0" applyAlignment="0" applyProtection="0"/>
    <xf numFmtId="0" fontId="8" fillId="22" borderId="0" applyNumberFormat="0" applyFont="0" applyBorder="0" applyAlignment="0" applyProtection="0"/>
    <xf numFmtId="0" fontId="8" fillId="0" borderId="0"/>
    <xf numFmtId="0" fontId="8" fillId="0" borderId="0" applyNumberFormat="0" applyFill="0" applyBorder="0" applyAlignment="0" applyProtection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 applyNumberFormat="0" applyFill="0" applyBorder="0" applyAlignment="0" applyProtection="0"/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 applyNumberFormat="0" applyFill="0" applyBorder="0" applyAlignment="0" applyProtection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/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1" fontId="8" fillId="0" borderId="0">
      <alignment horizontal="center"/>
    </xf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1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13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62" fillId="0" borderId="0"/>
    <xf numFmtId="0" fontId="91" fillId="0" borderId="0" applyFont="0" applyFill="0" applyBorder="0" applyAlignment="0"/>
    <xf numFmtId="0" fontId="8" fillId="0" borderId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40" fontId="170" fillId="0" borderId="0" applyFont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38" fontId="170" fillId="0" borderId="0" applyFont="0" applyFill="0" applyBorder="0" applyAlignment="0" applyProtection="0"/>
    <xf numFmtId="233" fontId="8" fillId="0" borderId="0" applyFont="0" applyFill="0" applyBorder="0" applyAlignment="0" applyProtection="0"/>
    <xf numFmtId="222" fontId="8" fillId="0" borderId="0" applyFont="0" applyFill="0" applyBorder="0" applyAlignment="0" applyProtection="0"/>
    <xf numFmtId="0" fontId="172" fillId="0" borderId="0"/>
    <xf numFmtId="0" fontId="8" fillId="0" borderId="0"/>
    <xf numFmtId="0" fontId="18" fillId="0" borderId="6" applyNumberFormat="0" applyBorder="0" applyAlignment="0">
      <alignment horizontal="left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8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3" fontId="86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1" fillId="0" borderId="0"/>
    <xf numFmtId="233" fontId="91" fillId="0" borderId="0" applyFont="0" applyFill="0" applyBorder="0" applyAlignment="0" applyProtection="0"/>
    <xf numFmtId="222" fontId="91" fillId="0" borderId="0" applyFont="0" applyFill="0" applyBorder="0" applyAlignment="0" applyProtection="0"/>
    <xf numFmtId="0" fontId="42" fillId="0" borderId="0"/>
    <xf numFmtId="2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206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206" fontId="42" fillId="0" borderId="0"/>
    <xf numFmtId="0" fontId="42" fillId="0" borderId="0"/>
    <xf numFmtId="0" fontId="8" fillId="0" borderId="0"/>
    <xf numFmtId="0" fontId="8" fillId="0" borderId="0"/>
    <xf numFmtId="232" fontId="91" fillId="0" borderId="0" applyFont="0" applyFill="0" applyBorder="0" applyAlignment="0" applyProtection="0"/>
    <xf numFmtId="234" fontId="91" fillId="0" borderId="0" applyFont="0" applyFill="0" applyBorder="0" applyAlignment="0" applyProtection="0"/>
    <xf numFmtId="0" fontId="173" fillId="0" borderId="0" applyFont="0" applyFill="0" applyBorder="0" applyAlignment="0" applyProtection="0"/>
    <xf numFmtId="0" fontId="173" fillId="0" borderId="0" applyFont="0" applyFill="0" applyBorder="0" applyAlignment="0" applyProtection="0"/>
    <xf numFmtId="0" fontId="174" fillId="0" borderId="0" applyFont="0" applyFill="0" applyBorder="0" applyAlignment="0" applyProtection="0"/>
    <xf numFmtId="0" fontId="175" fillId="0" borderId="0" applyFont="0" applyFill="0" applyBorder="0" applyAlignment="0" applyProtection="0"/>
    <xf numFmtId="0" fontId="174" fillId="0" borderId="0" applyFont="0" applyFill="0" applyBorder="0" applyAlignment="0" applyProtection="0"/>
    <xf numFmtId="0" fontId="174" fillId="0" borderId="0" applyFont="0" applyFill="0" applyBorder="0" applyAlignment="0" applyProtection="0"/>
    <xf numFmtId="0" fontId="175" fillId="0" borderId="0" applyFont="0" applyFill="0" applyBorder="0" applyAlignment="0" applyProtection="0"/>
    <xf numFmtId="0" fontId="174" fillId="0" borderId="0" applyFont="0" applyFill="0" applyBorder="0" applyAlignment="0" applyProtection="0"/>
    <xf numFmtId="0" fontId="173" fillId="0" borderId="0" applyFont="0" applyFill="0" applyBorder="0" applyAlignment="0" applyProtection="0"/>
    <xf numFmtId="0" fontId="173" fillId="0" borderId="0" applyFont="0" applyFill="0" applyBorder="0" applyAlignment="0" applyProtection="0"/>
    <xf numFmtId="0" fontId="176" fillId="0" borderId="0">
      <alignment horizontal="right"/>
    </xf>
    <xf numFmtId="0" fontId="174" fillId="0" borderId="0" applyFont="0" applyFill="0" applyBorder="0" applyAlignment="0" applyProtection="0"/>
    <xf numFmtId="0" fontId="175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74" fillId="0" borderId="0" applyFont="0" applyFill="0" applyBorder="0" applyAlignment="0" applyProtection="0"/>
    <xf numFmtId="0" fontId="17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44" fillId="0" borderId="0"/>
    <xf numFmtId="0" fontId="9" fillId="0" borderId="0" applyNumberFormat="0" applyBorder="0" applyAlignment="0" applyProtection="0"/>
    <xf numFmtId="0" fontId="8" fillId="6" borderId="0" applyNumberFormat="0" applyFont="0" applyAlignment="0"/>
    <xf numFmtId="219" fontId="178" fillId="0" borderId="0"/>
    <xf numFmtId="0" fontId="8" fillId="0" borderId="0" applyNumberFormat="0" applyFont="0" applyAlignment="0" applyProtection="0"/>
    <xf numFmtId="235" fontId="106" fillId="0" borderId="0">
      <alignment horizontal="right"/>
    </xf>
    <xf numFmtId="0" fontId="8" fillId="0" borderId="15" applyNumberFormat="0" applyFont="0" applyFill="0" applyAlignment="0" applyProtection="0"/>
    <xf numFmtId="0" fontId="179" fillId="0" borderId="0"/>
    <xf numFmtId="0" fontId="43" fillId="0" borderId="0"/>
    <xf numFmtId="0" fontId="180" fillId="0" borderId="0"/>
    <xf numFmtId="0" fontId="181" fillId="0" borderId="0"/>
    <xf numFmtId="0" fontId="180" fillId="0" borderId="0"/>
    <xf numFmtId="0" fontId="180" fillId="0" borderId="0"/>
    <xf numFmtId="0" fontId="175" fillId="0" borderId="0"/>
    <xf numFmtId="0" fontId="174" fillId="0" borderId="0"/>
    <xf numFmtId="0" fontId="175" fillId="0" borderId="0"/>
    <xf numFmtId="0" fontId="174" fillId="0" borderId="0"/>
    <xf numFmtId="0" fontId="175" fillId="0" borderId="0"/>
    <xf numFmtId="0" fontId="174" fillId="0" borderId="0"/>
    <xf numFmtId="0" fontId="182" fillId="0" borderId="0"/>
    <xf numFmtId="236" fontId="44" fillId="0" borderId="0" applyFill="0" applyBorder="0" applyAlignment="0"/>
    <xf numFmtId="219" fontId="44" fillId="0" borderId="0" applyFill="0" applyBorder="0" applyAlignment="0"/>
    <xf numFmtId="186" fontId="44" fillId="0" borderId="0" applyFill="0" applyBorder="0" applyAlignment="0"/>
    <xf numFmtId="237" fontId="44" fillId="0" borderId="0" applyFill="0" applyBorder="0" applyAlignment="0"/>
    <xf numFmtId="238" fontId="44" fillId="0" borderId="0" applyFill="0" applyBorder="0" applyAlignment="0"/>
    <xf numFmtId="236" fontId="44" fillId="0" borderId="0" applyFill="0" applyBorder="0" applyAlignment="0"/>
    <xf numFmtId="239" fontId="44" fillId="0" borderId="0" applyFill="0" applyBorder="0" applyAlignment="0"/>
    <xf numFmtId="219" fontId="44" fillId="0" borderId="0" applyFill="0" applyBorder="0" applyAlignment="0"/>
    <xf numFmtId="219" fontId="183" fillId="0" borderId="0"/>
    <xf numFmtId="0" fontId="184" fillId="0" borderId="2" applyNumberFormat="0" applyFill="0" applyBorder="0" applyAlignment="0" applyProtection="0">
      <alignment horizontal="center"/>
    </xf>
    <xf numFmtId="0" fontId="42" fillId="0" borderId="0">
      <alignment horizontal="center" wrapText="1"/>
      <protection hidden="1"/>
    </xf>
    <xf numFmtId="0" fontId="106" fillId="0" borderId="0"/>
    <xf numFmtId="236" fontId="44" fillId="0" borderId="0" applyFont="0" applyFill="0" applyBorder="0" applyAlignment="0" applyProtection="0"/>
    <xf numFmtId="0" fontId="106" fillId="0" borderId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240" fontId="97" fillId="0" borderId="0"/>
    <xf numFmtId="3" fontId="8" fillId="0" borderId="0" applyFont="0" applyFill="0" applyBorder="0" applyAlignment="0" applyProtection="0"/>
    <xf numFmtId="0" fontId="185" fillId="31" borderId="0">
      <alignment horizontal="center" vertical="center" wrapText="1"/>
    </xf>
    <xf numFmtId="0" fontId="8" fillId="0" borderId="0" applyFill="0" applyBorder="0">
      <alignment horizontal="right"/>
      <protection locked="0"/>
    </xf>
    <xf numFmtId="219" fontId="186" fillId="0" borderId="0"/>
    <xf numFmtId="219" fontId="186" fillId="0" borderId="0"/>
    <xf numFmtId="0" fontId="106" fillId="0" borderId="0"/>
    <xf numFmtId="219" fontId="44" fillId="0" borderId="0" applyFont="0" applyFill="0" applyBorder="0" applyAlignment="0" applyProtection="0"/>
    <xf numFmtId="0" fontId="106" fillId="0" borderId="0"/>
    <xf numFmtId="8" fontId="187" fillId="0" borderId="37">
      <protection locked="0"/>
    </xf>
    <xf numFmtId="195" fontId="188" fillId="0" borderId="0" applyFont="0" applyFill="0" applyBorder="0" applyAlignment="0" applyProtection="0"/>
    <xf numFmtId="241" fontId="8" fillId="0" borderId="0" applyFont="0" applyFill="0" applyBorder="0" applyAlignment="0" applyProtection="0"/>
    <xf numFmtId="242" fontId="97" fillId="0" borderId="0"/>
    <xf numFmtId="0" fontId="42" fillId="0" borderId="0" applyFont="0" applyFill="0" applyBorder="0" applyAlignment="0">
      <protection locked="0"/>
    </xf>
    <xf numFmtId="44" fontId="8" fillId="0" borderId="0" applyFont="0" applyFill="0" applyBorder="0" applyAlignment="0" applyProtection="0"/>
    <xf numFmtId="38" fontId="29" fillId="19" borderId="38">
      <protection locked="0"/>
    </xf>
    <xf numFmtId="37" fontId="54" fillId="0" borderId="39" applyAlignment="0">
      <protection locked="0"/>
    </xf>
    <xf numFmtId="10" fontId="54" fillId="0" borderId="39" applyAlignment="0">
      <protection locked="0"/>
    </xf>
    <xf numFmtId="37" fontId="54" fillId="0" borderId="39" applyAlignment="0">
      <protection locked="0"/>
    </xf>
    <xf numFmtId="14" fontId="10" fillId="0" borderId="0" applyFill="0" applyBorder="0" applyAlignment="0"/>
    <xf numFmtId="243" fontId="8" fillId="0" borderId="0" applyFill="0" applyBorder="0" applyProtection="0">
      <alignment horizontal="right"/>
      <protection locked="0"/>
    </xf>
    <xf numFmtId="205" fontId="183" fillId="0" borderId="0"/>
    <xf numFmtId="38" fontId="42" fillId="0" borderId="40">
      <alignment vertical="center"/>
    </xf>
    <xf numFmtId="2" fontId="87" fillId="20" borderId="0">
      <alignment horizontal="left"/>
      <protection hidden="1"/>
    </xf>
    <xf numFmtId="244" fontId="8" fillId="0" borderId="0">
      <alignment horizontal="right"/>
    </xf>
    <xf numFmtId="245" fontId="97" fillId="0" borderId="0"/>
    <xf numFmtId="219" fontId="183" fillId="0" borderId="0"/>
    <xf numFmtId="236" fontId="44" fillId="0" borderId="0" applyFill="0" applyBorder="0" applyAlignment="0"/>
    <xf numFmtId="219" fontId="44" fillId="0" borderId="0" applyFill="0" applyBorder="0" applyAlignment="0"/>
    <xf numFmtId="236" fontId="44" fillId="0" borderId="0" applyFill="0" applyBorder="0" applyAlignment="0"/>
    <xf numFmtId="239" fontId="44" fillId="0" borderId="0" applyFill="0" applyBorder="0" applyAlignment="0"/>
    <xf numFmtId="219" fontId="44" fillId="0" borderId="0" applyFill="0" applyBorder="0" applyAlignment="0"/>
    <xf numFmtId="230" fontId="106" fillId="0" borderId="0"/>
    <xf numFmtId="2" fontId="183" fillId="0" borderId="0"/>
    <xf numFmtId="246" fontId="106" fillId="0" borderId="0"/>
    <xf numFmtId="247" fontId="90" fillId="0" borderId="0">
      <alignment horizontal="right"/>
    </xf>
    <xf numFmtId="0" fontId="51" fillId="32" borderId="0" applyNumberFormat="0" applyFont="0" applyBorder="0" applyAlignment="0" applyProtection="0"/>
    <xf numFmtId="0" fontId="189" fillId="0" borderId="0"/>
    <xf numFmtId="0" fontId="51" fillId="0" borderId="0" applyFill="0" applyBorder="0" applyProtection="0">
      <alignment wrapText="1"/>
    </xf>
    <xf numFmtId="0" fontId="209" fillId="0" borderId="0" applyNumberFormat="0" applyFill="0" applyBorder="0" applyAlignment="0" applyProtection="0">
      <alignment vertical="top"/>
      <protection locked="0"/>
    </xf>
    <xf numFmtId="0" fontId="190" fillId="0" borderId="0" applyNumberFormat="0" applyFill="0" applyBorder="0" applyAlignment="0" applyProtection="0">
      <alignment vertical="top"/>
      <protection locked="0"/>
    </xf>
    <xf numFmtId="248" fontId="8" fillId="0" borderId="0" applyBorder="0" applyAlignment="0"/>
    <xf numFmtId="247" fontId="191" fillId="21" borderId="0" applyNumberFormat="0" applyBorder="0" applyAlignment="0">
      <protection locked="0"/>
    </xf>
    <xf numFmtId="10" fontId="192" fillId="0" borderId="0">
      <protection locked="0"/>
    </xf>
    <xf numFmtId="167" fontId="8" fillId="33" borderId="0">
      <alignment horizontal="right"/>
    </xf>
    <xf numFmtId="15" fontId="192" fillId="0" borderId="0">
      <protection locked="0"/>
    </xf>
    <xf numFmtId="2" fontId="192" fillId="0" borderId="27">
      <protection locked="0"/>
    </xf>
    <xf numFmtId="37" fontId="39" fillId="6" borderId="0"/>
    <xf numFmtId="37" fontId="52" fillId="6" borderId="0"/>
    <xf numFmtId="0" fontId="192" fillId="0" borderId="0">
      <protection locked="0"/>
    </xf>
    <xf numFmtId="38" fontId="46" fillId="0" borderId="0" applyNumberFormat="0" applyBorder="0" applyProtection="0">
      <alignment horizontal="left"/>
    </xf>
    <xf numFmtId="0" fontId="8" fillId="0" borderId="0" applyFill="0" applyBorder="0">
      <alignment horizontal="right"/>
      <protection locked="0"/>
    </xf>
    <xf numFmtId="0" fontId="193" fillId="34" borderId="41">
      <alignment horizontal="left" vertical="center" wrapText="1"/>
    </xf>
    <xf numFmtId="236" fontId="44" fillId="0" borderId="0" applyFill="0" applyBorder="0" applyAlignment="0"/>
    <xf numFmtId="219" fontId="44" fillId="0" borderId="0" applyFill="0" applyBorder="0" applyAlignment="0"/>
    <xf numFmtId="236" fontId="44" fillId="0" borderId="0" applyFill="0" applyBorder="0" applyAlignment="0"/>
    <xf numFmtId="239" fontId="44" fillId="0" borderId="0" applyFill="0" applyBorder="0" applyAlignment="0"/>
    <xf numFmtId="219" fontId="44" fillId="0" borderId="0" applyFill="0" applyBorder="0" applyAlignment="0"/>
    <xf numFmtId="249" fontId="8" fillId="0" borderId="0">
      <alignment horizontal="right"/>
    </xf>
    <xf numFmtId="0" fontId="106" fillId="0" borderId="0" applyFont="0" applyFill="0" applyBorder="0" applyAlignment="0" applyProtection="0"/>
    <xf numFmtId="0" fontId="194" fillId="0" borderId="0" applyFont="0" applyFill="0" applyBorder="0" applyAlignment="0" applyProtection="0"/>
    <xf numFmtId="4" fontId="183" fillId="0" borderId="0"/>
    <xf numFmtId="0" fontId="66" fillId="0" borderId="0"/>
    <xf numFmtId="0" fontId="2" fillId="0" borderId="0"/>
    <xf numFmtId="0" fontId="10" fillId="0" borderId="0"/>
    <xf numFmtId="0" fontId="2" fillId="0" borderId="0"/>
    <xf numFmtId="0" fontId="66" fillId="0" borderId="0"/>
    <xf numFmtId="0" fontId="66" fillId="0" borderId="0"/>
    <xf numFmtId="0" fontId="66" fillId="0" borderId="0"/>
    <xf numFmtId="0" fontId="195" fillId="0" borderId="0"/>
    <xf numFmtId="0" fontId="9" fillId="0" borderId="0"/>
    <xf numFmtId="219" fontId="46" fillId="0" borderId="0" applyBorder="0">
      <alignment horizontal="left"/>
    </xf>
    <xf numFmtId="0" fontId="196" fillId="0" borderId="27"/>
    <xf numFmtId="38" fontId="197" fillId="0" borderId="0"/>
    <xf numFmtId="250" fontId="8" fillId="0" borderId="0" applyFill="0" applyBorder="0" applyProtection="0">
      <alignment horizontal="right"/>
    </xf>
    <xf numFmtId="250" fontId="8" fillId="0" borderId="0">
      <alignment horizontal="right"/>
    </xf>
    <xf numFmtId="251" fontId="8" fillId="0" borderId="0">
      <alignment horizontal="right"/>
    </xf>
    <xf numFmtId="252" fontId="8" fillId="0" borderId="0">
      <alignment horizontal="right"/>
    </xf>
    <xf numFmtId="253" fontId="8" fillId="0" borderId="0">
      <alignment horizontal="right"/>
    </xf>
    <xf numFmtId="253" fontId="8" fillId="0" borderId="0">
      <alignment horizontal="right"/>
    </xf>
    <xf numFmtId="253" fontId="8" fillId="0" borderId="0" applyFill="0" applyBorder="0" applyProtection="0">
      <alignment horizontal="right"/>
    </xf>
    <xf numFmtId="254" fontId="8" fillId="0" borderId="0">
      <alignment horizontal="right"/>
    </xf>
    <xf numFmtId="248" fontId="8" fillId="0" borderId="0">
      <alignment horizontal="right"/>
    </xf>
    <xf numFmtId="3" fontId="86" fillId="0" borderId="15" applyBorder="0"/>
    <xf numFmtId="247" fontId="50" fillId="0" borderId="0" applyFont="0" applyBorder="0">
      <alignment horizontal="right"/>
    </xf>
    <xf numFmtId="1" fontId="50" fillId="0" borderId="0">
      <alignment horizontal="right"/>
    </xf>
    <xf numFmtId="37" fontId="54" fillId="0" borderId="39">
      <protection locked="0"/>
    </xf>
    <xf numFmtId="10" fontId="197" fillId="0" borderId="0"/>
    <xf numFmtId="0" fontId="106" fillId="0" borderId="0"/>
    <xf numFmtId="238" fontId="44" fillId="0" borderId="0" applyFont="0" applyFill="0" applyBorder="0" applyAlignment="0" applyProtection="0"/>
    <xf numFmtId="255" fontId="44" fillId="0" borderId="0" applyFont="0" applyFill="0" applyBorder="0" applyAlignment="0" applyProtection="0"/>
    <xf numFmtId="256" fontId="8" fillId="0" borderId="0">
      <alignment horizontal="right"/>
    </xf>
    <xf numFmtId="9" fontId="9" fillId="0" borderId="0" applyFont="0" applyFill="0" applyBorder="0" applyAlignment="0" applyProtection="0"/>
    <xf numFmtId="246" fontId="106" fillId="0" borderId="0" applyFont="0" applyBorder="0"/>
    <xf numFmtId="167" fontId="188" fillId="0" borderId="0" applyFont="0" applyFill="0" applyBorder="0" applyAlignment="0" applyProtection="0"/>
    <xf numFmtId="10" fontId="188" fillId="0" borderId="0" applyFont="0" applyFill="0" applyBorder="0" applyAlignment="0" applyProtection="0"/>
    <xf numFmtId="247" fontId="198" fillId="0" borderId="0">
      <alignment horizontal="right"/>
    </xf>
    <xf numFmtId="0" fontId="8" fillId="0" borderId="0" applyFill="0" applyBorder="0">
      <alignment horizontal="right"/>
      <protection locked="0"/>
    </xf>
    <xf numFmtId="236" fontId="44" fillId="0" borderId="0" applyFill="0" applyBorder="0" applyAlignment="0"/>
    <xf numFmtId="219" fontId="44" fillId="0" borderId="0" applyFill="0" applyBorder="0" applyAlignment="0"/>
    <xf numFmtId="236" fontId="44" fillId="0" borderId="0" applyFill="0" applyBorder="0" applyAlignment="0"/>
    <xf numFmtId="239" fontId="44" fillId="0" borderId="0" applyFill="0" applyBorder="0" applyAlignment="0"/>
    <xf numFmtId="219" fontId="44" fillId="0" borderId="0" applyFill="0" applyBorder="0" applyAlignment="0"/>
    <xf numFmtId="37" fontId="54" fillId="0" borderId="0">
      <protection locked="0"/>
    </xf>
    <xf numFmtId="257" fontId="92" fillId="0" borderId="0" applyFill="0" applyBorder="0">
      <alignment horizontal="right"/>
      <protection locked="0"/>
    </xf>
    <xf numFmtId="2" fontId="197" fillId="0" borderId="0"/>
    <xf numFmtId="0" fontId="8" fillId="0" borderId="0">
      <alignment horizontal="right"/>
      <protection locked="0"/>
    </xf>
    <xf numFmtId="37" fontId="42" fillId="0" borderId="0" applyFont="0" applyFill="0" applyBorder="0" applyAlignment="0" applyProtection="0"/>
    <xf numFmtId="0" fontId="199" fillId="0" borderId="0"/>
    <xf numFmtId="0" fontId="200" fillId="0" borderId="0" applyNumberFormat="0" applyFill="0" applyBorder="0" applyAlignment="0" applyProtection="0"/>
    <xf numFmtId="0" fontId="45" fillId="0" borderId="0"/>
    <xf numFmtId="0" fontId="45" fillId="0" borderId="17">
      <alignment horizontal="centerContinuous"/>
    </xf>
    <xf numFmtId="0" fontId="8" fillId="0" borderId="0" applyFill="0" applyBorder="0">
      <alignment horizontal="right"/>
      <protection hidden="1"/>
    </xf>
    <xf numFmtId="0" fontId="201" fillId="31" borderId="8">
      <alignment horizontal="center" vertical="center" wrapText="1"/>
      <protection hidden="1"/>
    </xf>
    <xf numFmtId="172" fontId="8" fillId="0" borderId="0" applyNumberFormat="0" applyFill="0" applyBorder="0" applyAlignment="0" applyProtection="0">
      <alignment horizontal="right"/>
    </xf>
    <xf numFmtId="0" fontId="49" fillId="25" borderId="0">
      <alignment horizontal="right"/>
    </xf>
    <xf numFmtId="0" fontId="9" fillId="0" borderId="0" applyNumberFormat="0" applyBorder="0" applyAlignment="0" applyProtection="0"/>
    <xf numFmtId="205" fontId="106" fillId="0" borderId="0"/>
    <xf numFmtId="258" fontId="92" fillId="0" borderId="0">
      <protection locked="0"/>
    </xf>
    <xf numFmtId="0" fontId="8" fillId="0" borderId="0" applyBorder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10" fillId="0" borderId="1" applyBorder="0">
      <alignment horizontal="center"/>
    </xf>
    <xf numFmtId="38" fontId="202" fillId="0" borderId="0" applyNumberFormat="0" applyBorder="0">
      <alignment horizontal="left"/>
    </xf>
    <xf numFmtId="49" fontId="10" fillId="0" borderId="0" applyFill="0" applyBorder="0" applyAlignment="0"/>
    <xf numFmtId="259" fontId="44" fillId="0" borderId="0" applyFill="0" applyBorder="0" applyAlignment="0"/>
    <xf numFmtId="260" fontId="44" fillId="0" borderId="0" applyFill="0" applyBorder="0" applyAlignment="0"/>
    <xf numFmtId="0" fontId="197" fillId="0" borderId="0"/>
    <xf numFmtId="0" fontId="53" fillId="35" borderId="0" applyNumberFormat="0" applyBorder="0">
      <alignment horizontal="centerContinuous"/>
    </xf>
    <xf numFmtId="0" fontId="8" fillId="0" borderId="15" applyNumberFormat="0" applyFont="0" applyFill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8" fontId="202" fillId="0" borderId="0">
      <alignment horizontal="right"/>
    </xf>
    <xf numFmtId="247" fontId="9" fillId="21" borderId="38">
      <alignment horizontal="right"/>
    </xf>
    <xf numFmtId="247" fontId="39" fillId="21" borderId="38"/>
    <xf numFmtId="42" fontId="8" fillId="0" borderId="0" applyFont="0" applyFill="0" applyBorder="0" applyAlignment="0" applyProtection="0"/>
    <xf numFmtId="0" fontId="2" fillId="0" borderId="0"/>
    <xf numFmtId="261" fontId="8" fillId="0" borderId="0" applyFill="0" applyBorder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203" fillId="0" borderId="0"/>
    <xf numFmtId="0" fontId="177" fillId="0" borderId="0" applyFont="0" applyFill="0" applyBorder="0" applyAlignment="0" applyProtection="0"/>
    <xf numFmtId="0" fontId="177" fillId="0" borderId="0" applyFont="0" applyFill="0" applyBorder="0" applyAlignment="0" applyProtection="0"/>
    <xf numFmtId="262" fontId="89" fillId="0" borderId="0" applyFont="0" applyFill="0" applyBorder="0" applyAlignment="0" applyProtection="0"/>
    <xf numFmtId="263" fontId="89" fillId="0" borderId="0" applyFont="0" applyFill="0" applyBorder="0" applyAlignment="0" applyProtection="0"/>
    <xf numFmtId="0" fontId="89" fillId="0" borderId="0"/>
    <xf numFmtId="0" fontId="8" fillId="0" borderId="0"/>
    <xf numFmtId="0" fontId="204" fillId="0" borderId="0"/>
    <xf numFmtId="0" fontId="205" fillId="0" borderId="0"/>
    <xf numFmtId="264" fontId="8" fillId="0" borderId="0" applyFont="0" applyFill="0" applyBorder="0" applyAlignment="0" applyProtection="0"/>
    <xf numFmtId="265" fontId="8" fillId="0" borderId="0" applyFont="0" applyFill="0" applyBorder="0" applyAlignment="0" applyProtection="0"/>
    <xf numFmtId="0" fontId="206" fillId="0" borderId="0"/>
    <xf numFmtId="0" fontId="207" fillId="0" borderId="0" applyNumberFormat="0" applyFill="0" applyBorder="0" applyAlignment="0" applyProtection="0">
      <alignment vertical="top"/>
      <protection locked="0"/>
    </xf>
    <xf numFmtId="6" fontId="208" fillId="0" borderId="0" applyFont="0" applyFill="0" applyBorder="0" applyAlignment="0" applyProtection="0"/>
    <xf numFmtId="262" fontId="8" fillId="0" borderId="0" applyFont="0" applyFill="0" applyBorder="0" applyAlignment="0" applyProtection="0"/>
    <xf numFmtId="263" fontId="8" fillId="0" borderId="0" applyFont="0" applyFill="0" applyBorder="0" applyAlignment="0" applyProtection="0"/>
    <xf numFmtId="0" fontId="2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10" fillId="0" borderId="0"/>
  </cellStyleXfs>
  <cellXfs count="1000">
    <xf numFmtId="0" fontId="0" fillId="0" borderId="0" xfId="0"/>
    <xf numFmtId="0" fontId="10" fillId="0" borderId="0" xfId="0" applyFont="1" applyFill="1"/>
    <xf numFmtId="0" fontId="11" fillId="0" borderId="0" xfId="0" applyFont="1" applyFill="1" applyAlignment="1">
      <alignment vertical="center"/>
    </xf>
    <xf numFmtId="0" fontId="0" fillId="0" borderId="0" xfId="0" applyFill="1" applyBorder="1"/>
    <xf numFmtId="0" fontId="12" fillId="0" borderId="0" xfId="1558" applyNumberFormat="1" applyFont="1" applyFill="1" applyBorder="1" applyAlignment="1">
      <alignment horizontal="left"/>
    </xf>
    <xf numFmtId="0" fontId="12" fillId="0" borderId="0" xfId="1558" applyFont="1" applyFill="1" applyBorder="1" applyAlignment="1">
      <alignment horizontal="left"/>
    </xf>
    <xf numFmtId="0" fontId="15" fillId="0" borderId="0" xfId="0" applyFont="1" applyFill="1" applyBorder="1"/>
    <xf numFmtId="0" fontId="0" fillId="0" borderId="0" xfId="0" applyFill="1"/>
    <xf numFmtId="0" fontId="0" fillId="0" borderId="21" xfId="0" applyBorder="1"/>
    <xf numFmtId="0" fontId="0" fillId="0" borderId="23" xfId="0" applyBorder="1"/>
    <xf numFmtId="0" fontId="0" fillId="0" borderId="24" xfId="0" applyBorder="1"/>
    <xf numFmtId="1" fontId="19" fillId="18" borderId="25" xfId="1557" applyNumberFormat="1" applyFont="1" applyFill="1" applyBorder="1" applyAlignment="1">
      <alignment horizontal="right"/>
    </xf>
    <xf numFmtId="1" fontId="19" fillId="18" borderId="6" xfId="1557" applyNumberFormat="1" applyFont="1" applyFill="1" applyBorder="1" applyAlignment="1">
      <alignment horizontal="right"/>
    </xf>
    <xf numFmtId="1" fontId="19" fillId="18" borderId="22" xfId="1557" applyNumberFormat="1" applyFont="1" applyFill="1" applyBorder="1" applyAlignment="1">
      <alignment horizontal="right"/>
    </xf>
    <xf numFmtId="0" fontId="15" fillId="0" borderId="1" xfId="0" applyFont="1" applyFill="1" applyBorder="1"/>
    <xf numFmtId="0" fontId="0" fillId="0" borderId="26" xfId="0" applyBorder="1"/>
    <xf numFmtId="166" fontId="22" fillId="0" borderId="1" xfId="0" applyNumberFormat="1" applyFont="1" applyFill="1" applyBorder="1" applyAlignment="1"/>
    <xf numFmtId="166" fontId="22" fillId="0" borderId="0" xfId="0" applyNumberFormat="1" applyFont="1" applyFill="1" applyBorder="1" applyAlignment="1"/>
    <xf numFmtId="166" fontId="23" fillId="0" borderId="26" xfId="0" applyNumberFormat="1" applyFont="1" applyFill="1" applyBorder="1" applyAlignment="1"/>
    <xf numFmtId="0" fontId="16" fillId="0" borderId="1" xfId="0" applyFont="1" applyFill="1" applyBorder="1" applyAlignment="1">
      <alignment horizontal="left" indent="1"/>
    </xf>
    <xf numFmtId="167" fontId="16" fillId="0" borderId="1" xfId="1609" applyNumberFormat="1" applyFont="1" applyFill="1" applyBorder="1" applyAlignment="1"/>
    <xf numFmtId="167" fontId="16" fillId="0" borderId="0" xfId="1609" applyNumberFormat="1" applyFont="1" applyFill="1" applyBorder="1" applyAlignment="1"/>
    <xf numFmtId="0" fontId="16" fillId="0" borderId="23" xfId="0" applyFont="1" applyFill="1" applyBorder="1" applyAlignment="1">
      <alignment horizontal="left" indent="1"/>
    </xf>
    <xf numFmtId="0" fontId="0" fillId="0" borderId="2" xfId="0" applyBorder="1"/>
    <xf numFmtId="0" fontId="15" fillId="0" borderId="26" xfId="0" applyFont="1" applyFill="1" applyBorder="1"/>
    <xf numFmtId="0" fontId="15" fillId="0" borderId="1" xfId="0" applyFont="1" applyFill="1" applyBorder="1" applyAlignment="1">
      <alignment horizontal="left" indent="1"/>
    </xf>
    <xf numFmtId="0" fontId="15" fillId="0" borderId="26" xfId="0" applyFont="1" applyFill="1" applyBorder="1" applyAlignment="1">
      <alignment horizontal="left" indent="1"/>
    </xf>
    <xf numFmtId="168" fontId="22" fillId="0" borderId="1" xfId="0" applyNumberFormat="1" applyFont="1" applyFill="1" applyBorder="1" applyAlignment="1"/>
    <xf numFmtId="168" fontId="22" fillId="0" borderId="0" xfId="0" applyNumberFormat="1" applyFont="1" applyFill="1" applyBorder="1" applyAlignment="1"/>
    <xf numFmtId="168" fontId="15" fillId="18" borderId="0" xfId="0" applyNumberFormat="1" applyFont="1" applyFill="1" applyBorder="1" applyAlignment="1"/>
    <xf numFmtId="168" fontId="15" fillId="0" borderId="1" xfId="0" applyNumberFormat="1" applyFont="1" applyFill="1" applyBorder="1" applyAlignment="1"/>
    <xf numFmtId="168" fontId="15" fillId="0" borderId="0" xfId="0" applyNumberFormat="1" applyFont="1" applyFill="1" applyBorder="1" applyAlignment="1"/>
    <xf numFmtId="168" fontId="15" fillId="0" borderId="26" xfId="0" applyNumberFormat="1" applyFont="1" applyFill="1" applyBorder="1" applyAlignment="1"/>
    <xf numFmtId="9" fontId="20" fillId="0" borderId="0" xfId="1609" applyFont="1" applyFill="1"/>
    <xf numFmtId="0" fontId="16" fillId="0" borderId="26" xfId="0" applyFont="1" applyFill="1" applyBorder="1" applyAlignment="1">
      <alignment horizontal="left" indent="1"/>
    </xf>
    <xf numFmtId="167" fontId="24" fillId="0" borderId="1" xfId="1609" applyNumberFormat="1" applyFont="1" applyFill="1" applyBorder="1" applyAlignment="1"/>
    <xf numFmtId="167" fontId="24" fillId="0" borderId="0" xfId="1609" applyNumberFormat="1" applyFont="1" applyFill="1" applyBorder="1" applyAlignment="1"/>
    <xf numFmtId="167" fontId="16" fillId="0" borderId="26" xfId="1609" applyNumberFormat="1" applyFont="1" applyFill="1" applyBorder="1" applyAlignment="1"/>
    <xf numFmtId="169" fontId="22" fillId="0" borderId="1" xfId="0" applyNumberFormat="1" applyFont="1" applyFill="1" applyBorder="1" applyAlignment="1"/>
    <xf numFmtId="169" fontId="22" fillId="0" borderId="0" xfId="0" applyNumberFormat="1" applyFont="1" applyFill="1" applyBorder="1" applyAlignment="1"/>
    <xf numFmtId="169" fontId="22" fillId="0" borderId="26" xfId="0" applyNumberFormat="1" applyFont="1" applyFill="1" applyBorder="1" applyAlignment="1"/>
    <xf numFmtId="168" fontId="23" fillId="0" borderId="0" xfId="0" applyNumberFormat="1" applyFont="1" applyFill="1" applyBorder="1" applyAlignment="1"/>
    <xf numFmtId="0" fontId="20" fillId="0" borderId="0" xfId="0" applyFont="1" applyFill="1"/>
    <xf numFmtId="168" fontId="22" fillId="18" borderId="0" xfId="0" applyNumberFormat="1" applyFont="1" applyFill="1" applyBorder="1" applyAlignment="1"/>
    <xf numFmtId="170" fontId="22" fillId="0" borderId="0" xfId="0" applyNumberFormat="1" applyFont="1" applyFill="1" applyBorder="1" applyAlignment="1"/>
    <xf numFmtId="0" fontId="25" fillId="0" borderId="0" xfId="0" applyFont="1" applyFill="1"/>
    <xf numFmtId="0" fontId="14" fillId="0" borderId="1" xfId="0" applyFont="1" applyFill="1" applyBorder="1"/>
    <xf numFmtId="0" fontId="14" fillId="0" borderId="26" xfId="0" applyFont="1" applyFill="1" applyBorder="1"/>
    <xf numFmtId="168" fontId="14" fillId="0" borderId="1" xfId="0" applyNumberFormat="1" applyFont="1" applyFill="1" applyBorder="1" applyAlignment="1"/>
    <xf numFmtId="168" fontId="14" fillId="0" borderId="0" xfId="0" applyNumberFormat="1" applyFont="1" applyFill="1" applyBorder="1" applyAlignment="1"/>
    <xf numFmtId="168" fontId="14" fillId="0" borderId="26" xfId="0" applyNumberFormat="1" applyFont="1" applyFill="1" applyBorder="1" applyAlignment="1"/>
    <xf numFmtId="0" fontId="15" fillId="0" borderId="1" xfId="0" applyFont="1" applyFill="1" applyBorder="1" applyAlignment="1">
      <alignment horizontal="left" indent="2"/>
    </xf>
    <xf numFmtId="0" fontId="15" fillId="0" borderId="26" xfId="0" applyFont="1" applyFill="1" applyBorder="1" applyAlignment="1">
      <alignment horizontal="left" indent="2"/>
    </xf>
    <xf numFmtId="168" fontId="22" fillId="0" borderId="26" xfId="0" applyNumberFormat="1" applyFont="1" applyFill="1" applyBorder="1" applyAlignment="1"/>
    <xf numFmtId="168" fontId="23" fillId="0" borderId="26" xfId="0" applyNumberFormat="1" applyFont="1" applyFill="1" applyBorder="1" applyAlignment="1"/>
    <xf numFmtId="0" fontId="18" fillId="0" borderId="0" xfId="0" applyFont="1" applyFill="1"/>
    <xf numFmtId="169" fontId="22" fillId="0" borderId="1" xfId="0" applyNumberFormat="1" applyFont="1" applyFill="1" applyBorder="1"/>
    <xf numFmtId="169" fontId="22" fillId="0" borderId="0" xfId="0" applyNumberFormat="1" applyFont="1" applyFill="1" applyBorder="1"/>
    <xf numFmtId="169" fontId="22" fillId="0" borderId="26" xfId="0" applyNumberFormat="1" applyFont="1" applyFill="1" applyBorder="1"/>
    <xf numFmtId="173" fontId="15" fillId="0" borderId="1" xfId="0" applyNumberFormat="1" applyFont="1" applyFill="1" applyBorder="1"/>
    <xf numFmtId="173" fontId="15" fillId="0" borderId="0" xfId="0" applyNumberFormat="1" applyFont="1" applyFill="1" applyBorder="1"/>
    <xf numFmtId="0" fontId="15" fillId="0" borderId="7" xfId="0" applyFont="1" applyFill="1" applyBorder="1"/>
    <xf numFmtId="0" fontId="15" fillId="0" borderId="21" xfId="0" applyFont="1" applyFill="1" applyBorder="1"/>
    <xf numFmtId="168" fontId="22" fillId="0" borderId="7" xfId="0" applyNumberFormat="1" applyFont="1" applyFill="1" applyBorder="1"/>
    <xf numFmtId="168" fontId="22" fillId="0" borderId="15" xfId="0" applyNumberFormat="1" applyFont="1" applyFill="1" applyBorder="1"/>
    <xf numFmtId="174" fontId="15" fillId="0" borderId="15" xfId="0" applyNumberFormat="1" applyFont="1" applyFill="1" applyBorder="1"/>
    <xf numFmtId="174" fontId="15" fillId="0" borderId="21" xfId="0" applyNumberFormat="1" applyFont="1" applyFill="1" applyBorder="1"/>
    <xf numFmtId="168" fontId="22" fillId="0" borderId="1" xfId="0" applyNumberFormat="1" applyFont="1" applyFill="1" applyBorder="1"/>
    <xf numFmtId="168" fontId="22" fillId="0" borderId="0" xfId="0" applyNumberFormat="1" applyFont="1" applyFill="1" applyBorder="1"/>
    <xf numFmtId="174" fontId="15" fillId="0" borderId="26" xfId="0" applyNumberFormat="1" applyFont="1" applyFill="1" applyBorder="1"/>
    <xf numFmtId="175" fontId="16" fillId="0" borderId="1" xfId="0" applyNumberFormat="1" applyFont="1" applyFill="1" applyBorder="1"/>
    <xf numFmtId="175" fontId="16" fillId="0" borderId="0" xfId="0" applyNumberFormat="1" applyFont="1" applyFill="1" applyBorder="1"/>
    <xf numFmtId="175" fontId="16" fillId="0" borderId="26" xfId="0" applyNumberFormat="1" applyFont="1" applyFill="1" applyBorder="1"/>
    <xf numFmtId="174" fontId="22" fillId="0" borderId="0" xfId="0" applyNumberFormat="1" applyFont="1" applyFill="1" applyBorder="1"/>
    <xf numFmtId="168" fontId="22" fillId="0" borderId="26" xfId="0" applyNumberFormat="1" applyFont="1" applyFill="1" applyBorder="1"/>
    <xf numFmtId="168" fontId="15" fillId="0" borderId="0" xfId="0" applyNumberFormat="1" applyFont="1" applyFill="1" applyBorder="1"/>
    <xf numFmtId="168" fontId="15" fillId="0" borderId="26" xfId="0" applyNumberFormat="1" applyFont="1" applyFill="1" applyBorder="1"/>
    <xf numFmtId="168" fontId="24" fillId="0" borderId="1" xfId="0" applyNumberFormat="1" applyFont="1" applyFill="1" applyBorder="1"/>
    <xf numFmtId="168" fontId="24" fillId="0" borderId="0" xfId="0" applyNumberFormat="1" applyFont="1" applyFill="1" applyBorder="1"/>
    <xf numFmtId="167" fontId="16" fillId="0" borderId="0" xfId="1609" applyNumberFormat="1" applyFont="1" applyFill="1" applyBorder="1"/>
    <xf numFmtId="167" fontId="22" fillId="0" borderId="1" xfId="1609" applyNumberFormat="1" applyFont="1" applyFill="1" applyBorder="1"/>
    <xf numFmtId="167" fontId="22" fillId="0" borderId="0" xfId="1609" applyNumberFormat="1" applyFont="1" applyFill="1" applyBorder="1"/>
    <xf numFmtId="167" fontId="22" fillId="0" borderId="26" xfId="1609" applyNumberFormat="1" applyFont="1" applyFill="1" applyBorder="1"/>
    <xf numFmtId="0" fontId="15" fillId="0" borderId="1" xfId="0" applyFont="1" applyFill="1" applyBorder="1" applyAlignment="1">
      <alignment horizontal="left"/>
    </xf>
    <xf numFmtId="0" fontId="15" fillId="0" borderId="26" xfId="0" applyFont="1" applyFill="1" applyBorder="1" applyAlignment="1">
      <alignment horizontal="left"/>
    </xf>
    <xf numFmtId="169" fontId="15" fillId="0" borderId="1" xfId="0" applyNumberFormat="1" applyFont="1" applyFill="1" applyBorder="1" applyAlignment="1"/>
    <xf numFmtId="169" fontId="15" fillId="0" borderId="0" xfId="0" applyNumberFormat="1" applyFont="1" applyFill="1" applyBorder="1" applyAlignment="1"/>
    <xf numFmtId="169" fontId="15" fillId="0" borderId="26" xfId="0" applyNumberFormat="1" applyFont="1" applyFill="1" applyBorder="1" applyAlignment="1"/>
    <xf numFmtId="0" fontId="15" fillId="0" borderId="23" xfId="0" applyFont="1" applyFill="1" applyBorder="1" applyAlignment="1">
      <alignment horizontal="left"/>
    </xf>
    <xf numFmtId="0" fontId="15" fillId="0" borderId="24" xfId="0" applyFont="1" applyFill="1" applyBorder="1" applyAlignment="1">
      <alignment horizontal="left"/>
    </xf>
    <xf numFmtId="169" fontId="15" fillId="0" borderId="23" xfId="0" applyNumberFormat="1" applyFont="1" applyFill="1" applyBorder="1" applyAlignment="1"/>
    <xf numFmtId="169" fontId="15" fillId="0" borderId="2" xfId="0" applyNumberFormat="1" applyFont="1" applyFill="1" applyBorder="1" applyAlignment="1"/>
    <xf numFmtId="169" fontId="15" fillId="0" borderId="24" xfId="0" applyNumberFormat="1" applyFont="1" applyFill="1" applyBorder="1" applyAlignment="1"/>
    <xf numFmtId="0" fontId="15" fillId="0" borderId="0" xfId="0" applyFont="1" applyFill="1" applyBorder="1" applyAlignment="1">
      <alignment horizontal="left" wrapText="1" indent="2"/>
    </xf>
    <xf numFmtId="37" fontId="15" fillId="0" borderId="0" xfId="0" applyNumberFormat="1" applyFont="1" applyFill="1"/>
    <xf numFmtId="0" fontId="15" fillId="18" borderId="0" xfId="0" applyFont="1" applyFill="1" applyBorder="1"/>
    <xf numFmtId="0" fontId="26" fillId="18" borderId="0" xfId="0" applyFont="1" applyFill="1" applyBorder="1"/>
    <xf numFmtId="37" fontId="15" fillId="0" borderId="0" xfId="0" applyNumberFormat="1" applyFont="1" applyFill="1" applyAlignment="1">
      <alignment horizontal="center"/>
    </xf>
    <xf numFmtId="0" fontId="15" fillId="0" borderId="0" xfId="0" applyNumberFormat="1" applyFont="1" applyFill="1" applyAlignment="1">
      <alignment horizontal="center"/>
    </xf>
    <xf numFmtId="0" fontId="22" fillId="0" borderId="0" xfId="0" applyFont="1" applyFill="1" applyBorder="1"/>
    <xf numFmtId="0" fontId="26" fillId="0" borderId="0" xfId="0" applyFont="1" applyFill="1"/>
    <xf numFmtId="0" fontId="9" fillId="0" borderId="0" xfId="0" applyFont="1" applyFill="1"/>
    <xf numFmtId="0" fontId="15" fillId="0" borderId="0" xfId="0" applyFont="1" applyFill="1"/>
    <xf numFmtId="0" fontId="22" fillId="0" borderId="27" xfId="0" applyFont="1" applyFill="1" applyBorder="1"/>
    <xf numFmtId="0" fontId="0" fillId="0" borderId="27" xfId="0" applyBorder="1"/>
    <xf numFmtId="0" fontId="0" fillId="0" borderId="0" xfId="0" applyBorder="1"/>
    <xf numFmtId="168" fontId="22" fillId="0" borderId="27" xfId="0" applyNumberFormat="1" applyFont="1" applyFill="1" applyBorder="1"/>
    <xf numFmtId="167" fontId="22" fillId="0" borderId="27" xfId="1609" applyNumberFormat="1" applyFont="1" applyFill="1" applyBorder="1"/>
    <xf numFmtId="169" fontId="22" fillId="0" borderId="27" xfId="0" applyNumberFormat="1" applyFont="1" applyFill="1" applyBorder="1"/>
    <xf numFmtId="0" fontId="9" fillId="0" borderId="0" xfId="0" applyFont="1" applyFill="1" applyBorder="1"/>
    <xf numFmtId="0" fontId="26" fillId="0" borderId="0" xfId="0" applyFont="1" applyFill="1" applyBorder="1"/>
    <xf numFmtId="168" fontId="24" fillId="0" borderId="26" xfId="0" applyNumberFormat="1" applyFont="1" applyFill="1" applyBorder="1"/>
    <xf numFmtId="167" fontId="24" fillId="0" borderId="26" xfId="1609" applyNumberFormat="1" applyFont="1" applyFill="1" applyBorder="1"/>
    <xf numFmtId="167" fontId="24" fillId="0" borderId="0" xfId="1609" applyNumberFormat="1" applyFont="1" applyFill="1" applyBorder="1"/>
    <xf numFmtId="169" fontId="22" fillId="0" borderId="0" xfId="0" applyNumberFormat="1" applyFont="1" applyFill="1"/>
    <xf numFmtId="0" fontId="15" fillId="18" borderId="0" xfId="0" applyFont="1" applyFill="1"/>
    <xf numFmtId="0" fontId="15" fillId="0" borderId="0" xfId="0" applyFont="1" applyFill="1" applyBorder="1" applyAlignment="1">
      <alignment horizontal="center"/>
    </xf>
    <xf numFmtId="37" fontId="15" fillId="0" borderId="0" xfId="0" applyNumberFormat="1" applyFont="1" applyFill="1" applyBorder="1" applyAlignment="1">
      <alignment horizontal="center"/>
    </xf>
    <xf numFmtId="0" fontId="26" fillId="0" borderId="0" xfId="0" applyFont="1"/>
    <xf numFmtId="170" fontId="22" fillId="0" borderId="0" xfId="1609" applyNumberFormat="1" applyFont="1" applyFill="1" applyBorder="1" applyAlignment="1"/>
    <xf numFmtId="0" fontId="28" fillId="0" borderId="0" xfId="0" applyFont="1" applyFill="1"/>
    <xf numFmtId="0" fontId="29" fillId="0" borderId="0" xfId="0" applyFont="1" applyFill="1" applyBorder="1"/>
    <xf numFmtId="0" fontId="30" fillId="0" borderId="27" xfId="0" applyFont="1" applyFill="1" applyBorder="1"/>
    <xf numFmtId="0" fontId="30" fillId="0" borderId="1" xfId="0" applyFont="1" applyFill="1" applyBorder="1"/>
    <xf numFmtId="0" fontId="31" fillId="0" borderId="0" xfId="0" applyFont="1" applyFill="1"/>
    <xf numFmtId="0" fontId="32" fillId="0" borderId="0" xfId="0" applyFont="1" applyFill="1" applyBorder="1"/>
    <xf numFmtId="164" fontId="14" fillId="0" borderId="1" xfId="1557" applyFont="1" applyFill="1" applyBorder="1"/>
    <xf numFmtId="164" fontId="14" fillId="0" borderId="26" xfId="1557" applyFont="1" applyFill="1" applyBorder="1"/>
    <xf numFmtId="0" fontId="22" fillId="0" borderId="0" xfId="0" applyFont="1" applyFill="1"/>
    <xf numFmtId="0" fontId="22" fillId="0" borderId="26" xfId="0" applyFont="1" applyFill="1" applyBorder="1"/>
    <xf numFmtId="0" fontId="22" fillId="0" borderId="1" xfId="0" applyFont="1" applyFill="1" applyBorder="1"/>
    <xf numFmtId="0" fontId="15" fillId="0" borderId="27" xfId="0" applyFont="1" applyFill="1" applyBorder="1"/>
    <xf numFmtId="169" fontId="15" fillId="0" borderId="0" xfId="0" applyNumberFormat="1" applyFont="1" applyFill="1" applyBorder="1"/>
    <xf numFmtId="169" fontId="15" fillId="0" borderId="1" xfId="0" applyNumberFormat="1" applyFont="1" applyFill="1" applyBorder="1"/>
    <xf numFmtId="169" fontId="15" fillId="0" borderId="26" xfId="0" applyNumberFormat="1" applyFont="1" applyFill="1" applyBorder="1"/>
    <xf numFmtId="179" fontId="22" fillId="0" borderId="0" xfId="0" applyNumberFormat="1" applyFont="1" applyFill="1"/>
    <xf numFmtId="179" fontId="22" fillId="0" borderId="26" xfId="0" applyNumberFormat="1" applyFont="1" applyFill="1" applyBorder="1"/>
    <xf numFmtId="179" fontId="15" fillId="0" borderId="0" xfId="0" applyNumberFormat="1" applyFont="1" applyFill="1" applyBorder="1"/>
    <xf numFmtId="179" fontId="15" fillId="0" borderId="1" xfId="0" applyNumberFormat="1" applyFont="1" applyFill="1" applyBorder="1"/>
    <xf numFmtId="179" fontId="15" fillId="0" borderId="26" xfId="0" applyNumberFormat="1" applyFont="1" applyFill="1" applyBorder="1"/>
    <xf numFmtId="179" fontId="15" fillId="0" borderId="24" xfId="0" applyNumberFormat="1" applyFont="1" applyFill="1" applyBorder="1"/>
    <xf numFmtId="179" fontId="15" fillId="0" borderId="2" xfId="0" applyNumberFormat="1" applyFont="1" applyFill="1" applyBorder="1"/>
    <xf numFmtId="164" fontId="14" fillId="0" borderId="1" xfId="1557" applyNumberFormat="1" applyFont="1" applyFill="1" applyBorder="1" applyAlignment="1"/>
    <xf numFmtId="164" fontId="14" fillId="0" borderId="26" xfId="1557" applyNumberFormat="1" applyFont="1" applyFill="1" applyBorder="1" applyAlignment="1"/>
    <xf numFmtId="179" fontId="14" fillId="0" borderId="7" xfId="0" applyNumberFormat="1" applyFont="1" applyFill="1" applyBorder="1"/>
    <xf numFmtId="179" fontId="14" fillId="0" borderId="15" xfId="0" applyNumberFormat="1" applyFont="1" applyFill="1" applyBorder="1"/>
    <xf numFmtId="179" fontId="14" fillId="0" borderId="21" xfId="0" applyNumberFormat="1" applyFont="1" applyFill="1" applyBorder="1"/>
    <xf numFmtId="179" fontId="14" fillId="0" borderId="0" xfId="0" applyNumberFormat="1" applyFont="1" applyFill="1" applyBorder="1"/>
    <xf numFmtId="179" fontId="14" fillId="0" borderId="26" xfId="0" applyNumberFormat="1" applyFont="1" applyFill="1" applyBorder="1"/>
    <xf numFmtId="179" fontId="22" fillId="0" borderId="0" xfId="436" applyNumberFormat="1" applyFont="1" applyFill="1" applyBorder="1"/>
    <xf numFmtId="179" fontId="22" fillId="0" borderId="1" xfId="436" applyNumberFormat="1" applyFont="1" applyFill="1" applyBorder="1"/>
    <xf numFmtId="179" fontId="22" fillId="0" borderId="0" xfId="0" applyNumberFormat="1" applyFont="1" applyFill="1" applyBorder="1"/>
    <xf numFmtId="179" fontId="14" fillId="0" borderId="25" xfId="0" applyNumberFormat="1" applyFont="1" applyFill="1" applyBorder="1"/>
    <xf numFmtId="179" fontId="14" fillId="0" borderId="6" xfId="0" applyNumberFormat="1" applyFont="1" applyFill="1" applyBorder="1"/>
    <xf numFmtId="179" fontId="14" fillId="0" borderId="22" xfId="0" applyNumberFormat="1" applyFont="1" applyFill="1" applyBorder="1"/>
    <xf numFmtId="179" fontId="22" fillId="0" borderId="1" xfId="0" applyNumberFormat="1" applyFont="1" applyFill="1" applyBorder="1"/>
    <xf numFmtId="179" fontId="15" fillId="0" borderId="23" xfId="0" applyNumberFormat="1" applyFont="1" applyFill="1" applyBorder="1"/>
    <xf numFmtId="37" fontId="14" fillId="0" borderId="1" xfId="1557" applyNumberFormat="1" applyFont="1" applyFill="1" applyBorder="1"/>
    <xf numFmtId="37" fontId="14" fillId="0" borderId="26" xfId="1557" applyNumberFormat="1" applyFont="1" applyFill="1" applyBorder="1"/>
    <xf numFmtId="179" fontId="21" fillId="0" borderId="0" xfId="0" applyNumberFormat="1" applyFont="1" applyFill="1"/>
    <xf numFmtId="179" fontId="21" fillId="0" borderId="26" xfId="0" applyNumberFormat="1" applyFont="1" applyFill="1" applyBorder="1"/>
    <xf numFmtId="179" fontId="14" fillId="0" borderId="1" xfId="0" applyNumberFormat="1" applyFont="1" applyFill="1" applyBorder="1"/>
    <xf numFmtId="37" fontId="22" fillId="0" borderId="0" xfId="0" applyNumberFormat="1" applyFont="1" applyFill="1" applyBorder="1"/>
    <xf numFmtId="0" fontId="33" fillId="0" borderId="25" xfId="0" applyFont="1" applyFill="1" applyBorder="1"/>
    <xf numFmtId="0" fontId="33" fillId="0" borderId="6" xfId="0" applyFont="1" applyFill="1" applyBorder="1"/>
    <xf numFmtId="172" fontId="33" fillId="0" borderId="6" xfId="436" applyNumberFormat="1" applyFont="1" applyFill="1" applyBorder="1"/>
    <xf numFmtId="172" fontId="33" fillId="0" borderId="22" xfId="436" applyNumberFormat="1" applyFont="1" applyFill="1" applyBorder="1"/>
    <xf numFmtId="172" fontId="33" fillId="0" borderId="25" xfId="436" applyNumberFormat="1" applyFont="1" applyFill="1" applyBorder="1"/>
    <xf numFmtId="37" fontId="22" fillId="0" borderId="0" xfId="0" applyNumberFormat="1" applyFont="1" applyFill="1"/>
    <xf numFmtId="43" fontId="22" fillId="0" borderId="0" xfId="0" applyNumberFormat="1" applyFont="1" applyFill="1"/>
    <xf numFmtId="0" fontId="34" fillId="18" borderId="25" xfId="0" applyFont="1" applyFill="1" applyBorder="1" applyAlignment="1">
      <alignment horizontal="left"/>
    </xf>
    <xf numFmtId="0" fontId="34" fillId="18" borderId="22" xfId="0" applyFont="1" applyFill="1" applyBorder="1" applyAlignment="1">
      <alignment horizontal="left"/>
    </xf>
    <xf numFmtId="181" fontId="15" fillId="0" borderId="0" xfId="0" applyNumberFormat="1" applyFont="1" applyFill="1" applyBorder="1"/>
    <xf numFmtId="181" fontId="15" fillId="0" borderId="26" xfId="0" applyNumberFormat="1" applyFont="1" applyFill="1" applyBorder="1"/>
    <xf numFmtId="181" fontId="22" fillId="18" borderId="0" xfId="1609" applyNumberFormat="1" applyFont="1" applyFill="1" applyBorder="1"/>
    <xf numFmtId="181" fontId="22" fillId="18" borderId="26" xfId="1609" applyNumberFormat="1" applyFont="1" applyFill="1" applyBorder="1"/>
    <xf numFmtId="181" fontId="15" fillId="0" borderId="21" xfId="0" applyNumberFormat="1" applyFont="1" applyFill="1" applyBorder="1"/>
    <xf numFmtId="167" fontId="15" fillId="0" borderId="0" xfId="1609" applyNumberFormat="1" applyFont="1" applyFill="1" applyBorder="1"/>
    <xf numFmtId="167" fontId="15" fillId="0" borderId="26" xfId="1609" applyNumberFormat="1" applyFont="1" applyFill="1" applyBorder="1"/>
    <xf numFmtId="167" fontId="15" fillId="0" borderId="1" xfId="1609" applyNumberFormat="1" applyFont="1" applyFill="1" applyBorder="1"/>
    <xf numFmtId="167" fontId="22" fillId="18" borderId="0" xfId="1609" applyNumberFormat="1" applyFont="1" applyFill="1" applyBorder="1"/>
    <xf numFmtId="167" fontId="22" fillId="18" borderId="26" xfId="1609" applyNumberFormat="1" applyFont="1" applyFill="1" applyBorder="1"/>
    <xf numFmtId="182" fontId="15" fillId="0" borderId="0" xfId="0" applyNumberFormat="1" applyFont="1" applyFill="1" applyBorder="1"/>
    <xf numFmtId="182" fontId="15" fillId="0" borderId="26" xfId="0" applyNumberFormat="1" applyFont="1" applyFill="1" applyBorder="1"/>
    <xf numFmtId="182" fontId="15" fillId="0" borderId="1" xfId="0" applyNumberFormat="1" applyFont="1" applyFill="1" applyBorder="1"/>
    <xf numFmtId="0" fontId="15" fillId="0" borderId="23" xfId="0" applyFont="1" applyFill="1" applyBorder="1"/>
    <xf numFmtId="0" fontId="15" fillId="0" borderId="24" xfId="0" applyFont="1" applyFill="1" applyBorder="1"/>
    <xf numFmtId="182" fontId="15" fillId="0" borderId="2" xfId="0" applyNumberFormat="1" applyFont="1" applyFill="1" applyBorder="1"/>
    <xf numFmtId="182" fontId="15" fillId="0" borderId="24" xfId="0" applyNumberFormat="1" applyFont="1" applyFill="1" applyBorder="1"/>
    <xf numFmtId="182" fontId="15" fillId="0" borderId="23" xfId="0" applyNumberFormat="1" applyFont="1" applyFill="1" applyBorder="1"/>
    <xf numFmtId="0" fontId="15" fillId="0" borderId="7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 indent="1"/>
    </xf>
    <xf numFmtId="168" fontId="22" fillId="0" borderId="21" xfId="0" applyNumberFormat="1" applyFont="1" applyFill="1" applyBorder="1"/>
    <xf numFmtId="168" fontId="15" fillId="0" borderId="1" xfId="0" applyNumberFormat="1" applyFont="1" applyFill="1" applyBorder="1"/>
    <xf numFmtId="171" fontId="22" fillId="0" borderId="0" xfId="0" applyNumberFormat="1" applyFont="1" applyFill="1" applyBorder="1"/>
    <xf numFmtId="168" fontId="15" fillId="0" borderId="21" xfId="0" applyNumberFormat="1" applyFont="1" applyFill="1" applyBorder="1"/>
    <xf numFmtId="168" fontId="15" fillId="0" borderId="24" xfId="0" applyNumberFormat="1" applyFont="1" applyFill="1" applyBorder="1"/>
    <xf numFmtId="0" fontId="18" fillId="0" borderId="0" xfId="0" applyFont="1" applyFill="1" applyBorder="1"/>
    <xf numFmtId="0" fontId="14" fillId="0" borderId="25" xfId="0" applyFont="1" applyFill="1" applyBorder="1" applyAlignment="1">
      <alignment horizontal="left" indent="1"/>
    </xf>
    <xf numFmtId="0" fontId="14" fillId="0" borderId="6" xfId="0" applyFont="1" applyFill="1" applyBorder="1" applyAlignment="1">
      <alignment horizontal="left" indent="1"/>
    </xf>
    <xf numFmtId="168" fontId="14" fillId="0" borderId="25" xfId="0" applyNumberFormat="1" applyFont="1" applyFill="1" applyBorder="1"/>
    <xf numFmtId="168" fontId="14" fillId="0" borderId="6" xfId="0" applyNumberFormat="1" applyFont="1" applyFill="1" applyBorder="1"/>
    <xf numFmtId="168" fontId="14" fillId="0" borderId="22" xfId="0" applyNumberFormat="1" applyFont="1" applyFill="1" applyBorder="1"/>
    <xf numFmtId="0" fontId="14" fillId="0" borderId="0" xfId="0" applyFont="1" applyFill="1" applyBorder="1"/>
    <xf numFmtId="177" fontId="15" fillId="0" borderId="0" xfId="0" applyNumberFormat="1" applyFont="1" applyFill="1" applyBorder="1"/>
    <xf numFmtId="168" fontId="22" fillId="0" borderId="24" xfId="0" applyNumberFormat="1" applyFont="1" applyFill="1" applyBorder="1"/>
    <xf numFmtId="37" fontId="14" fillId="0" borderId="25" xfId="1557" applyNumberFormat="1" applyFont="1" applyFill="1" applyBorder="1"/>
    <xf numFmtId="37" fontId="14" fillId="0" borderId="6" xfId="1557" applyNumberFormat="1" applyFont="1" applyFill="1" applyBorder="1"/>
    <xf numFmtId="37" fontId="14" fillId="0" borderId="0" xfId="1557" applyNumberFormat="1" applyFont="1" applyFill="1" applyBorder="1"/>
    <xf numFmtId="0" fontId="26" fillId="0" borderId="7" xfId="0" applyFont="1" applyFill="1" applyBorder="1"/>
    <xf numFmtId="0" fontId="26" fillId="0" borderId="21" xfId="0" applyFont="1" applyFill="1" applyBorder="1"/>
    <xf numFmtId="172" fontId="26" fillId="0" borderId="15" xfId="436" applyNumberFormat="1" applyFont="1" applyFill="1" applyBorder="1"/>
    <xf numFmtId="172" fontId="26" fillId="0" borderId="21" xfId="436" applyNumberFormat="1" applyFont="1" applyFill="1" applyBorder="1"/>
    <xf numFmtId="172" fontId="26" fillId="0" borderId="7" xfId="436" applyNumberFormat="1" applyFont="1" applyFill="1" applyBorder="1"/>
    <xf numFmtId="172" fontId="35" fillId="0" borderId="0" xfId="436" applyNumberFormat="1" applyFont="1" applyBorder="1"/>
    <xf numFmtId="0" fontId="26" fillId="0" borderId="27" xfId="0" applyFont="1" applyFill="1" applyBorder="1"/>
    <xf numFmtId="183" fontId="15" fillId="0" borderId="0" xfId="0" applyNumberFormat="1" applyFont="1" applyFill="1" applyBorder="1"/>
    <xf numFmtId="37" fontId="15" fillId="0" borderId="0" xfId="0" applyNumberFormat="1" applyFont="1" applyFill="1" applyBorder="1"/>
    <xf numFmtId="168" fontId="30" fillId="29" borderId="0" xfId="1556" applyNumberFormat="1" applyFont="1" applyFill="1" applyBorder="1"/>
    <xf numFmtId="168" fontId="30" fillId="29" borderId="26" xfId="1556" applyNumberFormat="1" applyFont="1" applyFill="1" applyBorder="1"/>
    <xf numFmtId="168" fontId="30" fillId="29" borderId="1" xfId="1556" applyNumberFormat="1" applyFont="1" applyFill="1" applyBorder="1"/>
    <xf numFmtId="168" fontId="30" fillId="29" borderId="0" xfId="1556" applyNumberFormat="1" applyFont="1" applyFill="1"/>
    <xf numFmtId="168" fontId="30" fillId="29" borderId="2" xfId="1556" applyNumberFormat="1" applyFont="1" applyFill="1" applyBorder="1"/>
    <xf numFmtId="168" fontId="30" fillId="29" borderId="24" xfId="1556" applyNumberFormat="1" applyFont="1" applyFill="1" applyBorder="1"/>
    <xf numFmtId="0" fontId="9" fillId="18" borderId="0" xfId="0" applyFont="1" applyFill="1" applyBorder="1"/>
    <xf numFmtId="0" fontId="22" fillId="0" borderId="0" xfId="0" applyFont="1" applyFill="1" applyBorder="1" applyAlignment="1">
      <alignment horizontal="center"/>
    </xf>
    <xf numFmtId="182" fontId="15" fillId="0" borderId="0" xfId="0" applyNumberFormat="1" applyFont="1" applyFill="1" applyBorder="1" applyAlignment="1">
      <alignment horizontal="center"/>
    </xf>
    <xf numFmtId="0" fontId="37" fillId="0" borderId="0" xfId="0" applyFont="1" applyFill="1"/>
    <xf numFmtId="0" fontId="29" fillId="0" borderId="0" xfId="0" applyFont="1" applyFill="1"/>
    <xf numFmtId="0" fontId="32" fillId="0" borderId="0" xfId="0" applyFont="1" applyFill="1"/>
    <xf numFmtId="0" fontId="0" fillId="18" borderId="0" xfId="0" applyFill="1" applyBorder="1"/>
    <xf numFmtId="182" fontId="9" fillId="0" borderId="0" xfId="0" applyNumberFormat="1" applyFont="1" applyFill="1" applyBorder="1" applyAlignment="1">
      <alignment horizontal="center"/>
    </xf>
    <xf numFmtId="0" fontId="34" fillId="18" borderId="6" xfId="0" applyFont="1" applyFill="1" applyBorder="1" applyAlignment="1">
      <alignment horizontal="left"/>
    </xf>
    <xf numFmtId="179" fontId="22" fillId="0" borderId="2" xfId="0" applyNumberFormat="1" applyFont="1" applyFill="1" applyBorder="1"/>
    <xf numFmtId="172" fontId="26" fillId="0" borderId="22" xfId="436" applyNumberFormat="1" applyFont="1" applyFill="1" applyBorder="1"/>
    <xf numFmtId="179" fontId="22" fillId="0" borderId="23" xfId="0" applyNumberFormat="1" applyFont="1" applyFill="1" applyBorder="1"/>
    <xf numFmtId="172" fontId="26" fillId="0" borderId="25" xfId="436" applyNumberFormat="1" applyFont="1" applyFill="1" applyBorder="1"/>
    <xf numFmtId="179" fontId="22" fillId="0" borderId="24" xfId="0" applyNumberFormat="1" applyFont="1" applyFill="1" applyBorder="1"/>
    <xf numFmtId="168" fontId="30" fillId="29" borderId="7" xfId="1556" applyNumberFormat="1" applyFont="1" applyFill="1" applyBorder="1"/>
    <xf numFmtId="181" fontId="22" fillId="18" borderId="21" xfId="1609" applyNumberFormat="1" applyFont="1" applyFill="1" applyBorder="1"/>
    <xf numFmtId="168" fontId="30" fillId="29" borderId="21" xfId="1556" applyNumberFormat="1" applyFont="1" applyFill="1" applyBorder="1"/>
    <xf numFmtId="1" fontId="19" fillId="18" borderId="15" xfId="1557" applyNumberFormat="1" applyFont="1" applyFill="1" applyBorder="1" applyAlignment="1">
      <alignment horizontal="right"/>
    </xf>
    <xf numFmtId="168" fontId="15" fillId="0" borderId="7" xfId="0" applyNumberFormat="1" applyFont="1" applyFill="1" applyBorder="1"/>
    <xf numFmtId="168" fontId="15" fillId="0" borderId="15" xfId="0" applyNumberFormat="1" applyFont="1" applyFill="1" applyBorder="1"/>
    <xf numFmtId="168" fontId="15" fillId="0" borderId="2" xfId="0" applyNumberFormat="1" applyFont="1" applyFill="1" applyBorder="1"/>
    <xf numFmtId="172" fontId="26" fillId="0" borderId="6" xfId="436" applyNumberFormat="1" applyFont="1" applyFill="1" applyBorder="1"/>
    <xf numFmtId="172" fontId="26" fillId="0" borderId="0" xfId="436" applyNumberFormat="1" applyFont="1" applyFill="1" applyBorder="1"/>
    <xf numFmtId="37" fontId="9" fillId="0" borderId="0" xfId="0" applyNumberFormat="1" applyFont="1" applyFill="1" applyBorder="1"/>
    <xf numFmtId="0" fontId="34" fillId="0" borderId="0" xfId="0" applyFont="1" applyFill="1" applyBorder="1"/>
    <xf numFmtId="37" fontId="26" fillId="0" borderId="0" xfId="0" applyNumberFormat="1" applyFont="1" applyFill="1" applyBorder="1"/>
    <xf numFmtId="0" fontId="8" fillId="0" borderId="0" xfId="0" applyNumberFormat="1" applyFont="1" applyFill="1" applyBorder="1" applyAlignment="1"/>
    <xf numFmtId="0" fontId="39" fillId="0" borderId="0" xfId="0" applyFont="1" applyFill="1" applyBorder="1" applyAlignment="1">
      <alignment horizontal="right"/>
    </xf>
    <xf numFmtId="0" fontId="34" fillId="0" borderId="27" xfId="0" applyFont="1" applyFill="1" applyBorder="1" applyAlignment="1">
      <alignment horizontal="right"/>
    </xf>
    <xf numFmtId="0" fontId="34" fillId="0" borderId="1" xfId="0" applyFont="1" applyFill="1" applyBorder="1" applyAlignment="1">
      <alignment horizontal="right"/>
    </xf>
    <xf numFmtId="0" fontId="34" fillId="0" borderId="0" xfId="0" applyFont="1" applyFill="1" applyBorder="1" applyAlignment="1">
      <alignment horizontal="right"/>
    </xf>
    <xf numFmtId="0" fontId="34" fillId="0" borderId="1" xfId="0" applyFont="1" applyFill="1" applyBorder="1"/>
    <xf numFmtId="37" fontId="26" fillId="0" borderId="1" xfId="0" applyNumberFormat="1" applyFont="1" applyFill="1" applyBorder="1"/>
    <xf numFmtId="37" fontId="26" fillId="0" borderId="26" xfId="0" applyNumberFormat="1" applyFont="1" applyFill="1" applyBorder="1"/>
    <xf numFmtId="37" fontId="26" fillId="0" borderId="21" xfId="0" applyNumberFormat="1" applyFont="1" applyFill="1" applyBorder="1"/>
    <xf numFmtId="0" fontId="26" fillId="0" borderId="1" xfId="0" applyFont="1" applyFill="1" applyBorder="1"/>
    <xf numFmtId="169" fontId="26" fillId="0" borderId="1" xfId="0" applyNumberFormat="1" applyFont="1" applyFill="1" applyBorder="1"/>
    <xf numFmtId="169" fontId="26" fillId="0" borderId="0" xfId="0" applyNumberFormat="1" applyFont="1" applyFill="1" applyBorder="1"/>
    <xf numFmtId="169" fontId="26" fillId="0" borderId="26" xfId="0" applyNumberFormat="1" applyFont="1" applyFill="1" applyBorder="1"/>
    <xf numFmtId="0" fontId="26" fillId="0" borderId="1" xfId="0" applyFont="1" applyFill="1" applyBorder="1" applyAlignment="1">
      <alignment horizontal="left" wrapText="1" indent="1"/>
    </xf>
    <xf numFmtId="0" fontId="26" fillId="0" borderId="0" xfId="0" applyFont="1" applyFill="1" applyBorder="1" applyAlignment="1">
      <alignment horizontal="left" wrapText="1" indent="1"/>
    </xf>
    <xf numFmtId="41" fontId="35" fillId="0" borderId="1" xfId="0" applyNumberFormat="1" applyFont="1" applyFill="1" applyBorder="1"/>
    <xf numFmtId="41" fontId="35" fillId="0" borderId="0" xfId="0" applyNumberFormat="1" applyFont="1" applyFill="1" applyBorder="1"/>
    <xf numFmtId="41" fontId="35" fillId="0" borderId="26" xfId="0" applyNumberFormat="1" applyFont="1" applyFill="1" applyBorder="1"/>
    <xf numFmtId="0" fontId="26" fillId="0" borderId="1" xfId="0" applyFont="1" applyFill="1" applyBorder="1" applyAlignment="1">
      <alignment horizontal="left" indent="2"/>
    </xf>
    <xf numFmtId="0" fontId="26" fillId="0" borderId="0" xfId="0" applyFont="1" applyFill="1" applyBorder="1" applyAlignment="1">
      <alignment horizontal="left" indent="2"/>
    </xf>
    <xf numFmtId="179" fontId="35" fillId="0" borderId="1" xfId="0" applyNumberFormat="1" applyFont="1" applyFill="1" applyBorder="1"/>
    <xf numFmtId="179" fontId="40" fillId="0" borderId="0" xfId="0" applyNumberFormat="1" applyFont="1" applyFill="1" applyBorder="1"/>
    <xf numFmtId="179" fontId="40" fillId="0" borderId="26" xfId="0" applyNumberFormat="1" applyFont="1" applyFill="1" applyBorder="1"/>
    <xf numFmtId="179" fontId="26" fillId="0" borderId="0" xfId="0" applyNumberFormat="1" applyFont="1" applyFill="1" applyBorder="1"/>
    <xf numFmtId="179" fontId="26" fillId="0" borderId="26" xfId="0" applyNumberFormat="1" applyFont="1" applyFill="1" applyBorder="1"/>
    <xf numFmtId="179" fontId="26" fillId="0" borderId="1" xfId="0" applyNumberFormat="1" applyFont="1" applyFill="1" applyBorder="1"/>
    <xf numFmtId="0" fontId="26" fillId="0" borderId="0" xfId="0" applyFont="1" applyFill="1" applyBorder="1" applyAlignment="1">
      <alignment horizontal="left" indent="3"/>
    </xf>
    <xf numFmtId="179" fontId="35" fillId="0" borderId="0" xfId="0" applyNumberFormat="1" applyFont="1" applyFill="1" applyBorder="1"/>
    <xf numFmtId="0" fontId="26" fillId="0" borderId="1" xfId="0" applyFont="1" applyFill="1" applyBorder="1" applyAlignment="1">
      <alignment horizontal="left" indent="1"/>
    </xf>
    <xf numFmtId="0" fontId="26" fillId="0" borderId="0" xfId="0" applyFont="1" applyFill="1" applyBorder="1" applyAlignment="1">
      <alignment horizontal="left" indent="1"/>
    </xf>
    <xf numFmtId="179" fontId="35" fillId="0" borderId="26" xfId="0" applyNumberFormat="1" applyFont="1" applyFill="1" applyBorder="1"/>
    <xf numFmtId="0" fontId="39" fillId="0" borderId="0" xfId="0" applyFont="1" applyFill="1" applyBorder="1"/>
    <xf numFmtId="0" fontId="34" fillId="0" borderId="1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179" fontId="34" fillId="0" borderId="28" xfId="0" applyNumberFormat="1" applyFont="1" applyFill="1" applyBorder="1"/>
    <xf numFmtId="179" fontId="34" fillId="0" borderId="29" xfId="0" applyNumberFormat="1" applyFont="1" applyFill="1" applyBorder="1"/>
    <xf numFmtId="179" fontId="34" fillId="0" borderId="30" xfId="0" applyNumberFormat="1" applyFont="1" applyFill="1" applyBorder="1"/>
    <xf numFmtId="37" fontId="34" fillId="0" borderId="0" xfId="0" applyNumberFormat="1" applyFont="1" applyFill="1" applyBorder="1"/>
    <xf numFmtId="179" fontId="41" fillId="0" borderId="1" xfId="0" applyNumberFormat="1" applyFont="1" applyFill="1" applyBorder="1"/>
    <xf numFmtId="179" fontId="41" fillId="0" borderId="0" xfId="0" applyNumberFormat="1" applyFont="1" applyFill="1" applyBorder="1"/>
    <xf numFmtId="179" fontId="41" fillId="0" borderId="26" xfId="0" applyNumberFormat="1" applyFont="1" applyFill="1" applyBorder="1"/>
    <xf numFmtId="179" fontId="34" fillId="0" borderId="0" xfId="0" applyNumberFormat="1" applyFont="1" applyFill="1" applyBorder="1"/>
    <xf numFmtId="179" fontId="34" fillId="0" borderId="26" xfId="0" applyNumberFormat="1" applyFont="1" applyFill="1" applyBorder="1"/>
    <xf numFmtId="179" fontId="34" fillId="0" borderId="1" xfId="0" applyNumberFormat="1" applyFont="1" applyFill="1" applyBorder="1"/>
    <xf numFmtId="0" fontId="34" fillId="0" borderId="23" xfId="0" applyFont="1" applyFill="1" applyBorder="1" applyAlignment="1">
      <alignment horizontal="left"/>
    </xf>
    <xf numFmtId="0" fontId="34" fillId="0" borderId="2" xfId="0" applyFont="1" applyFill="1" applyBorder="1" applyAlignment="1">
      <alignment horizontal="left"/>
    </xf>
    <xf numFmtId="179" fontId="34" fillId="0" borderId="23" xfId="0" applyNumberFormat="1" applyFont="1" applyFill="1" applyBorder="1"/>
    <xf numFmtId="179" fontId="34" fillId="0" borderId="2" xfId="0" applyNumberFormat="1" applyFont="1" applyFill="1" applyBorder="1"/>
    <xf numFmtId="179" fontId="34" fillId="0" borderId="24" xfId="0" applyNumberFormat="1" applyFont="1" applyFill="1" applyBorder="1"/>
    <xf numFmtId="0" fontId="27" fillId="0" borderId="0" xfId="0" applyFont="1" applyFill="1" applyBorder="1"/>
    <xf numFmtId="37" fontId="41" fillId="0" borderId="0" xfId="0" applyNumberFormat="1" applyFont="1" applyFill="1" applyBorder="1"/>
    <xf numFmtId="0" fontId="26" fillId="0" borderId="0" xfId="0" applyFont="1" applyBorder="1"/>
    <xf numFmtId="0" fontId="35" fillId="0" borderId="0" xfId="0" applyFont="1"/>
    <xf numFmtId="0" fontId="35" fillId="0" borderId="0" xfId="0" applyFont="1" applyBorder="1"/>
    <xf numFmtId="0" fontId="35" fillId="0" borderId="0" xfId="0" applyFont="1" applyFill="1" applyBorder="1"/>
    <xf numFmtId="0" fontId="26" fillId="0" borderId="1" xfId="0" applyFont="1" applyBorder="1"/>
    <xf numFmtId="0" fontId="26" fillId="0" borderId="26" xfId="0" applyFont="1" applyBorder="1"/>
    <xf numFmtId="172" fontId="31" fillId="0" borderId="26" xfId="436" applyNumberFormat="1" applyFont="1" applyFill="1" applyBorder="1"/>
    <xf numFmtId="172" fontId="26" fillId="0" borderId="26" xfId="436" applyNumberFormat="1" applyFont="1" applyFill="1" applyBorder="1"/>
    <xf numFmtId="167" fontId="16" fillId="0" borderId="1" xfId="1609" applyNumberFormat="1" applyFont="1" applyBorder="1"/>
    <xf numFmtId="167" fontId="16" fillId="0" borderId="0" xfId="1609" applyNumberFormat="1" applyFont="1" applyBorder="1"/>
    <xf numFmtId="167" fontId="16" fillId="0" borderId="26" xfId="1609" applyNumberFormat="1" applyFont="1" applyBorder="1"/>
    <xf numFmtId="167" fontId="24" fillId="18" borderId="0" xfId="1609" applyNumberFormat="1" applyFont="1" applyFill="1" applyBorder="1"/>
    <xf numFmtId="167" fontId="24" fillId="18" borderId="26" xfId="1609" applyNumberFormat="1" applyFont="1" applyFill="1" applyBorder="1"/>
    <xf numFmtId="167" fontId="24" fillId="0" borderId="27" xfId="1609" applyNumberFormat="1" applyFont="1" applyBorder="1"/>
    <xf numFmtId="172" fontId="35" fillId="0" borderId="23" xfId="436" applyNumberFormat="1" applyFont="1" applyBorder="1"/>
    <xf numFmtId="172" fontId="35" fillId="0" borderId="2" xfId="436" applyNumberFormat="1" applyFont="1" applyBorder="1"/>
    <xf numFmtId="172" fontId="35" fillId="0" borderId="24" xfId="436" applyNumberFormat="1" applyFont="1" applyBorder="1"/>
    <xf numFmtId="172" fontId="26" fillId="0" borderId="2" xfId="436" applyNumberFormat="1" applyFont="1" applyFill="1" applyBorder="1"/>
    <xf numFmtId="172" fontId="26" fillId="0" borderId="24" xfId="436" applyNumberFormat="1" applyFont="1" applyFill="1" applyBorder="1"/>
    <xf numFmtId="172" fontId="35" fillId="0" borderId="1" xfId="436" applyNumberFormat="1" applyFont="1" applyBorder="1"/>
    <xf numFmtId="172" fontId="35" fillId="0" borderId="26" xfId="436" applyNumberFormat="1" applyFont="1" applyBorder="1"/>
    <xf numFmtId="172" fontId="35" fillId="0" borderId="0" xfId="436" applyNumberFormat="1" applyFont="1"/>
    <xf numFmtId="0" fontId="14" fillId="0" borderId="23" xfId="0" applyFont="1" applyBorder="1"/>
    <xf numFmtId="0" fontId="14" fillId="0" borderId="24" xfId="0" applyFont="1" applyBorder="1"/>
    <xf numFmtId="172" fontId="14" fillId="0" borderId="25" xfId="436" applyNumberFormat="1" applyFont="1" applyBorder="1"/>
    <xf numFmtId="172" fontId="14" fillId="0" borderId="6" xfId="436" applyNumberFormat="1" applyFont="1" applyBorder="1"/>
    <xf numFmtId="172" fontId="14" fillId="0" borderId="22" xfId="436" applyNumberFormat="1" applyFont="1" applyBorder="1"/>
    <xf numFmtId="172" fontId="26" fillId="0" borderId="0" xfId="436" applyNumberFormat="1" applyFont="1" applyBorder="1"/>
    <xf numFmtId="172" fontId="26" fillId="0" borderId="26" xfId="436" applyNumberFormat="1" applyFont="1" applyBorder="1"/>
    <xf numFmtId="0" fontId="14" fillId="0" borderId="1" xfId="0" applyFont="1" applyBorder="1"/>
    <xf numFmtId="179" fontId="26" fillId="0" borderId="7" xfId="436" applyNumberFormat="1" applyFont="1" applyBorder="1"/>
    <xf numFmtId="179" fontId="26" fillId="0" borderId="15" xfId="436" applyNumberFormat="1" applyFont="1" applyBorder="1"/>
    <xf numFmtId="167" fontId="16" fillId="0" borderId="23" xfId="1609" applyNumberFormat="1" applyFont="1" applyBorder="1"/>
    <xf numFmtId="167" fontId="16" fillId="0" borderId="2" xfId="1609" applyNumberFormat="1" applyFont="1" applyBorder="1"/>
    <xf numFmtId="167" fontId="24" fillId="18" borderId="2" xfId="1609" applyNumberFormat="1" applyFont="1" applyFill="1" applyBorder="1"/>
    <xf numFmtId="167" fontId="24" fillId="18" borderId="24" xfId="1609" applyNumberFormat="1" applyFont="1" applyFill="1" applyBorder="1"/>
    <xf numFmtId="179" fontId="26" fillId="0" borderId="21" xfId="0" applyNumberFormat="1" applyFont="1" applyBorder="1"/>
    <xf numFmtId="179" fontId="26" fillId="0" borderId="7" xfId="0" applyNumberFormat="1" applyFont="1" applyBorder="1"/>
    <xf numFmtId="179" fontId="26" fillId="0" borderId="15" xfId="0" applyNumberFormat="1" applyFont="1" applyBorder="1"/>
    <xf numFmtId="0" fontId="26" fillId="0" borderId="23" xfId="0" applyFont="1" applyBorder="1"/>
    <xf numFmtId="179" fontId="26" fillId="0" borderId="2" xfId="0" applyNumberFormat="1" applyFont="1" applyBorder="1"/>
    <xf numFmtId="179" fontId="26" fillId="0" borderId="24" xfId="0" applyNumberFormat="1" applyFont="1" applyBorder="1"/>
    <xf numFmtId="179" fontId="26" fillId="0" borderId="23" xfId="0" applyNumberFormat="1" applyFont="1" applyBorder="1"/>
    <xf numFmtId="37" fontId="15" fillId="0" borderId="0" xfId="0" applyNumberFormat="1" applyFont="1" applyFill="1" applyAlignment="1">
      <alignment horizontal="centerContinuous"/>
    </xf>
    <xf numFmtId="0" fontId="9" fillId="0" borderId="0" xfId="0" applyFont="1" applyFill="1" applyBorder="1" applyAlignment="1">
      <alignment horizontal="right"/>
    </xf>
    <xf numFmtId="172" fontId="31" fillId="0" borderId="7" xfId="436" applyNumberFormat="1" applyFont="1" applyFill="1" applyBorder="1"/>
    <xf numFmtId="184" fontId="33" fillId="0" borderId="6" xfId="436" applyNumberFormat="1" applyFont="1" applyFill="1" applyBorder="1"/>
    <xf numFmtId="172" fontId="31" fillId="0" borderId="15" xfId="436" applyNumberFormat="1" applyFont="1" applyFill="1" applyBorder="1"/>
    <xf numFmtId="172" fontId="31" fillId="0" borderId="0" xfId="436" applyNumberFormat="1" applyFont="1" applyFill="1" applyBorder="1"/>
    <xf numFmtId="172" fontId="26" fillId="0" borderId="1" xfId="436" applyNumberFormat="1" applyFont="1" applyBorder="1"/>
    <xf numFmtId="172" fontId="26" fillId="0" borderId="21" xfId="436" applyNumberFormat="1" applyFont="1" applyBorder="1"/>
    <xf numFmtId="172" fontId="26" fillId="0" borderId="2" xfId="436" applyNumberFormat="1" applyFont="1" applyBorder="1"/>
    <xf numFmtId="172" fontId="26" fillId="0" borderId="23" xfId="436" applyNumberFormat="1" applyFont="1" applyBorder="1"/>
    <xf numFmtId="172" fontId="26" fillId="0" borderId="24" xfId="436" applyNumberFormat="1" applyFont="1" applyBorder="1"/>
    <xf numFmtId="184" fontId="33" fillId="0" borderId="25" xfId="436" applyNumberFormat="1" applyFont="1" applyFill="1" applyBorder="1"/>
    <xf numFmtId="179" fontId="34" fillId="0" borderId="31" xfId="0" applyNumberFormat="1" applyFont="1" applyFill="1" applyBorder="1"/>
    <xf numFmtId="1" fontId="19" fillId="18" borderId="21" xfId="1557" applyNumberFormat="1" applyFont="1" applyFill="1" applyBorder="1" applyAlignment="1">
      <alignment horizontal="right"/>
    </xf>
    <xf numFmtId="181" fontId="15" fillId="0" borderId="15" xfId="0" applyNumberFormat="1" applyFont="1" applyFill="1" applyBorder="1"/>
    <xf numFmtId="172" fontId="33" fillId="0" borderId="24" xfId="436" applyNumberFormat="1" applyFont="1" applyFill="1" applyBorder="1"/>
    <xf numFmtId="168" fontId="15" fillId="0" borderId="6" xfId="0" applyNumberFormat="1" applyFont="1" applyFill="1" applyBorder="1"/>
    <xf numFmtId="168" fontId="30" fillId="29" borderId="15" xfId="1556" applyNumberFormat="1" applyFont="1" applyFill="1" applyBorder="1"/>
    <xf numFmtId="179" fontId="15" fillId="0" borderId="7" xfId="0" applyNumberFormat="1" applyFont="1" applyFill="1" applyBorder="1"/>
    <xf numFmtId="179" fontId="15" fillId="0" borderId="15" xfId="0" applyNumberFormat="1" applyFont="1" applyFill="1" applyBorder="1"/>
    <xf numFmtId="179" fontId="15" fillId="0" borderId="21" xfId="0" applyNumberFormat="1" applyFont="1" applyFill="1" applyBorder="1"/>
    <xf numFmtId="172" fontId="33" fillId="0" borderId="23" xfId="436" applyNumberFormat="1" applyFont="1" applyFill="1" applyBorder="1"/>
    <xf numFmtId="172" fontId="33" fillId="0" borderId="2" xfId="436" applyNumberFormat="1" applyFont="1" applyFill="1" applyBorder="1"/>
    <xf numFmtId="179" fontId="15" fillId="0" borderId="6" xfId="0" applyNumberFormat="1" applyFont="1" applyFill="1" applyBorder="1"/>
    <xf numFmtId="179" fontId="15" fillId="0" borderId="22" xfId="0" applyNumberFormat="1" applyFont="1" applyFill="1" applyBorder="1"/>
    <xf numFmtId="41" fontId="22" fillId="0" borderId="26" xfId="0" applyNumberFormat="1" applyFont="1" applyFill="1" applyBorder="1"/>
    <xf numFmtId="180" fontId="22" fillId="0" borderId="0" xfId="0" applyNumberFormat="1" applyFont="1" applyFill="1"/>
    <xf numFmtId="185" fontId="22" fillId="0" borderId="0" xfId="0" applyNumberFormat="1" applyFont="1" applyFill="1"/>
    <xf numFmtId="179" fontId="22" fillId="0" borderId="26" xfId="436" applyNumberFormat="1" applyFont="1" applyFill="1" applyBorder="1"/>
    <xf numFmtId="179" fontId="22" fillId="0" borderId="15" xfId="0" applyNumberFormat="1" applyFont="1" applyFill="1" applyBorder="1"/>
    <xf numFmtId="179" fontId="22" fillId="0" borderId="21" xfId="0" applyNumberFormat="1" applyFont="1" applyFill="1" applyBorder="1"/>
    <xf numFmtId="37" fontId="26" fillId="0" borderId="7" xfId="0" applyNumberFormat="1" applyFont="1" applyFill="1" applyBorder="1"/>
    <xf numFmtId="37" fontId="26" fillId="0" borderId="15" xfId="0" applyNumberFormat="1" applyFont="1" applyFill="1" applyBorder="1"/>
    <xf numFmtId="179" fontId="34" fillId="0" borderId="32" xfId="0" applyNumberFormat="1" applyFont="1" applyFill="1" applyBorder="1"/>
    <xf numFmtId="179" fontId="26" fillId="0" borderId="2" xfId="0" applyNumberFormat="1" applyFont="1" applyFill="1" applyBorder="1"/>
    <xf numFmtId="179" fontId="26" fillId="0" borderId="24" xfId="0" applyNumberFormat="1" applyFont="1" applyFill="1" applyBorder="1"/>
    <xf numFmtId="172" fontId="26" fillId="0" borderId="23" xfId="436" applyNumberFormat="1" applyFont="1" applyFill="1" applyBorder="1"/>
    <xf numFmtId="167" fontId="16" fillId="0" borderId="24" xfId="1609" applyNumberFormat="1" applyFont="1" applyBorder="1"/>
    <xf numFmtId="172" fontId="31" fillId="0" borderId="21" xfId="436" applyNumberFormat="1" applyFont="1" applyFill="1" applyBorder="1"/>
    <xf numFmtId="172" fontId="14" fillId="0" borderId="21" xfId="436" applyNumberFormat="1" applyFont="1" applyBorder="1"/>
    <xf numFmtId="172" fontId="26" fillId="0" borderId="6" xfId="436" applyNumberFormat="1" applyFont="1" applyBorder="1"/>
    <xf numFmtId="170" fontId="22" fillId="0" borderId="0" xfId="0" applyNumberFormat="1" applyFont="1" applyFill="1" applyBorder="1"/>
    <xf numFmtId="173" fontId="15" fillId="0" borderId="23" xfId="0" applyNumberFormat="1" applyFont="1" applyFill="1" applyBorder="1"/>
    <xf numFmtId="173" fontId="15" fillId="0" borderId="2" xfId="0" applyNumberFormat="1" applyFont="1" applyFill="1" applyBorder="1"/>
    <xf numFmtId="168" fontId="15" fillId="18" borderId="26" xfId="0" applyNumberFormat="1" applyFont="1" applyFill="1" applyBorder="1" applyAlignment="1"/>
    <xf numFmtId="168" fontId="22" fillId="18" borderId="26" xfId="0" applyNumberFormat="1" applyFont="1" applyFill="1" applyBorder="1" applyAlignment="1"/>
    <xf numFmtId="183" fontId="26" fillId="0" borderId="0" xfId="0" applyNumberFormat="1" applyFont="1" applyFill="1" applyBorder="1"/>
    <xf numFmtId="168" fontId="0" fillId="0" borderId="0" xfId="0" applyNumberFormat="1" applyFill="1" applyBorder="1"/>
    <xf numFmtId="181" fontId="15" fillId="0" borderId="7" xfId="0" applyNumberFormat="1" applyFont="1" applyFill="1" applyBorder="1"/>
    <xf numFmtId="181" fontId="15" fillId="0" borderId="1" xfId="0" applyNumberFormat="1" applyFont="1" applyFill="1" applyBorder="1"/>
    <xf numFmtId="0" fontId="34" fillId="0" borderId="28" xfId="0" applyFont="1" applyFill="1" applyBorder="1" applyAlignment="1">
      <alignment horizontal="left"/>
    </xf>
    <xf numFmtId="0" fontId="34" fillId="0" borderId="29" xfId="0" applyFont="1" applyFill="1" applyBorder="1" applyAlignment="1">
      <alignment horizontal="left"/>
    </xf>
    <xf numFmtId="0" fontId="26" fillId="0" borderId="24" xfId="0" applyFont="1" applyBorder="1"/>
    <xf numFmtId="172" fontId="14" fillId="0" borderId="23" xfId="436" applyNumberFormat="1" applyFont="1" applyBorder="1"/>
    <xf numFmtId="167" fontId="24" fillId="0" borderId="1" xfId="1609" applyNumberFormat="1" applyFont="1" applyFill="1" applyBorder="1"/>
    <xf numFmtId="175" fontId="59" fillId="0" borderId="0" xfId="0" applyNumberFormat="1" applyFont="1" applyFill="1" applyBorder="1"/>
    <xf numFmtId="167" fontId="16" fillId="0" borderId="26" xfId="1609" applyNumberFormat="1" applyFont="1" applyFill="1" applyBorder="1"/>
    <xf numFmtId="175" fontId="59" fillId="0" borderId="26" xfId="0" applyNumberFormat="1" applyFont="1" applyFill="1" applyBorder="1"/>
    <xf numFmtId="180" fontId="26" fillId="0" borderId="0" xfId="0" applyNumberFormat="1" applyFont="1" applyFill="1" applyBorder="1"/>
    <xf numFmtId="172" fontId="22" fillId="0" borderId="0" xfId="436" applyNumberFormat="1" applyFont="1" applyFill="1" applyBorder="1"/>
    <xf numFmtId="43" fontId="22" fillId="0" borderId="0" xfId="436" applyFont="1" applyFill="1" applyBorder="1"/>
    <xf numFmtId="43" fontId="22" fillId="0" borderId="26" xfId="436" applyFont="1" applyFill="1" applyBorder="1"/>
    <xf numFmtId="37" fontId="14" fillId="0" borderId="22" xfId="1557" applyNumberFormat="1" applyFont="1" applyFill="1" applyBorder="1"/>
    <xf numFmtId="0" fontId="15" fillId="0" borderId="23" xfId="0" applyFont="1" applyFill="1" applyBorder="1" applyAlignment="1">
      <alignment horizontal="left" indent="1"/>
    </xf>
    <xf numFmtId="0" fontId="15" fillId="0" borderId="24" xfId="0" applyFont="1" applyFill="1" applyBorder="1" applyAlignment="1">
      <alignment horizontal="left" indent="1"/>
    </xf>
    <xf numFmtId="164" fontId="14" fillId="0" borderId="25" xfId="1557" applyFont="1" applyFill="1" applyBorder="1"/>
    <xf numFmtId="164" fontId="14" fillId="0" borderId="22" xfId="1557" applyFont="1" applyFill="1" applyBorder="1"/>
    <xf numFmtId="0" fontId="0" fillId="0" borderId="27" xfId="0" applyFill="1" applyBorder="1"/>
    <xf numFmtId="0" fontId="27" fillId="0" borderId="1" xfId="0" applyFont="1" applyBorder="1" applyAlignment="1">
      <alignment horizontal="left" indent="1"/>
    </xf>
    <xf numFmtId="167" fontId="24" fillId="0" borderId="0" xfId="1609" applyNumberFormat="1" applyFont="1"/>
    <xf numFmtId="167" fontId="16" fillId="0" borderId="0" xfId="1609" applyNumberFormat="1" applyFont="1"/>
    <xf numFmtId="167" fontId="24" fillId="0" borderId="26" xfId="1609" applyNumberFormat="1" applyFont="1" applyBorder="1"/>
    <xf numFmtId="167" fontId="24" fillId="0" borderId="0" xfId="1609" applyNumberFormat="1" applyFont="1" applyBorder="1"/>
    <xf numFmtId="0" fontId="34" fillId="0" borderId="1" xfId="0" applyFont="1" applyBorder="1"/>
    <xf numFmtId="0" fontId="34" fillId="0" borderId="23" xfId="0" applyFont="1" applyBorder="1"/>
    <xf numFmtId="0" fontId="14" fillId="0" borderId="25" xfId="0" applyFont="1" applyBorder="1"/>
    <xf numFmtId="174" fontId="14" fillId="0" borderId="25" xfId="0" applyNumberFormat="1" applyFont="1" applyBorder="1" applyAlignment="1">
      <alignment horizontal="centerContinuous"/>
    </xf>
    <xf numFmtId="0" fontId="0" fillId="0" borderId="22" xfId="0" applyBorder="1"/>
    <xf numFmtId="168" fontId="15" fillId="0" borderId="2" xfId="0" applyNumberFormat="1" applyFont="1" applyFill="1" applyBorder="1" applyAlignment="1"/>
    <xf numFmtId="174" fontId="14" fillId="0" borderId="6" xfId="0" applyNumberFormat="1" applyFont="1" applyBorder="1" applyAlignment="1">
      <alignment horizontal="centerContinuous"/>
    </xf>
    <xf numFmtId="174" fontId="14" fillId="0" borderId="22" xfId="0" applyNumberFormat="1" applyFont="1" applyBorder="1" applyAlignment="1">
      <alignment horizontal="centerContinuous"/>
    </xf>
    <xf numFmtId="197" fontId="26" fillId="0" borderId="7" xfId="0" applyNumberFormat="1" applyFont="1" applyBorder="1"/>
    <xf numFmtId="197" fontId="26" fillId="0" borderId="15" xfId="0" applyNumberFormat="1" applyFont="1" applyBorder="1"/>
    <xf numFmtId="197" fontId="26" fillId="0" borderId="21" xfId="0" applyNumberFormat="1" applyFont="1" applyBorder="1"/>
    <xf numFmtId="197" fontId="26" fillId="0" borderId="1" xfId="0" applyNumberFormat="1" applyFont="1" applyBorder="1"/>
    <xf numFmtId="197" fontId="26" fillId="0" borderId="0" xfId="0" applyNumberFormat="1" applyFont="1" applyBorder="1"/>
    <xf numFmtId="197" fontId="26" fillId="0" borderId="26" xfId="0" applyNumberFormat="1" applyFont="1" applyBorder="1"/>
    <xf numFmtId="197" fontId="26" fillId="0" borderId="23" xfId="0" applyNumberFormat="1" applyFont="1" applyBorder="1"/>
    <xf numFmtId="197" fontId="26" fillId="0" borderId="2" xfId="0" applyNumberFormat="1" applyFont="1" applyBorder="1"/>
    <xf numFmtId="197" fontId="26" fillId="0" borderId="24" xfId="0" applyNumberFormat="1" applyFont="1" applyBorder="1"/>
    <xf numFmtId="174" fontId="22" fillId="0" borderId="21" xfId="0" applyNumberFormat="1" applyFont="1" applyFill="1" applyBorder="1"/>
    <xf numFmtId="168" fontId="15" fillId="18" borderId="1" xfId="0" applyNumberFormat="1" applyFont="1" applyFill="1" applyBorder="1"/>
    <xf numFmtId="168" fontId="15" fillId="18" borderId="0" xfId="0" applyNumberFormat="1" applyFont="1" applyFill="1" applyBorder="1"/>
    <xf numFmtId="168" fontId="15" fillId="18" borderId="26" xfId="0" applyNumberFormat="1" applyFont="1" applyFill="1" applyBorder="1"/>
    <xf numFmtId="171" fontId="23" fillId="0" borderId="0" xfId="0" applyNumberFormat="1" applyFont="1" applyFill="1" applyBorder="1" applyAlignment="1"/>
    <xf numFmtId="168" fontId="23" fillId="18" borderId="0" xfId="0" applyNumberFormat="1" applyFont="1" applyFill="1" applyBorder="1" applyAlignment="1"/>
    <xf numFmtId="173" fontId="14" fillId="0" borderId="1" xfId="0" applyNumberFormat="1" applyFont="1" applyFill="1" applyBorder="1"/>
    <xf numFmtId="173" fontId="14" fillId="0" borderId="0" xfId="0" applyNumberFormat="1" applyFont="1" applyFill="1" applyBorder="1"/>
    <xf numFmtId="198" fontId="30" fillId="29" borderId="0" xfId="1556" applyNumberFormat="1" applyFont="1" applyFill="1"/>
    <xf numFmtId="198" fontId="30" fillId="29" borderId="1" xfId="1556" applyNumberFormat="1" applyFont="1" applyFill="1" applyBorder="1"/>
    <xf numFmtId="198" fontId="30" fillId="29" borderId="26" xfId="1556" applyNumberFormat="1" applyFont="1" applyFill="1" applyBorder="1"/>
    <xf numFmtId="198" fontId="30" fillId="29" borderId="0" xfId="1556" applyNumberFormat="1" applyFont="1" applyFill="1" applyBorder="1"/>
    <xf numFmtId="174" fontId="14" fillId="0" borderId="6" xfId="0" applyNumberFormat="1" applyFont="1" applyBorder="1" applyAlignment="1">
      <alignment horizontal="center"/>
    </xf>
    <xf numFmtId="174" fontId="14" fillId="0" borderId="25" xfId="0" applyNumberFormat="1" applyFont="1" applyBorder="1" applyAlignment="1">
      <alignment horizontal="right"/>
    </xf>
    <xf numFmtId="174" fontId="14" fillId="0" borderId="6" xfId="0" applyNumberFormat="1" applyFont="1" applyBorder="1" applyAlignment="1">
      <alignment horizontal="right"/>
    </xf>
    <xf numFmtId="174" fontId="14" fillId="0" borderId="22" xfId="0" applyNumberFormat="1" applyFont="1" applyBorder="1" applyAlignment="1">
      <alignment horizontal="right"/>
    </xf>
    <xf numFmtId="0" fontId="8" fillId="0" borderId="21" xfId="0" applyFont="1" applyBorder="1"/>
    <xf numFmtId="0" fontId="8" fillId="0" borderId="0" xfId="0" applyFont="1"/>
    <xf numFmtId="0" fontId="8" fillId="0" borderId="24" xfId="0" applyFont="1" applyBorder="1"/>
    <xf numFmtId="0" fontId="8" fillId="0" borderId="15" xfId="0" applyFont="1" applyBorder="1"/>
    <xf numFmtId="0" fontId="8" fillId="0" borderId="2" xfId="0" applyFont="1" applyBorder="1"/>
    <xf numFmtId="179" fontId="34" fillId="0" borderId="33" xfId="0" applyNumberFormat="1" applyFont="1" applyFill="1" applyBorder="1"/>
    <xf numFmtId="179" fontId="35" fillId="0" borderId="23" xfId="0" applyNumberFormat="1" applyFont="1" applyFill="1" applyBorder="1"/>
    <xf numFmtId="0" fontId="26" fillId="0" borderId="7" xfId="0" applyFont="1" applyBorder="1"/>
    <xf numFmtId="0" fontId="26" fillId="0" borderId="27" xfId="0" applyFont="1" applyBorder="1"/>
    <xf numFmtId="173" fontId="22" fillId="0" borderId="0" xfId="0" applyNumberFormat="1" applyFont="1" applyFill="1" applyBorder="1"/>
    <xf numFmtId="170" fontId="48" fillId="0" borderId="1" xfId="0" applyNumberFormat="1" applyFont="1" applyFill="1" applyBorder="1" applyAlignment="1"/>
    <xf numFmtId="43" fontId="33" fillId="0" borderId="25" xfId="436" applyNumberFormat="1" applyFont="1" applyFill="1" applyBorder="1"/>
    <xf numFmtId="172" fontId="48" fillId="0" borderId="1" xfId="436" applyNumberFormat="1" applyFont="1" applyFill="1" applyBorder="1"/>
    <xf numFmtId="179" fontId="26" fillId="0" borderId="21" xfId="436" applyNumberFormat="1" applyFont="1" applyBorder="1"/>
    <xf numFmtId="0" fontId="60" fillId="0" borderId="0" xfId="0" applyFont="1" applyFill="1" applyBorder="1"/>
    <xf numFmtId="37" fontId="60" fillId="0" borderId="0" xfId="0" applyNumberFormat="1" applyFont="1" applyFill="1" applyAlignment="1">
      <alignment horizontal="center"/>
    </xf>
    <xf numFmtId="0" fontId="14" fillId="0" borderId="7" xfId="0" applyFont="1" applyBorder="1"/>
    <xf numFmtId="0" fontId="16" fillId="0" borderId="1" xfId="0" applyFont="1" applyBorder="1"/>
    <xf numFmtId="0" fontId="15" fillId="0" borderId="23" xfId="0" applyFont="1" applyBorder="1"/>
    <xf numFmtId="0" fontId="16" fillId="0" borderId="1" xfId="0" applyNumberFormat="1" applyFont="1" applyFill="1" applyBorder="1" applyAlignment="1"/>
    <xf numFmtId="180" fontId="41" fillId="0" borderId="1" xfId="0" applyNumberFormat="1" applyFont="1" applyFill="1" applyBorder="1"/>
    <xf numFmtId="180" fontId="34" fillId="0" borderId="0" xfId="0" applyNumberFormat="1" applyFont="1" applyFill="1" applyBorder="1"/>
    <xf numFmtId="0" fontId="27" fillId="0" borderId="1" xfId="2" applyFont="1" applyBorder="1" applyAlignment="1">
      <alignment horizontal="left" indent="1"/>
    </xf>
    <xf numFmtId="0" fontId="27" fillId="0" borderId="1" xfId="2" applyFont="1" applyFill="1" applyBorder="1" applyAlignment="1">
      <alignment horizontal="left" indent="1"/>
    </xf>
    <xf numFmtId="179" fontId="26" fillId="0" borderId="15" xfId="436" applyNumberFormat="1" applyFont="1" applyFill="1" applyBorder="1"/>
    <xf numFmtId="181" fontId="22" fillId="0" borderId="27" xfId="0" applyNumberFormat="1" applyFont="1" applyFill="1" applyBorder="1"/>
    <xf numFmtId="181" fontId="15" fillId="0" borderId="27" xfId="0" applyNumberFormat="1" applyFont="1" applyFill="1" applyBorder="1"/>
    <xf numFmtId="167" fontId="22" fillId="0" borderId="27" xfId="0" applyNumberFormat="1" applyFont="1" applyFill="1" applyBorder="1"/>
    <xf numFmtId="182" fontId="22" fillId="0" borderId="27" xfId="0" applyNumberFormat="1" applyFont="1" applyFill="1" applyBorder="1"/>
    <xf numFmtId="171" fontId="22" fillId="0" borderId="27" xfId="0" applyNumberFormat="1" applyFont="1" applyFill="1" applyBorder="1"/>
    <xf numFmtId="171" fontId="21" fillId="0" borderId="27" xfId="0" applyNumberFormat="1" applyFont="1" applyFill="1" applyBorder="1"/>
    <xf numFmtId="172" fontId="35" fillId="0" borderId="27" xfId="436" applyNumberFormat="1" applyFont="1" applyBorder="1"/>
    <xf numFmtId="172" fontId="36" fillId="0" borderId="27" xfId="0" applyNumberFormat="1" applyFont="1" applyFill="1" applyBorder="1"/>
    <xf numFmtId="179" fontId="35" fillId="0" borderId="27" xfId="436" applyNumberFormat="1" applyFont="1" applyBorder="1"/>
    <xf numFmtId="179" fontId="26" fillId="0" borderId="27" xfId="0" applyNumberFormat="1" applyFont="1" applyBorder="1"/>
    <xf numFmtId="184" fontId="26" fillId="0" borderId="0" xfId="436" applyNumberFormat="1" applyFont="1" applyBorder="1"/>
    <xf numFmtId="167" fontId="57" fillId="0" borderId="0" xfId="1609" applyNumberFormat="1" applyFont="1" applyFill="1"/>
    <xf numFmtId="167" fontId="57" fillId="0" borderId="26" xfId="1609" applyNumberFormat="1" applyFont="1" applyFill="1" applyBorder="1"/>
    <xf numFmtId="0" fontId="26" fillId="0" borderId="1" xfId="0" applyNumberFormat="1" applyFont="1" applyFill="1" applyBorder="1" applyAlignment="1">
      <alignment horizontal="left" indent="1"/>
    </xf>
    <xf numFmtId="0" fontId="27" fillId="0" borderId="1" xfId="2" applyNumberFormat="1" applyFont="1" applyFill="1" applyBorder="1" applyAlignment="1">
      <alignment horizontal="left" indent="2"/>
    </xf>
    <xf numFmtId="0" fontId="26" fillId="0" borderId="1" xfId="0" applyFont="1" applyBorder="1" applyAlignment="1">
      <alignment horizontal="left" indent="1"/>
    </xf>
    <xf numFmtId="0" fontId="27" fillId="0" borderId="1" xfId="2" applyFont="1" applyBorder="1" applyAlignment="1">
      <alignment horizontal="left" indent="2"/>
    </xf>
    <xf numFmtId="0" fontId="0" fillId="0" borderId="0" xfId="2" applyFont="1"/>
    <xf numFmtId="0" fontId="26" fillId="0" borderId="1" xfId="2" applyFont="1" applyBorder="1"/>
    <xf numFmtId="0" fontId="26" fillId="0" borderId="26" xfId="2" applyFont="1" applyBorder="1"/>
    <xf numFmtId="201" fontId="26" fillId="0" borderId="0" xfId="2" applyNumberFormat="1" applyFont="1"/>
    <xf numFmtId="201" fontId="26" fillId="0" borderId="26" xfId="2" applyNumberFormat="1" applyFont="1" applyBorder="1"/>
    <xf numFmtId="201" fontId="26" fillId="0" borderId="1" xfId="0" applyNumberFormat="1" applyFont="1" applyBorder="1"/>
    <xf numFmtId="201" fontId="26" fillId="0" borderId="0" xfId="0" applyNumberFormat="1" applyFont="1" applyBorder="1"/>
    <xf numFmtId="201" fontId="26" fillId="0" borderId="26" xfId="0" applyNumberFormat="1" applyFont="1" applyBorder="1"/>
    <xf numFmtId="172" fontId="35" fillId="0" borderId="27" xfId="436" applyNumberFormat="1" applyFont="1" applyFill="1" applyBorder="1"/>
    <xf numFmtId="201" fontId="26" fillId="0" borderId="27" xfId="2" applyNumberFormat="1" applyFont="1" applyBorder="1"/>
    <xf numFmtId="168" fontId="59" fillId="0" borderId="1" xfId="0" applyNumberFormat="1" applyFont="1" applyFill="1" applyBorder="1"/>
    <xf numFmtId="174" fontId="22" fillId="0" borderId="15" xfId="0" applyNumberFormat="1" applyFont="1" applyFill="1" applyBorder="1"/>
    <xf numFmtId="179" fontId="21" fillId="0" borderId="0" xfId="0" applyNumberFormat="1" applyFont="1" applyFill="1" applyBorder="1"/>
    <xf numFmtId="0" fontId="8" fillId="0" borderId="0" xfId="0" applyFont="1" applyFill="1"/>
    <xf numFmtId="0" fontId="8" fillId="0" borderId="0" xfId="0" applyFont="1" applyFill="1" applyBorder="1"/>
    <xf numFmtId="167" fontId="16" fillId="0" borderId="0" xfId="1609" applyNumberFormat="1" applyFont="1" applyFill="1"/>
    <xf numFmtId="0" fontId="26" fillId="0" borderId="21" xfId="0" applyFont="1" applyBorder="1"/>
    <xf numFmtId="0" fontId="0" fillId="0" borderId="1" xfId="0" applyBorder="1"/>
    <xf numFmtId="37" fontId="61" fillId="0" borderId="0" xfId="0" applyNumberFormat="1" applyFont="1"/>
    <xf numFmtId="37" fontId="60" fillId="0" borderId="0" xfId="0" applyNumberFormat="1" applyFont="1" applyFill="1" applyBorder="1"/>
    <xf numFmtId="170" fontId="22" fillId="0" borderId="26" xfId="0" applyNumberFormat="1" applyFont="1" applyFill="1" applyBorder="1" applyAlignment="1"/>
    <xf numFmtId="170" fontId="22" fillId="0" borderId="26" xfId="1609" applyNumberFormat="1" applyFont="1" applyFill="1" applyBorder="1" applyAlignment="1"/>
    <xf numFmtId="167" fontId="24" fillId="0" borderId="26" xfId="1609" applyNumberFormat="1" applyFont="1" applyFill="1" applyBorder="1" applyAlignment="1"/>
    <xf numFmtId="173" fontId="15" fillId="0" borderId="26" xfId="0" applyNumberFormat="1" applyFont="1" applyFill="1" applyBorder="1"/>
    <xf numFmtId="173" fontId="14" fillId="0" borderId="26" xfId="0" applyNumberFormat="1" applyFont="1" applyFill="1" applyBorder="1"/>
    <xf numFmtId="173" fontId="15" fillId="0" borderId="24" xfId="0" applyNumberFormat="1" applyFont="1" applyFill="1" applyBorder="1"/>
    <xf numFmtId="174" fontId="22" fillId="0" borderId="26" xfId="0" applyNumberFormat="1" applyFont="1" applyFill="1" applyBorder="1"/>
    <xf numFmtId="167" fontId="16" fillId="0" borderId="1" xfId="1609" applyNumberFormat="1" applyFont="1" applyFill="1" applyBorder="1"/>
    <xf numFmtId="171" fontId="0" fillId="0" borderId="0" xfId="0" applyNumberFormat="1" applyFill="1" applyBorder="1"/>
    <xf numFmtId="172" fontId="22" fillId="0" borderId="0" xfId="436" applyNumberFormat="1" applyFont="1" applyFill="1" applyBorder="1" applyAlignment="1"/>
    <xf numFmtId="172" fontId="23" fillId="0" borderId="0" xfId="436" applyNumberFormat="1" applyFont="1" applyFill="1" applyBorder="1" applyAlignment="1"/>
    <xf numFmtId="166" fontId="15" fillId="0" borderId="0" xfId="0" applyNumberFormat="1" applyFont="1" applyFill="1" applyBorder="1" applyAlignment="1"/>
    <xf numFmtId="166" fontId="15" fillId="0" borderId="1" xfId="0" applyNumberFormat="1" applyFont="1" applyFill="1" applyBorder="1" applyAlignment="1"/>
    <xf numFmtId="166" fontId="15" fillId="0" borderId="0" xfId="0" applyNumberFormat="1" applyFont="1" applyFill="1" applyBorder="1"/>
    <xf numFmtId="165" fontId="19" fillId="0" borderId="7" xfId="1558" applyNumberFormat="1" applyFont="1" applyFill="1" applyBorder="1" applyAlignment="1">
      <alignment horizontal="right"/>
    </xf>
    <xf numFmtId="165" fontId="19" fillId="0" borderId="15" xfId="1558" applyNumberFormat="1" applyFont="1" applyFill="1" applyBorder="1" applyAlignment="1">
      <alignment horizontal="right"/>
    </xf>
    <xf numFmtId="166" fontId="15" fillId="0" borderId="1" xfId="0" applyNumberFormat="1" applyFont="1" applyFill="1" applyBorder="1"/>
    <xf numFmtId="0" fontId="19" fillId="18" borderId="25" xfId="1558" applyFont="1" applyFill="1" applyBorder="1" applyAlignment="1">
      <alignment horizontal="right"/>
    </xf>
    <xf numFmtId="0" fontId="19" fillId="18" borderId="6" xfId="1558" applyFont="1" applyFill="1" applyBorder="1" applyAlignment="1">
      <alignment horizontal="right"/>
    </xf>
    <xf numFmtId="0" fontId="19" fillId="18" borderId="22" xfId="1558" applyFont="1" applyFill="1" applyBorder="1" applyAlignment="1">
      <alignment horizontal="right"/>
    </xf>
    <xf numFmtId="165" fontId="19" fillId="18" borderId="6" xfId="1558" applyNumberFormat="1" applyFont="1" applyFill="1" applyBorder="1" applyAlignment="1">
      <alignment horizontal="right"/>
    </xf>
    <xf numFmtId="165" fontId="19" fillId="18" borderId="22" xfId="1558" applyNumberFormat="1" applyFont="1" applyFill="1" applyBorder="1" applyAlignment="1">
      <alignment horizontal="right"/>
    </xf>
    <xf numFmtId="165" fontId="19" fillId="18" borderId="25" xfId="1558" applyNumberFormat="1" applyFont="1" applyFill="1" applyBorder="1" applyAlignment="1">
      <alignment horizontal="right"/>
    </xf>
    <xf numFmtId="0" fontId="34" fillId="18" borderId="6" xfId="0" applyFont="1" applyFill="1" applyBorder="1" applyAlignment="1">
      <alignment horizontal="right"/>
    </xf>
    <xf numFmtId="0" fontId="34" fillId="18" borderId="22" xfId="0" applyFont="1" applyFill="1" applyBorder="1" applyAlignment="1">
      <alignment horizontal="right"/>
    </xf>
    <xf numFmtId="0" fontId="26" fillId="0" borderId="0" xfId="0" applyFont="1" applyFill="1" applyBorder="1" applyAlignment="1">
      <alignment horizontal="right"/>
    </xf>
    <xf numFmtId="0" fontId="34" fillId="0" borderId="0" xfId="0" applyFont="1" applyBorder="1"/>
    <xf numFmtId="9" fontId="26" fillId="0" borderId="0" xfId="1609" applyFont="1"/>
    <xf numFmtId="0" fontId="65" fillId="0" borderId="0" xfId="0" applyFont="1"/>
    <xf numFmtId="0" fontId="34" fillId="0" borderId="0" xfId="0" applyFont="1"/>
    <xf numFmtId="0" fontId="27" fillId="0" borderId="0" xfId="0" applyFont="1"/>
    <xf numFmtId="184" fontId="15" fillId="0" borderId="0" xfId="436" applyNumberFormat="1" applyFont="1" applyFill="1" applyBorder="1"/>
    <xf numFmtId="184" fontId="15" fillId="0" borderId="0" xfId="436" applyNumberFormat="1" applyFont="1" applyFill="1" applyBorder="1" applyAlignment="1">
      <alignment horizontal="right"/>
    </xf>
    <xf numFmtId="184" fontId="15" fillId="0" borderId="0" xfId="436" applyNumberFormat="1" applyFont="1" applyFill="1"/>
    <xf numFmtId="0" fontId="34" fillId="18" borderId="25" xfId="0" applyFont="1" applyFill="1" applyBorder="1"/>
    <xf numFmtId="0" fontId="26" fillId="18" borderId="6" xfId="0" applyFont="1" applyFill="1" applyBorder="1"/>
    <xf numFmtId="184" fontId="15" fillId="0" borderId="7" xfId="436" applyNumberFormat="1" applyFont="1" applyFill="1" applyBorder="1" applyAlignment="1">
      <alignment horizontal="right"/>
    </xf>
    <xf numFmtId="184" fontId="15" fillId="0" borderId="15" xfId="436" applyNumberFormat="1" applyFont="1" applyFill="1" applyBorder="1" applyAlignment="1">
      <alignment horizontal="right"/>
    </xf>
    <xf numFmtId="184" fontId="15" fillId="0" borderId="21" xfId="436" applyNumberFormat="1" applyFont="1" applyFill="1" applyBorder="1" applyAlignment="1">
      <alignment horizontal="right"/>
    </xf>
    <xf numFmtId="0" fontId="34" fillId="0" borderId="26" xfId="0" applyFont="1" applyFill="1" applyBorder="1" applyAlignment="1">
      <alignment horizontal="right"/>
    </xf>
    <xf numFmtId="9" fontId="35" fillId="0" borderId="1" xfId="1609" applyFont="1" applyBorder="1"/>
    <xf numFmtId="9" fontId="35" fillId="0" borderId="0" xfId="1609" applyFont="1" applyBorder="1"/>
    <xf numFmtId="9" fontId="35" fillId="0" borderId="26" xfId="1609" applyFont="1" applyBorder="1"/>
    <xf numFmtId="0" fontId="65" fillId="0" borderId="0" xfId="0" applyFont="1" applyBorder="1"/>
    <xf numFmtId="0" fontId="65" fillId="0" borderId="26" xfId="0" applyFont="1" applyBorder="1"/>
    <xf numFmtId="0" fontId="34" fillId="0" borderId="26" xfId="0" applyFont="1" applyBorder="1"/>
    <xf numFmtId="0" fontId="27" fillId="0" borderId="23" xfId="0" applyFont="1" applyBorder="1"/>
    <xf numFmtId="0" fontId="27" fillId="0" borderId="2" xfId="0" applyFont="1" applyBorder="1"/>
    <xf numFmtId="0" fontId="27" fillId="0" borderId="24" xfId="0" applyFont="1" applyBorder="1"/>
    <xf numFmtId="0" fontId="15" fillId="0" borderId="1" xfId="436" applyNumberFormat="1" applyFont="1" applyFill="1" applyBorder="1"/>
    <xf numFmtId="184" fontId="15" fillId="0" borderId="26" xfId="436" applyNumberFormat="1" applyFont="1" applyFill="1" applyBorder="1"/>
    <xf numFmtId="0" fontId="26" fillId="0" borderId="26" xfId="0" applyFont="1" applyFill="1" applyBorder="1"/>
    <xf numFmtId="9" fontId="26" fillId="0" borderId="1" xfId="1609" applyFont="1" applyBorder="1"/>
    <xf numFmtId="9" fontId="26" fillId="0" borderId="0" xfId="1609" applyFont="1" applyBorder="1"/>
    <xf numFmtId="9" fontId="26" fillId="0" borderId="26" xfId="1609" applyFont="1" applyBorder="1"/>
    <xf numFmtId="9" fontId="34" fillId="0" borderId="1" xfId="1609" applyFont="1" applyBorder="1"/>
    <xf numFmtId="9" fontId="65" fillId="0" borderId="1" xfId="1609" applyFont="1" applyBorder="1"/>
    <xf numFmtId="9" fontId="27" fillId="0" borderId="23" xfId="1609" applyFont="1" applyBorder="1" applyAlignment="1">
      <alignment horizontal="left" indent="1"/>
    </xf>
    <xf numFmtId="0" fontId="14" fillId="18" borderId="6" xfId="0" applyFont="1" applyFill="1" applyBorder="1" applyAlignment="1">
      <alignment horizontal="right"/>
    </xf>
    <xf numFmtId="0" fontId="14" fillId="18" borderId="22" xfId="0" applyFont="1" applyFill="1" applyBorder="1" applyAlignment="1">
      <alignment horizontal="right"/>
    </xf>
    <xf numFmtId="0" fontId="34" fillId="18" borderId="25" xfId="0" applyFont="1" applyFill="1" applyBorder="1" applyAlignment="1">
      <alignment horizontal="right"/>
    </xf>
    <xf numFmtId="0" fontId="14" fillId="18" borderId="25" xfId="0" applyFont="1" applyFill="1" applyBorder="1" applyAlignment="1">
      <alignment horizontal="right"/>
    </xf>
    <xf numFmtId="184" fontId="15" fillId="0" borderId="1" xfId="436" applyNumberFormat="1" applyFont="1" applyFill="1" applyBorder="1"/>
    <xf numFmtId="0" fontId="65" fillId="0" borderId="1" xfId="0" applyFont="1" applyBorder="1"/>
    <xf numFmtId="0" fontId="83" fillId="0" borderId="26" xfId="0" applyFont="1" applyBorder="1"/>
    <xf numFmtId="197" fontId="26" fillId="0" borderId="26" xfId="0" applyNumberFormat="1" applyFont="1" applyFill="1" applyBorder="1"/>
    <xf numFmtId="170" fontId="22" fillId="0" borderId="1" xfId="0" applyNumberFormat="1" applyFont="1" applyFill="1" applyBorder="1"/>
    <xf numFmtId="180" fontId="22" fillId="0" borderId="1" xfId="0" applyNumberFormat="1" applyFont="1" applyFill="1" applyBorder="1"/>
    <xf numFmtId="180" fontId="22" fillId="0" borderId="0" xfId="0" applyNumberFormat="1" applyFont="1" applyFill="1" applyBorder="1"/>
    <xf numFmtId="0" fontId="22" fillId="0" borderId="2" xfId="0" applyFont="1" applyFill="1" applyBorder="1"/>
    <xf numFmtId="180" fontId="26" fillId="0" borderId="26" xfId="0" applyNumberFormat="1" applyFont="1" applyFill="1" applyBorder="1"/>
    <xf numFmtId="0" fontId="14" fillId="0" borderId="0" xfId="0" applyFont="1" applyBorder="1"/>
    <xf numFmtId="172" fontId="26" fillId="0" borderId="0" xfId="436" applyNumberFormat="1" applyFont="1"/>
    <xf numFmtId="172" fontId="14" fillId="0" borderId="1" xfId="436" applyNumberFormat="1" applyFont="1" applyBorder="1"/>
    <xf numFmtId="172" fontId="14" fillId="0" borderId="0" xfId="436" applyNumberFormat="1" applyFont="1" applyBorder="1"/>
    <xf numFmtId="172" fontId="14" fillId="0" borderId="26" xfId="436" applyNumberFormat="1" applyFont="1" applyBorder="1"/>
    <xf numFmtId="172" fontId="14" fillId="0" borderId="0" xfId="436" applyNumberFormat="1" applyFont="1"/>
    <xf numFmtId="172" fontId="65" fillId="0" borderId="1" xfId="436" applyNumberFormat="1" applyFont="1" applyBorder="1"/>
    <xf numFmtId="172" fontId="65" fillId="0" borderId="0" xfId="436" applyNumberFormat="1" applyFont="1" applyBorder="1"/>
    <xf numFmtId="172" fontId="65" fillId="0" borderId="26" xfId="436" applyNumberFormat="1" applyFont="1" applyBorder="1"/>
    <xf numFmtId="172" fontId="65" fillId="0" borderId="0" xfId="436" applyNumberFormat="1" applyFont="1"/>
    <xf numFmtId="0" fontId="26" fillId="0" borderId="1" xfId="436" applyNumberFormat="1" applyFont="1" applyBorder="1"/>
    <xf numFmtId="0" fontId="65" fillId="0" borderId="1" xfId="436" applyNumberFormat="1" applyFont="1" applyBorder="1"/>
    <xf numFmtId="0" fontId="14" fillId="0" borderId="1" xfId="436" applyNumberFormat="1" applyFont="1" applyBorder="1"/>
    <xf numFmtId="179" fontId="40" fillId="0" borderId="2" xfId="0" applyNumberFormat="1" applyFont="1" applyFill="1" applyBorder="1"/>
    <xf numFmtId="179" fontId="40" fillId="0" borderId="24" xfId="0" applyNumberFormat="1" applyFont="1" applyFill="1" applyBorder="1"/>
    <xf numFmtId="174" fontId="22" fillId="0" borderId="7" xfId="0" applyNumberFormat="1" applyFont="1" applyFill="1" applyBorder="1"/>
    <xf numFmtId="179" fontId="41" fillId="28" borderId="0" xfId="0" applyNumberFormat="1" applyFont="1" applyFill="1" applyBorder="1"/>
    <xf numFmtId="172" fontId="35" fillId="28" borderId="1" xfId="436" applyNumberFormat="1" applyFont="1" applyFill="1" applyBorder="1"/>
    <xf numFmtId="172" fontId="35" fillId="28" borderId="23" xfId="436" applyNumberFormat="1" applyFont="1" applyFill="1" applyBorder="1"/>
    <xf numFmtId="172" fontId="35" fillId="28" borderId="26" xfId="436" applyNumberFormat="1" applyFont="1" applyFill="1" applyBorder="1"/>
    <xf numFmtId="172" fontId="35" fillId="28" borderId="0" xfId="436" applyNumberFormat="1" applyFont="1" applyFill="1" applyBorder="1"/>
    <xf numFmtId="172" fontId="35" fillId="28" borderId="0" xfId="436" applyNumberFormat="1" applyFont="1" applyFill="1"/>
    <xf numFmtId="166" fontId="23" fillId="0" borderId="21" xfId="0" applyNumberFormat="1" applyFont="1" applyFill="1" applyBorder="1" applyAlignment="1"/>
    <xf numFmtId="185" fontId="34" fillId="0" borderId="0" xfId="0" applyNumberFormat="1" applyFont="1" applyFill="1" applyBorder="1"/>
    <xf numFmtId="179" fontId="26" fillId="0" borderId="22" xfId="436" applyNumberFormat="1" applyFont="1" applyFill="1" applyBorder="1"/>
    <xf numFmtId="167" fontId="24" fillId="18" borderId="1" xfId="1609" applyNumberFormat="1" applyFont="1" applyFill="1" applyBorder="1"/>
    <xf numFmtId="172" fontId="26" fillId="0" borderId="15" xfId="436" applyNumberFormat="1" applyFont="1" applyBorder="1"/>
    <xf numFmtId="174" fontId="22" fillId="0" borderId="7" xfId="0" applyNumberFormat="1" applyFont="1" applyFill="1" applyBorder="1" applyAlignment="1"/>
    <xf numFmtId="174" fontId="22" fillId="0" borderId="1" xfId="0" applyNumberFormat="1" applyFont="1" applyFill="1" applyBorder="1" applyAlignment="1"/>
    <xf numFmtId="174" fontId="15" fillId="0" borderId="1" xfId="0" applyNumberFormat="1" applyFont="1" applyFill="1" applyBorder="1"/>
    <xf numFmtId="174" fontId="15" fillId="0" borderId="0" xfId="0" applyNumberFormat="1" applyFont="1" applyFill="1" applyBorder="1"/>
    <xf numFmtId="174" fontId="30" fillId="0" borderId="0" xfId="0" applyNumberFormat="1" applyFont="1" applyFill="1" applyBorder="1"/>
    <xf numFmtId="168" fontId="15" fillId="0" borderId="26" xfId="2" applyNumberFormat="1" applyFont="1" applyFill="1" applyBorder="1" applyAlignment="1"/>
    <xf numFmtId="172" fontId="15" fillId="0" borderId="0" xfId="0" applyNumberFormat="1" applyFont="1" applyFill="1" applyBorder="1" applyAlignment="1"/>
    <xf numFmtId="166" fontId="15" fillId="0" borderId="21" xfId="0" applyNumberFormat="1" applyFont="1" applyFill="1" applyBorder="1" applyAlignment="1"/>
    <xf numFmtId="172" fontId="15" fillId="0" borderId="26" xfId="0" applyNumberFormat="1" applyFont="1" applyFill="1" applyBorder="1" applyAlignment="1"/>
    <xf numFmtId="168" fontId="23" fillId="18" borderId="26" xfId="0" applyNumberFormat="1" applyFont="1" applyFill="1" applyBorder="1" applyAlignment="1"/>
    <xf numFmtId="168" fontId="15" fillId="0" borderId="0" xfId="2" applyNumberFormat="1" applyFont="1" applyFill="1" applyBorder="1" applyAlignment="1"/>
    <xf numFmtId="181" fontId="22" fillId="18" borderId="7" xfId="1609" applyNumberFormat="1" applyFont="1" applyFill="1" applyBorder="1"/>
    <xf numFmtId="181" fontId="22" fillId="18" borderId="1" xfId="1609" applyNumberFormat="1" applyFont="1" applyFill="1" applyBorder="1"/>
    <xf numFmtId="167" fontId="22" fillId="18" borderId="1" xfId="1609" applyNumberFormat="1" applyFont="1" applyFill="1" applyBorder="1"/>
    <xf numFmtId="181" fontId="22" fillId="18" borderId="15" xfId="1609" applyNumberFormat="1" applyFont="1" applyFill="1" applyBorder="1"/>
    <xf numFmtId="168" fontId="15" fillId="0" borderId="23" xfId="0" applyNumberFormat="1" applyFont="1" applyFill="1" applyBorder="1"/>
    <xf numFmtId="172" fontId="26" fillId="0" borderId="7" xfId="436" applyNumberFormat="1" applyFont="1" applyBorder="1"/>
    <xf numFmtId="167" fontId="24" fillId="18" borderId="23" xfId="1609" applyNumberFormat="1" applyFont="1" applyFill="1" applyBorder="1"/>
    <xf numFmtId="179" fontId="0" fillId="0" borderId="0" xfId="0" applyNumberFormat="1" applyFill="1"/>
    <xf numFmtId="169" fontId="26" fillId="28" borderId="1" xfId="0" applyNumberFormat="1" applyFont="1" applyFill="1" applyBorder="1"/>
    <xf numFmtId="179" fontId="35" fillId="28" borderId="1" xfId="0" applyNumberFormat="1" applyFont="1" applyFill="1" applyBorder="1"/>
    <xf numFmtId="165" fontId="19" fillId="0" borderId="25" xfId="1558" applyNumberFormat="1" applyFont="1" applyFill="1" applyBorder="1" applyAlignment="1">
      <alignment horizontal="right"/>
    </xf>
    <xf numFmtId="172" fontId="14" fillId="0" borderId="15" xfId="436" applyNumberFormat="1" applyFont="1" applyBorder="1"/>
    <xf numFmtId="165" fontId="19" fillId="0" borderId="6" xfId="1558" applyNumberFormat="1" applyFont="1" applyFill="1" applyBorder="1" applyAlignment="1">
      <alignment horizontal="right"/>
    </xf>
    <xf numFmtId="0" fontId="22" fillId="0" borderId="21" xfId="0" applyFont="1" applyFill="1" applyBorder="1"/>
    <xf numFmtId="0" fontId="22" fillId="0" borderId="7" xfId="0" applyFont="1" applyFill="1" applyBorder="1"/>
    <xf numFmtId="0" fontId="22" fillId="0" borderId="15" xfId="0" applyFont="1" applyFill="1" applyBorder="1"/>
    <xf numFmtId="0" fontId="16" fillId="0" borderId="1" xfId="2" applyFont="1" applyBorder="1" applyAlignment="1">
      <alignment horizontal="left" indent="1"/>
    </xf>
    <xf numFmtId="167" fontId="24" fillId="0" borderId="2" xfId="1609" applyNumberFormat="1" applyFont="1" applyBorder="1"/>
    <xf numFmtId="167" fontId="24" fillId="0" borderId="24" xfId="1609" applyNumberFormat="1" applyFont="1" applyBorder="1"/>
    <xf numFmtId="167" fontId="24" fillId="0" borderId="23" xfId="1609" applyNumberFormat="1" applyFont="1" applyBorder="1"/>
    <xf numFmtId="174" fontId="14" fillId="0" borderId="0" xfId="0" applyNumberFormat="1" applyFont="1" applyBorder="1" applyAlignment="1">
      <alignment horizontal="centerContinuous"/>
    </xf>
    <xf numFmtId="174" fontId="14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center"/>
    </xf>
    <xf numFmtId="0" fontId="15" fillId="0" borderId="26" xfId="2" applyFont="1" applyBorder="1"/>
    <xf numFmtId="0" fontId="14" fillId="0" borderId="1" xfId="2" applyFont="1" applyFill="1" applyBorder="1"/>
    <xf numFmtId="0" fontId="14" fillId="0" borderId="26" xfId="2" applyFont="1" applyBorder="1"/>
    <xf numFmtId="0" fontId="16" fillId="0" borderId="1" xfId="2" applyFont="1" applyFill="1" applyBorder="1" applyAlignment="1">
      <alignment horizontal="left" indent="1"/>
    </xf>
    <xf numFmtId="0" fontId="14" fillId="0" borderId="1" xfId="2" applyFont="1" applyFill="1" applyBorder="1" applyAlignment="1">
      <alignment horizontal="left"/>
    </xf>
    <xf numFmtId="205" fontId="15" fillId="0" borderId="1" xfId="2" applyNumberFormat="1" applyFont="1" applyFill="1" applyBorder="1" applyAlignment="1">
      <alignment horizontal="left"/>
    </xf>
    <xf numFmtId="205" fontId="15" fillId="0" borderId="1" xfId="2" applyNumberFormat="1" applyFont="1" applyFill="1" applyBorder="1" applyAlignment="1">
      <alignment horizontal="left" indent="1"/>
    </xf>
    <xf numFmtId="172" fontId="15" fillId="0" borderId="26" xfId="436" applyNumberFormat="1" applyFont="1" applyBorder="1"/>
    <xf numFmtId="0" fontId="14" fillId="0" borderId="0" xfId="2" applyFont="1" applyBorder="1"/>
    <xf numFmtId="0" fontId="14" fillId="0" borderId="1" xfId="2" applyFont="1" applyBorder="1"/>
    <xf numFmtId="0" fontId="63" fillId="30" borderId="1" xfId="2" applyFont="1" applyFill="1" applyBorder="1"/>
    <xf numFmtId="0" fontId="15" fillId="30" borderId="26" xfId="2" applyFont="1" applyFill="1" applyBorder="1"/>
    <xf numFmtId="172" fontId="64" fillId="0" borderId="0" xfId="436" applyNumberFormat="1" applyFont="1" applyBorder="1"/>
    <xf numFmtId="172" fontId="64" fillId="0" borderId="26" xfId="436" applyNumberFormat="1" applyFont="1" applyBorder="1"/>
    <xf numFmtId="172" fontId="15" fillId="0" borderId="0" xfId="436" applyNumberFormat="1" applyFont="1" applyBorder="1"/>
    <xf numFmtId="9" fontId="15" fillId="0" borderId="0" xfId="1609" applyFont="1" applyFill="1" applyBorder="1"/>
    <xf numFmtId="9" fontId="15" fillId="0" borderId="26" xfId="1609" applyFont="1" applyFill="1" applyBorder="1"/>
    <xf numFmtId="172" fontId="15" fillId="0" borderId="0" xfId="436" applyNumberFormat="1" applyFont="1" applyFill="1" applyBorder="1"/>
    <xf numFmtId="172" fontId="15" fillId="0" borderId="26" xfId="436" applyNumberFormat="1" applyFont="1" applyFill="1" applyBorder="1"/>
    <xf numFmtId="172" fontId="59" fillId="0" borderId="0" xfId="436" applyNumberFormat="1" applyFont="1" applyBorder="1"/>
    <xf numFmtId="172" fontId="59" fillId="0" borderId="26" xfId="436" applyNumberFormat="1" applyFont="1" applyBorder="1"/>
    <xf numFmtId="182" fontId="14" fillId="0" borderId="0" xfId="2" applyNumberFormat="1" applyFont="1" applyBorder="1"/>
    <xf numFmtId="182" fontId="14" fillId="0" borderId="26" xfId="2" applyNumberFormat="1" applyFont="1" applyBorder="1"/>
    <xf numFmtId="182" fontId="14" fillId="0" borderId="0" xfId="2" applyNumberFormat="1" applyFont="1" applyFill="1" applyBorder="1"/>
    <xf numFmtId="182" fontId="14" fillId="0" borderId="26" xfId="2" applyNumberFormat="1" applyFont="1" applyFill="1" applyBorder="1"/>
    <xf numFmtId="182" fontId="14" fillId="0" borderId="1" xfId="2" applyNumberFormat="1" applyFont="1" applyFill="1" applyBorder="1"/>
    <xf numFmtId="168" fontId="14" fillId="0" borderId="0" xfId="2" applyNumberFormat="1" applyFont="1" applyBorder="1"/>
    <xf numFmtId="168" fontId="14" fillId="0" borderId="26" xfId="2" applyNumberFormat="1" applyFont="1" applyBorder="1"/>
    <xf numFmtId="174" fontId="14" fillId="0" borderId="2" xfId="0" applyNumberFormat="1" applyFont="1" applyBorder="1" applyAlignment="1">
      <alignment horizontal="right"/>
    </xf>
    <xf numFmtId="174" fontId="14" fillId="0" borderId="2" xfId="0" applyNumberFormat="1" applyFont="1" applyBorder="1" applyAlignment="1">
      <alignment horizontal="centerContinuous"/>
    </xf>
    <xf numFmtId="0" fontId="14" fillId="0" borderId="23" xfId="2" applyFont="1" applyFill="1" applyBorder="1"/>
    <xf numFmtId="0" fontId="14" fillId="0" borderId="2" xfId="2" applyFont="1" applyBorder="1"/>
    <xf numFmtId="168" fontId="14" fillId="0" borderId="2" xfId="2" applyNumberFormat="1" applyFont="1" applyBorder="1"/>
    <xf numFmtId="168" fontId="14" fillId="0" borderId="24" xfId="2" applyNumberFormat="1" applyFont="1" applyBorder="1"/>
    <xf numFmtId="0" fontId="15" fillId="0" borderId="23" xfId="2" applyFont="1" applyBorder="1"/>
    <xf numFmtId="0" fontId="15" fillId="0" borderId="24" xfId="2" applyFont="1" applyBorder="1"/>
    <xf numFmtId="174" fontId="14" fillId="30" borderId="6" xfId="0" applyNumberFormat="1" applyFont="1" applyFill="1" applyBorder="1" applyAlignment="1">
      <alignment horizontal="right"/>
    </xf>
    <xf numFmtId="174" fontId="14" fillId="30" borderId="2" xfId="0" applyNumberFormat="1" applyFont="1" applyFill="1" applyBorder="1" applyAlignment="1">
      <alignment horizontal="right"/>
    </xf>
    <xf numFmtId="174" fontId="14" fillId="30" borderId="22" xfId="0" applyNumberFormat="1" applyFont="1" applyFill="1" applyBorder="1" applyAlignment="1">
      <alignment horizontal="right"/>
    </xf>
    <xf numFmtId="174" fontId="14" fillId="30" borderId="25" xfId="0" applyNumberFormat="1" applyFont="1" applyFill="1" applyBorder="1" applyAlignment="1">
      <alignment horizontal="centerContinuous"/>
    </xf>
    <xf numFmtId="174" fontId="14" fillId="30" borderId="6" xfId="0" applyNumberFormat="1" applyFont="1" applyFill="1" applyBorder="1" applyAlignment="1">
      <alignment horizontal="centerContinuous"/>
    </xf>
    <xf numFmtId="0" fontId="14" fillId="0" borderId="2" xfId="2" applyFont="1" applyFill="1" applyBorder="1"/>
    <xf numFmtId="167" fontId="149" fillId="0" borderId="26" xfId="1609" applyNumberFormat="1" applyFont="1" applyBorder="1"/>
    <xf numFmtId="167" fontId="149" fillId="0" borderId="0" xfId="1609" applyNumberFormat="1" applyFont="1" applyBorder="1"/>
    <xf numFmtId="0" fontId="0" fillId="0" borderId="15" xfId="0" applyBorder="1"/>
    <xf numFmtId="167" fontId="24" fillId="0" borderId="15" xfId="1609" applyNumberFormat="1" applyFont="1" applyBorder="1"/>
    <xf numFmtId="167" fontId="16" fillId="0" borderId="15" xfId="1609" applyNumberFormat="1" applyFont="1" applyBorder="1"/>
    <xf numFmtId="167" fontId="24" fillId="0" borderId="15" xfId="1609" applyNumberFormat="1" applyFont="1" applyFill="1" applyBorder="1"/>
    <xf numFmtId="167" fontId="16" fillId="0" borderId="21" xfId="1609" applyNumberFormat="1" applyFont="1" applyBorder="1"/>
    <xf numFmtId="167" fontId="24" fillId="0" borderId="2" xfId="1609" applyNumberFormat="1" applyFont="1" applyFill="1" applyBorder="1"/>
    <xf numFmtId="0" fontId="16" fillId="0" borderId="23" xfId="2" applyFont="1" applyBorder="1" applyAlignment="1">
      <alignment horizontal="left" indent="1"/>
    </xf>
    <xf numFmtId="167" fontId="149" fillId="0" borderId="2" xfId="1609" applyNumberFormat="1" applyFont="1" applyBorder="1"/>
    <xf numFmtId="167" fontId="57" fillId="0" borderId="0" xfId="1609" applyNumberFormat="1" applyFont="1" applyFill="1" applyBorder="1"/>
    <xf numFmtId="197" fontId="26" fillId="0" borderId="0" xfId="0" applyNumberFormat="1" applyFont="1" applyFill="1" applyBorder="1"/>
    <xf numFmtId="167" fontId="24" fillId="0" borderId="1" xfId="1609" applyNumberFormat="1" applyFont="1" applyBorder="1"/>
    <xf numFmtId="167" fontId="57" fillId="0" borderId="1" xfId="1609" applyNumberFormat="1" applyFont="1" applyFill="1" applyBorder="1"/>
    <xf numFmtId="167" fontId="24" fillId="0" borderId="7" xfId="1609" applyNumberFormat="1" applyFont="1" applyBorder="1"/>
    <xf numFmtId="167" fontId="24" fillId="0" borderId="21" xfId="1609" applyNumberFormat="1" applyFont="1" applyBorder="1"/>
    <xf numFmtId="167" fontId="24" fillId="0" borderId="1" xfId="1609" applyNumberFormat="1" applyFont="1" applyBorder="1" applyAlignment="1">
      <alignment horizontal="center"/>
    </xf>
    <xf numFmtId="167" fontId="149" fillId="0" borderId="1" xfId="1609" applyNumberFormat="1" applyFont="1" applyBorder="1"/>
    <xf numFmtId="167" fontId="149" fillId="0" borderId="23" xfId="1609" applyNumberFormat="1" applyFont="1" applyBorder="1"/>
    <xf numFmtId="167" fontId="149" fillId="0" borderId="24" xfId="1609" applyNumberFormat="1" applyFont="1" applyBorder="1"/>
    <xf numFmtId="167" fontId="16" fillId="0" borderId="7" xfId="1609" applyNumberFormat="1" applyFont="1" applyBorder="1"/>
    <xf numFmtId="0" fontId="150" fillId="0" borderId="7" xfId="0" applyFont="1" applyBorder="1"/>
    <xf numFmtId="186" fontId="0" fillId="0" borderId="0" xfId="0" applyNumberFormat="1" applyFill="1"/>
    <xf numFmtId="172" fontId="22" fillId="0" borderId="26" xfId="436" applyNumberFormat="1" applyFont="1" applyFill="1" applyBorder="1"/>
    <xf numFmtId="167" fontId="0" fillId="0" borderId="0" xfId="0" applyNumberFormat="1" applyBorder="1"/>
    <xf numFmtId="2" fontId="0" fillId="0" borderId="0" xfId="0" applyNumberFormat="1"/>
    <xf numFmtId="167" fontId="0" fillId="0" borderId="0" xfId="1609" applyNumberFormat="1" applyFont="1"/>
    <xf numFmtId="167" fontId="0" fillId="0" borderId="0" xfId="0" applyNumberFormat="1" applyFill="1" applyBorder="1"/>
    <xf numFmtId="1" fontId="19" fillId="18" borderId="7" xfId="1557" applyNumberFormat="1" applyFont="1" applyFill="1" applyBorder="1" applyAlignment="1">
      <alignment horizontal="right"/>
    </xf>
    <xf numFmtId="179" fontId="35" fillId="0" borderId="34" xfId="0" applyNumberFormat="1" applyFont="1" applyFill="1" applyBorder="1"/>
    <xf numFmtId="42" fontId="35" fillId="0" borderId="27" xfId="0" applyNumberFormat="1" applyFont="1" applyFill="1" applyBorder="1"/>
    <xf numFmtId="41" fontId="35" fillId="0" borderId="27" xfId="0" applyNumberFormat="1" applyFont="1" applyFill="1" applyBorder="1"/>
    <xf numFmtId="179" fontId="35" fillId="0" borderId="27" xfId="0" applyNumberFormat="1" applyFont="1" applyFill="1" applyBorder="1"/>
    <xf numFmtId="179" fontId="41" fillId="0" borderId="27" xfId="0" applyNumberFormat="1" applyFont="1" applyFill="1" applyBorder="1"/>
    <xf numFmtId="174" fontId="22" fillId="0" borderId="15" xfId="0" applyNumberFormat="1" applyFont="1" applyFill="1" applyBorder="1" applyAlignment="1"/>
    <xf numFmtId="174" fontId="22" fillId="0" borderId="0" xfId="0" applyNumberFormat="1" applyFont="1" applyFill="1" applyBorder="1" applyAlignment="1"/>
    <xf numFmtId="166" fontId="15" fillId="0" borderId="15" xfId="0" applyNumberFormat="1" applyFont="1" applyFill="1" applyBorder="1" applyAlignment="1"/>
    <xf numFmtId="168" fontId="15" fillId="0" borderId="21" xfId="0" applyNumberFormat="1" applyFont="1" applyFill="1" applyBorder="1" applyAlignment="1"/>
    <xf numFmtId="168" fontId="15" fillId="0" borderId="7" xfId="0" applyNumberFormat="1" applyFont="1" applyFill="1" applyBorder="1" applyAlignment="1"/>
    <xf numFmtId="168" fontId="15" fillId="0" borderId="15" xfId="0" applyNumberFormat="1" applyFont="1" applyFill="1" applyBorder="1" applyAlignment="1"/>
    <xf numFmtId="167" fontId="149" fillId="0" borderId="1" xfId="1609" applyNumberFormat="1" applyFont="1" applyBorder="1" applyAlignment="1">
      <alignment horizontal="center"/>
    </xf>
    <xf numFmtId="167" fontId="149" fillId="0" borderId="1" xfId="1609" applyNumberFormat="1" applyFont="1" applyBorder="1" applyAlignment="1">
      <alignment horizontal="right"/>
    </xf>
    <xf numFmtId="172" fontId="16" fillId="0" borderId="0" xfId="436" applyNumberFormat="1" applyFont="1"/>
    <xf numFmtId="197" fontId="151" fillId="0" borderId="26" xfId="0" applyNumberFormat="1" applyFont="1" applyBorder="1"/>
    <xf numFmtId="0" fontId="148" fillId="0" borderId="26" xfId="0" applyFont="1" applyBorder="1"/>
    <xf numFmtId="197" fontId="151" fillId="0" borderId="0" xfId="0" applyNumberFormat="1" applyFont="1" applyBorder="1"/>
    <xf numFmtId="0" fontId="148" fillId="0" borderId="0" xfId="0" applyFont="1" applyBorder="1"/>
    <xf numFmtId="197" fontId="151" fillId="0" borderId="2" xfId="0" applyNumberFormat="1" applyFont="1" applyBorder="1"/>
    <xf numFmtId="0" fontId="148" fillId="0" borderId="0" xfId="0" applyFont="1"/>
    <xf numFmtId="197" fontId="151" fillId="0" borderId="24" xfId="0" applyNumberFormat="1" applyFont="1" applyBorder="1"/>
    <xf numFmtId="174" fontId="152" fillId="0" borderId="6" xfId="0" applyNumberFormat="1" applyFont="1" applyBorder="1" applyAlignment="1">
      <alignment horizontal="center"/>
    </xf>
    <xf numFmtId="174" fontId="152" fillId="0" borderId="22" xfId="0" applyNumberFormat="1" applyFont="1" applyBorder="1" applyAlignment="1">
      <alignment horizontal="center"/>
    </xf>
    <xf numFmtId="167" fontId="149" fillId="0" borderId="0" xfId="1609" applyNumberFormat="1" applyFont="1" applyBorder="1" applyAlignment="1">
      <alignment horizontal="center"/>
    </xf>
    <xf numFmtId="1" fontId="34" fillId="18" borderId="6" xfId="0" applyNumberFormat="1" applyFont="1" applyFill="1" applyBorder="1" applyAlignment="1">
      <alignment horizontal="right"/>
    </xf>
    <xf numFmtId="172" fontId="26" fillId="0" borderId="27" xfId="436" applyNumberFormat="1" applyFont="1" applyBorder="1"/>
    <xf numFmtId="172" fontId="65" fillId="0" borderId="27" xfId="436" applyNumberFormat="1" applyFont="1" applyBorder="1"/>
    <xf numFmtId="172" fontId="14" fillId="0" borderId="27" xfId="436" applyNumberFormat="1" applyFont="1" applyBorder="1"/>
    <xf numFmtId="179" fontId="21" fillId="0" borderId="1" xfId="0" applyNumberFormat="1" applyFont="1" applyFill="1" applyBorder="1"/>
    <xf numFmtId="43" fontId="30" fillId="29" borderId="0" xfId="1556" applyNumberFormat="1" applyFont="1" applyFill="1"/>
    <xf numFmtId="0" fontId="14" fillId="18" borderId="25" xfId="0" applyFont="1" applyFill="1" applyBorder="1"/>
    <xf numFmtId="0" fontId="15" fillId="0" borderId="1" xfId="436" applyNumberFormat="1" applyFont="1" applyBorder="1"/>
    <xf numFmtId="184" fontId="26" fillId="0" borderId="0" xfId="436" applyNumberFormat="1" applyFont="1"/>
    <xf numFmtId="184" fontId="65" fillId="0" borderId="0" xfId="436" applyNumberFormat="1" applyFont="1"/>
    <xf numFmtId="184" fontId="14" fillId="0" borderId="0" xfId="436" applyNumberFormat="1" applyFont="1"/>
    <xf numFmtId="0" fontId="26" fillId="0" borderId="6" xfId="0" applyFont="1" applyBorder="1"/>
    <xf numFmtId="0" fontId="26" fillId="0" borderId="25" xfId="0" applyFont="1" applyBorder="1"/>
    <xf numFmtId="0" fontId="26" fillId="0" borderId="22" xfId="0" applyFont="1" applyBorder="1"/>
    <xf numFmtId="0" fontId="14" fillId="0" borderId="6" xfId="0" applyFont="1" applyBorder="1" applyAlignment="1">
      <alignment horizontal="center"/>
    </xf>
    <xf numFmtId="0" fontId="14" fillId="0" borderId="25" xfId="0" applyNumberFormat="1" applyFont="1" applyBorder="1"/>
    <xf numFmtId="172" fontId="14" fillId="0" borderId="24" xfId="436" applyNumberFormat="1" applyFont="1" applyBorder="1"/>
    <xf numFmtId="184" fontId="26" fillId="0" borderId="1" xfId="436" applyNumberFormat="1" applyFont="1" applyBorder="1"/>
    <xf numFmtId="184" fontId="65" fillId="0" borderId="0" xfId="436" applyNumberFormat="1" applyFont="1" applyBorder="1"/>
    <xf numFmtId="184" fontId="65" fillId="0" borderId="1" xfId="436" applyNumberFormat="1" applyFont="1" applyBorder="1"/>
    <xf numFmtId="184" fontId="34" fillId="0" borderId="0" xfId="436" applyNumberFormat="1" applyFont="1" applyBorder="1"/>
    <xf numFmtId="184" fontId="34" fillId="0" borderId="1" xfId="436" applyNumberFormat="1" applyFont="1" applyBorder="1"/>
    <xf numFmtId="9" fontId="27" fillId="0" borderId="2" xfId="1609" applyFont="1" applyBorder="1"/>
    <xf numFmtId="9" fontId="27" fillId="0" borderId="23" xfId="1609" applyFont="1" applyBorder="1"/>
    <xf numFmtId="172" fontId="15" fillId="0" borderId="0" xfId="436" applyNumberFormat="1" applyFont="1"/>
    <xf numFmtId="184" fontId="15" fillId="0" borderId="0" xfId="436" applyNumberFormat="1" applyFont="1"/>
    <xf numFmtId="174" fontId="14" fillId="30" borderId="22" xfId="0" applyNumberFormat="1" applyFont="1" applyFill="1" applyBorder="1" applyAlignment="1">
      <alignment horizontal="centerContinuous"/>
    </xf>
    <xf numFmtId="174" fontId="14" fillId="0" borderId="24" xfId="0" applyNumberFormat="1" applyFont="1" applyBorder="1" applyAlignment="1">
      <alignment horizontal="centerContinuous"/>
    </xf>
    <xf numFmtId="174" fontId="14" fillId="0" borderId="26" xfId="0" applyNumberFormat="1" applyFont="1" applyBorder="1" applyAlignment="1">
      <alignment horizontal="centerContinuous"/>
    </xf>
    <xf numFmtId="184" fontId="15" fillId="0" borderId="21" xfId="436" applyNumberFormat="1" applyFont="1" applyFill="1" applyBorder="1"/>
    <xf numFmtId="205" fontId="15" fillId="0" borderId="15" xfId="0" applyNumberFormat="1" applyFont="1" applyFill="1" applyBorder="1" applyAlignment="1"/>
    <xf numFmtId="205" fontId="15" fillId="0" borderId="0" xfId="0" applyNumberFormat="1" applyFont="1" applyFill="1" applyBorder="1" applyAlignment="1"/>
    <xf numFmtId="205" fontId="15" fillId="0" borderId="26" xfId="0" applyNumberFormat="1" applyFont="1" applyFill="1" applyBorder="1" applyAlignment="1"/>
    <xf numFmtId="205" fontId="15" fillId="0" borderId="1" xfId="0" applyNumberFormat="1" applyFont="1" applyFill="1" applyBorder="1" applyAlignment="1"/>
    <xf numFmtId="205" fontId="15" fillId="0" borderId="0" xfId="0" applyNumberFormat="1" applyFont="1" applyFill="1" applyBorder="1"/>
    <xf numFmtId="0" fontId="14" fillId="0" borderId="7" xfId="0" applyFont="1" applyFill="1" applyBorder="1"/>
    <xf numFmtId="0" fontId="15" fillId="0" borderId="15" xfId="0" applyFont="1" applyFill="1" applyBorder="1"/>
    <xf numFmtId="205" fontId="15" fillId="0" borderId="21" xfId="0" applyNumberFormat="1" applyFont="1" applyFill="1" applyBorder="1" applyAlignment="1"/>
    <xf numFmtId="205" fontId="15" fillId="0" borderId="26" xfId="0" applyNumberFormat="1" applyFont="1" applyFill="1" applyBorder="1"/>
    <xf numFmtId="0" fontId="15" fillId="0" borderId="2" xfId="0" applyFont="1" applyFill="1" applyBorder="1"/>
    <xf numFmtId="205" fontId="15" fillId="0" borderId="2" xfId="0" applyNumberFormat="1" applyFont="1" applyFill="1" applyBorder="1"/>
    <xf numFmtId="205" fontId="15" fillId="0" borderId="24" xfId="0" applyNumberFormat="1" applyFont="1" applyFill="1" applyBorder="1"/>
    <xf numFmtId="205" fontId="15" fillId="0" borderId="7" xfId="0" applyNumberFormat="1" applyFont="1" applyFill="1" applyBorder="1" applyAlignment="1"/>
    <xf numFmtId="205" fontId="15" fillId="0" borderId="1" xfId="0" applyNumberFormat="1" applyFont="1" applyFill="1" applyBorder="1"/>
    <xf numFmtId="205" fontId="15" fillId="0" borderId="23" xfId="0" applyNumberFormat="1" applyFont="1" applyFill="1" applyBorder="1"/>
    <xf numFmtId="0" fontId="14" fillId="0" borderId="25" xfId="0" applyFont="1" applyFill="1" applyBorder="1"/>
    <xf numFmtId="0" fontId="15" fillId="0" borderId="6" xfId="0" applyFont="1" applyFill="1" applyBorder="1"/>
    <xf numFmtId="169" fontId="22" fillId="0" borderId="6" xfId="0" applyNumberFormat="1" applyFont="1" applyFill="1" applyBorder="1"/>
    <xf numFmtId="169" fontId="22" fillId="0" borderId="22" xfId="0" applyNumberFormat="1" applyFont="1" applyFill="1" applyBorder="1"/>
    <xf numFmtId="172" fontId="30" fillId="29" borderId="0" xfId="1556" applyNumberFormat="1" applyFont="1" applyFill="1"/>
    <xf numFmtId="172" fontId="30" fillId="29" borderId="0" xfId="1556" applyNumberFormat="1" applyFont="1" applyFill="1" applyBorder="1"/>
    <xf numFmtId="210" fontId="15" fillId="0" borderId="6" xfId="0" applyNumberFormat="1" applyFont="1" applyFill="1" applyBorder="1"/>
    <xf numFmtId="210" fontId="15" fillId="0" borderId="22" xfId="0" applyNumberFormat="1" applyFont="1" applyFill="1" applyBorder="1"/>
    <xf numFmtId="169" fontId="22" fillId="0" borderId="25" xfId="0" applyNumberFormat="1" applyFont="1" applyFill="1" applyBorder="1"/>
    <xf numFmtId="205" fontId="15" fillId="0" borderId="23" xfId="0" applyNumberFormat="1" applyFont="1" applyFill="1" applyBorder="1" applyAlignment="1"/>
    <xf numFmtId="205" fontId="15" fillId="0" borderId="2" xfId="0" applyNumberFormat="1" applyFont="1" applyFill="1" applyBorder="1" applyAlignment="1"/>
    <xf numFmtId="165" fontId="14" fillId="0" borderId="23" xfId="1558" applyNumberFormat="1" applyFont="1" applyFill="1" applyBorder="1" applyAlignment="1">
      <alignment horizontal="right"/>
    </xf>
    <xf numFmtId="165" fontId="14" fillId="0" borderId="2" xfId="1558" applyNumberFormat="1" applyFont="1" applyFill="1" applyBorder="1" applyAlignment="1">
      <alignment horizontal="right"/>
    </xf>
    <xf numFmtId="165" fontId="19" fillId="0" borderId="2" xfId="1558" applyNumberFormat="1" applyFont="1" applyFill="1" applyBorder="1" applyAlignment="1">
      <alignment horizontal="right"/>
    </xf>
    <xf numFmtId="172" fontId="30" fillId="29" borderId="26" xfId="1556" applyNumberFormat="1" applyFont="1" applyFill="1" applyBorder="1"/>
    <xf numFmtId="168" fontId="30" fillId="29" borderId="27" xfId="1556" applyNumberFormat="1" applyFont="1" applyFill="1" applyBorder="1"/>
    <xf numFmtId="43" fontId="30" fillId="29" borderId="27" xfId="1556" applyNumberFormat="1" applyFont="1" applyFill="1" applyBorder="1"/>
    <xf numFmtId="0" fontId="14" fillId="0" borderId="25" xfId="0" applyFont="1" applyFill="1" applyBorder="1" applyAlignment="1">
      <alignment horizontal="left"/>
    </xf>
    <xf numFmtId="0" fontId="14" fillId="0" borderId="6" xfId="0" applyFont="1" applyFill="1" applyBorder="1" applyAlignment="1">
      <alignment horizontal="left"/>
    </xf>
    <xf numFmtId="167" fontId="0" fillId="0" borderId="0" xfId="1609" applyNumberFormat="1" applyFont="1" applyFill="1" applyBorder="1"/>
    <xf numFmtId="9" fontId="0" fillId="0" borderId="0" xfId="1609" applyFont="1"/>
    <xf numFmtId="9" fontId="0" fillId="0" borderId="0" xfId="1609" applyNumberFormat="1" applyFont="1"/>
    <xf numFmtId="197" fontId="0" fillId="0" borderId="0" xfId="0" applyNumberFormat="1" applyBorder="1"/>
    <xf numFmtId="172" fontId="30" fillId="29" borderId="1" xfId="1556" applyNumberFormat="1" applyFont="1" applyFill="1" applyBorder="1"/>
    <xf numFmtId="1" fontId="19" fillId="18" borderId="0" xfId="1557" applyNumberFormat="1" applyFont="1" applyFill="1" applyBorder="1" applyAlignment="1">
      <alignment horizontal="right"/>
    </xf>
    <xf numFmtId="1" fontId="34" fillId="0" borderId="0" xfId="0" applyNumberFormat="1" applyFont="1" applyFill="1" applyBorder="1" applyAlignment="1">
      <alignment horizontal="right"/>
    </xf>
    <xf numFmtId="184" fontId="26" fillId="0" borderId="0" xfId="0" applyNumberFormat="1" applyFont="1" applyBorder="1"/>
    <xf numFmtId="184" fontId="65" fillId="0" borderId="0" xfId="0" applyNumberFormat="1" applyFont="1" applyBorder="1"/>
    <xf numFmtId="184" fontId="34" fillId="0" borderId="0" xfId="0" applyNumberFormat="1" applyFont="1" applyBorder="1"/>
    <xf numFmtId="1" fontId="19" fillId="18" borderId="2" xfId="1557" applyNumberFormat="1" applyFont="1" applyFill="1" applyBorder="1" applyAlignment="1">
      <alignment horizontal="right"/>
    </xf>
    <xf numFmtId="184" fontId="15" fillId="0" borderId="27" xfId="436" applyNumberFormat="1" applyFont="1" applyFill="1" applyBorder="1"/>
    <xf numFmtId="9" fontId="26" fillId="0" borderId="27" xfId="1609" applyFont="1" applyBorder="1"/>
    <xf numFmtId="0" fontId="65" fillId="0" borderId="27" xfId="0" applyFont="1" applyBorder="1"/>
    <xf numFmtId="0" fontId="34" fillId="0" borderId="27" xfId="0" applyFont="1" applyBorder="1"/>
    <xf numFmtId="0" fontId="27" fillId="0" borderId="27" xfId="0" applyFont="1" applyBorder="1"/>
    <xf numFmtId="9" fontId="15" fillId="0" borderId="1" xfId="1609" applyFont="1" applyBorder="1"/>
    <xf numFmtId="197" fontId="0" fillId="0" borderId="0" xfId="0" applyNumberFormat="1"/>
    <xf numFmtId="174" fontId="30" fillId="0" borderId="15" xfId="0" applyNumberFormat="1" applyFont="1" applyFill="1" applyBorder="1"/>
    <xf numFmtId="44" fontId="0" fillId="0" borderId="0" xfId="0" applyNumberFormat="1" applyFill="1"/>
    <xf numFmtId="0" fontId="14" fillId="18" borderId="25" xfId="1558" applyFont="1" applyFill="1" applyBorder="1" applyAlignment="1">
      <alignment horizontal="right"/>
    </xf>
    <xf numFmtId="0" fontId="14" fillId="18" borderId="6" xfId="1558" applyFont="1" applyFill="1" applyBorder="1" applyAlignment="1">
      <alignment horizontal="right"/>
    </xf>
    <xf numFmtId="0" fontId="14" fillId="18" borderId="22" xfId="1558" applyFont="1" applyFill="1" applyBorder="1" applyAlignment="1">
      <alignment horizontal="right"/>
    </xf>
    <xf numFmtId="165" fontId="14" fillId="18" borderId="25" xfId="1558" applyNumberFormat="1" applyFont="1" applyFill="1" applyBorder="1" applyAlignment="1">
      <alignment horizontal="right"/>
    </xf>
    <xf numFmtId="165" fontId="14" fillId="18" borderId="6" xfId="1558" applyNumberFormat="1" applyFont="1" applyFill="1" applyBorder="1" applyAlignment="1">
      <alignment horizontal="right"/>
    </xf>
    <xf numFmtId="165" fontId="14" fillId="18" borderId="22" xfId="1558" applyNumberFormat="1" applyFont="1" applyFill="1" applyBorder="1" applyAlignment="1">
      <alignment horizontal="right"/>
    </xf>
    <xf numFmtId="1" fontId="14" fillId="18" borderId="25" xfId="1557" applyNumberFormat="1" applyFont="1" applyFill="1" applyBorder="1" applyAlignment="1">
      <alignment horizontal="right"/>
    </xf>
    <xf numFmtId="1" fontId="14" fillId="18" borderId="6" xfId="1557" applyNumberFormat="1" applyFont="1" applyFill="1" applyBorder="1" applyAlignment="1">
      <alignment horizontal="right"/>
    </xf>
    <xf numFmtId="1" fontId="14" fillId="18" borderId="22" xfId="1557" applyNumberFormat="1" applyFont="1" applyFill="1" applyBorder="1" applyAlignment="1">
      <alignment horizontal="right"/>
    </xf>
    <xf numFmtId="168" fontId="22" fillId="18" borderId="1" xfId="0" applyNumberFormat="1" applyFont="1" applyFill="1" applyBorder="1" applyAlignment="1"/>
    <xf numFmtId="168" fontId="15" fillId="18" borderId="1" xfId="0" applyNumberFormat="1" applyFont="1" applyFill="1" applyBorder="1" applyAlignment="1"/>
    <xf numFmtId="168" fontId="15" fillId="0" borderId="1" xfId="2" applyNumberFormat="1" applyFont="1" applyFill="1" applyBorder="1" applyAlignment="1"/>
    <xf numFmtId="172" fontId="15" fillId="0" borderId="1" xfId="0" applyNumberFormat="1" applyFont="1" applyFill="1" applyBorder="1" applyAlignment="1"/>
    <xf numFmtId="168" fontId="23" fillId="18" borderId="1" xfId="0" applyNumberFormat="1" applyFont="1" applyFill="1" applyBorder="1" applyAlignment="1"/>
    <xf numFmtId="170" fontId="22" fillId="0" borderId="1" xfId="1609" applyNumberFormat="1" applyFont="1" applyFill="1" applyBorder="1" applyAlignment="1"/>
    <xf numFmtId="166" fontId="15" fillId="0" borderId="26" xfId="0" applyNumberFormat="1" applyFont="1" applyFill="1" applyBorder="1" applyAlignment="1"/>
    <xf numFmtId="205" fontId="15" fillId="0" borderId="24" xfId="0" applyNumberFormat="1" applyFont="1" applyFill="1" applyBorder="1" applyAlignment="1"/>
    <xf numFmtId="174" fontId="30" fillId="0" borderId="26" xfId="0" applyNumberFormat="1" applyFont="1" applyFill="1" applyBorder="1"/>
    <xf numFmtId="167" fontId="24" fillId="0" borderId="27" xfId="1609" applyNumberFormat="1" applyFont="1" applyFill="1" applyBorder="1"/>
    <xf numFmtId="173" fontId="22" fillId="0" borderId="27" xfId="0" applyNumberFormat="1" applyFont="1" applyFill="1" applyBorder="1"/>
    <xf numFmtId="173" fontId="21" fillId="0" borderId="27" xfId="0" applyNumberFormat="1" applyFont="1" applyFill="1" applyBorder="1"/>
    <xf numFmtId="205" fontId="22" fillId="0" borderId="27" xfId="0" applyNumberFormat="1" applyFont="1" applyFill="1" applyBorder="1"/>
    <xf numFmtId="175" fontId="22" fillId="0" borderId="0" xfId="0" applyNumberFormat="1" applyFont="1" applyFill="1" applyBorder="1"/>
    <xf numFmtId="175" fontId="22" fillId="0" borderId="1" xfId="0" applyNumberFormat="1" applyFont="1" applyFill="1" applyBorder="1"/>
    <xf numFmtId="175" fontId="22" fillId="0" borderId="26" xfId="0" applyNumberFormat="1" applyFont="1" applyFill="1" applyBorder="1"/>
    <xf numFmtId="44" fontId="0" fillId="0" borderId="0" xfId="786" applyFont="1" applyFill="1" applyBorder="1"/>
    <xf numFmtId="9" fontId="0" fillId="0" borderId="0" xfId="1609" applyFont="1" applyFill="1"/>
    <xf numFmtId="167" fontId="0" fillId="0" borderId="0" xfId="1609" applyNumberFormat="1" applyFont="1" applyFill="1"/>
    <xf numFmtId="44" fontId="0" fillId="0" borderId="0" xfId="786" applyFont="1"/>
    <xf numFmtId="166" fontId="15" fillId="0" borderId="26" xfId="0" applyNumberFormat="1" applyFont="1" applyFill="1" applyBorder="1"/>
    <xf numFmtId="49" fontId="0" fillId="0" borderId="0" xfId="0" applyNumberFormat="1"/>
    <xf numFmtId="205" fontId="22" fillId="0" borderId="1" xfId="0" applyNumberFormat="1" applyFont="1" applyFill="1" applyBorder="1" applyAlignment="1"/>
    <xf numFmtId="179" fontId="40" fillId="0" borderId="1" xfId="0" applyNumberFormat="1" applyFont="1" applyFill="1" applyBorder="1"/>
    <xf numFmtId="180" fontId="26" fillId="0" borderId="1" xfId="0" applyNumberFormat="1" applyFont="1" applyFill="1" applyBorder="1"/>
    <xf numFmtId="179" fontId="26" fillId="0" borderId="23" xfId="0" applyNumberFormat="1" applyFont="1" applyFill="1" applyBorder="1"/>
    <xf numFmtId="1" fontId="19" fillId="18" borderId="6" xfId="1557" applyNumberFormat="1" applyFont="1" applyFill="1" applyBorder="1" applyAlignment="1">
      <alignment horizontal="right"/>
    </xf>
    <xf numFmtId="167" fontId="16" fillId="0" borderId="0" xfId="1609" applyNumberFormat="1" applyFont="1" applyFill="1" applyBorder="1" applyAlignment="1"/>
    <xf numFmtId="167" fontId="24" fillId="0" borderId="0" xfId="1609" applyNumberFormat="1" applyFont="1" applyFill="1" applyBorder="1" applyAlignment="1"/>
    <xf numFmtId="168" fontId="15" fillId="0" borderId="0" xfId="2" applyNumberFormat="1" applyFont="1" applyFill="1" applyBorder="1" applyAlignment="1"/>
    <xf numFmtId="43" fontId="15" fillId="0" borderId="0" xfId="436" applyFont="1" applyFill="1" applyBorder="1"/>
    <xf numFmtId="167" fontId="149" fillId="0" borderId="15" xfId="1609" applyNumberFormat="1" applyFont="1" applyBorder="1"/>
    <xf numFmtId="173" fontId="14" fillId="0" borderId="0" xfId="3648" applyNumberFormat="1" applyFont="1" applyFill="1" applyBorder="1"/>
    <xf numFmtId="1" fontId="19" fillId="18" borderId="25" xfId="1557" applyNumberFormat="1" applyFont="1" applyFill="1" applyBorder="1" applyAlignment="1">
      <alignment horizontal="right"/>
    </xf>
    <xf numFmtId="1" fontId="19" fillId="18" borderId="6" xfId="1557" applyNumberFormat="1" applyFont="1" applyFill="1" applyBorder="1" applyAlignment="1">
      <alignment horizontal="right"/>
    </xf>
    <xf numFmtId="1" fontId="19" fillId="18" borderId="22" xfId="1557" applyNumberFormat="1" applyFont="1" applyFill="1" applyBorder="1" applyAlignment="1">
      <alignment horizontal="right"/>
    </xf>
    <xf numFmtId="167" fontId="24" fillId="18" borderId="0" xfId="1609" applyNumberFormat="1" applyFont="1" applyFill="1" applyBorder="1" applyAlignment="1"/>
    <xf numFmtId="181" fontId="22" fillId="18" borderId="0" xfId="1609" applyNumberFormat="1" applyFont="1" applyFill="1" applyBorder="1"/>
    <xf numFmtId="181" fontId="22" fillId="18" borderId="26" xfId="1609" applyNumberFormat="1" applyFont="1" applyFill="1" applyBorder="1"/>
    <xf numFmtId="167" fontId="24" fillId="18" borderId="1" xfId="1609" applyNumberFormat="1" applyFont="1" applyFill="1" applyBorder="1" applyAlignment="1"/>
    <xf numFmtId="43" fontId="168" fillId="0" borderId="0" xfId="436" applyFont="1" applyFill="1" applyBorder="1"/>
    <xf numFmtId="0" fontId="0" fillId="0" borderId="0" xfId="0"/>
    <xf numFmtId="173" fontId="14" fillId="0" borderId="0" xfId="4088" applyNumberFormat="1" applyFont="1" applyFill="1" applyBorder="1"/>
    <xf numFmtId="167" fontId="15" fillId="0" borderId="26" xfId="1609" applyNumberFormat="1" applyFont="1" applyFill="1" applyBorder="1" applyAlignment="1"/>
    <xf numFmtId="165" fontId="19" fillId="0" borderId="22" xfId="1558" applyNumberFormat="1" applyFont="1" applyFill="1" applyBorder="1" applyAlignment="1">
      <alignment horizontal="right"/>
    </xf>
    <xf numFmtId="1" fontId="19" fillId="18" borderId="25" xfId="1557" applyNumberFormat="1" applyFont="1" applyFill="1" applyBorder="1" applyAlignment="1">
      <alignment horizontal="right"/>
    </xf>
    <xf numFmtId="1" fontId="19" fillId="18" borderId="6" xfId="1557" applyNumberFormat="1" applyFont="1" applyFill="1" applyBorder="1" applyAlignment="1">
      <alignment horizontal="right"/>
    </xf>
    <xf numFmtId="1" fontId="19" fillId="18" borderId="22" xfId="1557" applyNumberFormat="1" applyFont="1" applyFill="1" applyBorder="1" applyAlignment="1">
      <alignment horizontal="right"/>
    </xf>
    <xf numFmtId="167" fontId="16" fillId="0" borderId="1" xfId="1609" applyNumberFormat="1" applyFont="1" applyFill="1" applyBorder="1" applyAlignment="1"/>
    <xf numFmtId="167" fontId="16" fillId="0" borderId="0" xfId="1609" applyNumberFormat="1" applyFont="1" applyFill="1" applyBorder="1" applyAlignment="1"/>
    <xf numFmtId="167" fontId="24" fillId="0" borderId="1" xfId="1609" applyNumberFormat="1" applyFont="1" applyFill="1" applyBorder="1" applyAlignment="1"/>
    <xf numFmtId="167" fontId="24" fillId="18" borderId="0" xfId="1609" applyNumberFormat="1" applyFont="1" applyFill="1" applyBorder="1" applyAlignment="1"/>
    <xf numFmtId="167" fontId="24" fillId="0" borderId="0" xfId="1609" applyNumberFormat="1" applyFont="1" applyFill="1" applyBorder="1" applyAlignment="1"/>
    <xf numFmtId="167" fontId="16" fillId="0" borderId="26" xfId="1609" applyNumberFormat="1" applyFont="1" applyFill="1" applyBorder="1" applyAlignment="1"/>
    <xf numFmtId="170" fontId="22" fillId="0" borderId="0" xfId="1609" applyNumberFormat="1" applyFont="1" applyFill="1" applyBorder="1" applyAlignment="1"/>
    <xf numFmtId="167" fontId="24" fillId="18" borderId="0" xfId="1609" applyNumberFormat="1" applyFont="1" applyFill="1" applyBorder="1"/>
    <xf numFmtId="167" fontId="24" fillId="18" borderId="26" xfId="1609" applyNumberFormat="1" applyFont="1" applyFill="1" applyBorder="1"/>
    <xf numFmtId="170" fontId="22" fillId="0" borderId="26" xfId="1609" applyNumberFormat="1" applyFont="1" applyFill="1" applyBorder="1" applyAlignment="1"/>
    <xf numFmtId="167" fontId="24" fillId="0" borderId="26" xfId="1609" applyNumberFormat="1" applyFont="1" applyFill="1" applyBorder="1" applyAlignment="1"/>
    <xf numFmtId="166" fontId="15" fillId="0" borderId="0" xfId="4302" applyNumberFormat="1" applyFont="1" applyFill="1" applyBorder="1" applyAlignment="1"/>
    <xf numFmtId="167" fontId="24" fillId="18" borderId="26" xfId="1609" applyNumberFormat="1" applyFont="1" applyFill="1" applyBorder="1" applyAlignment="1"/>
    <xf numFmtId="0" fontId="19" fillId="18" borderId="25" xfId="1558" applyFont="1" applyFill="1" applyBorder="1" applyAlignment="1">
      <alignment horizontal="right"/>
    </xf>
    <xf numFmtId="0" fontId="19" fillId="18" borderId="6" xfId="1558" applyFont="1" applyFill="1" applyBorder="1" applyAlignment="1">
      <alignment horizontal="right"/>
    </xf>
    <xf numFmtId="0" fontId="19" fillId="18" borderId="22" xfId="1558" applyFont="1" applyFill="1" applyBorder="1" applyAlignment="1">
      <alignment horizontal="right"/>
    </xf>
    <xf numFmtId="165" fontId="19" fillId="18" borderId="6" xfId="1558" applyNumberFormat="1" applyFont="1" applyFill="1" applyBorder="1" applyAlignment="1">
      <alignment horizontal="right"/>
    </xf>
    <xf numFmtId="165" fontId="19" fillId="18" borderId="22" xfId="1558" applyNumberFormat="1" applyFont="1" applyFill="1" applyBorder="1" applyAlignment="1">
      <alignment horizontal="right"/>
    </xf>
    <xf numFmtId="165" fontId="19" fillId="18" borderId="25" xfId="1558" applyNumberFormat="1" applyFont="1" applyFill="1" applyBorder="1" applyAlignment="1">
      <alignment horizontal="right"/>
    </xf>
    <xf numFmtId="168" fontId="15" fillId="0" borderId="26" xfId="2" applyNumberFormat="1" applyFont="1" applyFill="1" applyBorder="1" applyAlignment="1"/>
    <xf numFmtId="168" fontId="15" fillId="0" borderId="0" xfId="2" applyNumberFormat="1" applyFont="1" applyFill="1" applyBorder="1" applyAlignment="1"/>
    <xf numFmtId="165" fontId="19" fillId="0" borderId="25" xfId="1558" applyNumberFormat="1" applyFont="1" applyFill="1" applyBorder="1" applyAlignment="1">
      <alignment horizontal="right"/>
    </xf>
    <xf numFmtId="165" fontId="19" fillId="0" borderId="6" xfId="1558" applyNumberFormat="1" applyFont="1" applyFill="1" applyBorder="1" applyAlignment="1">
      <alignment horizontal="right"/>
    </xf>
    <xf numFmtId="165" fontId="19" fillId="0" borderId="2" xfId="1558" applyNumberFormat="1" applyFont="1" applyFill="1" applyBorder="1" applyAlignment="1">
      <alignment horizontal="right"/>
    </xf>
    <xf numFmtId="167" fontId="24" fillId="18" borderId="1" xfId="1609" applyNumberFormat="1" applyFont="1" applyFill="1" applyBorder="1" applyAlignment="1"/>
    <xf numFmtId="168" fontId="15" fillId="0" borderId="1" xfId="2" applyNumberFormat="1" applyFont="1" applyFill="1" applyBorder="1" applyAlignment="1"/>
    <xf numFmtId="170" fontId="22" fillId="0" borderId="1" xfId="1609" applyNumberFormat="1" applyFont="1" applyFill="1" applyBorder="1" applyAlignment="1"/>
    <xf numFmtId="165" fontId="19" fillId="0" borderId="23" xfId="1558" applyNumberFormat="1" applyFont="1" applyFill="1" applyBorder="1" applyAlignment="1">
      <alignment horizontal="right"/>
    </xf>
    <xf numFmtId="165" fontId="19" fillId="0" borderId="0" xfId="1558" applyNumberFormat="1" applyFont="1" applyFill="1" applyBorder="1" applyAlignment="1">
      <alignment horizontal="right"/>
    </xf>
    <xf numFmtId="165" fontId="19" fillId="0" borderId="26" xfId="1558" applyNumberFormat="1" applyFont="1" applyFill="1" applyBorder="1" applyAlignment="1">
      <alignment horizontal="right"/>
    </xf>
    <xf numFmtId="167" fontId="15" fillId="0" borderId="0" xfId="1609" applyNumberFormat="1" applyFont="1" applyFill="1" applyBorder="1" applyAlignment="1"/>
    <xf numFmtId="0" fontId="0" fillId="0" borderId="0" xfId="0"/>
    <xf numFmtId="168" fontId="30" fillId="29" borderId="23" xfId="1556" applyNumberFormat="1" applyFont="1" applyFill="1" applyBorder="1"/>
    <xf numFmtId="167" fontId="16" fillId="0" borderId="24" xfId="1609" applyNumberFormat="1" applyFont="1" applyFill="1" applyBorder="1"/>
    <xf numFmtId="0" fontId="14" fillId="0" borderId="22" xfId="0" applyFont="1" applyBorder="1" applyAlignment="1">
      <alignment horizontal="center"/>
    </xf>
    <xf numFmtId="0" fontId="8" fillId="0" borderId="0" xfId="2796"/>
    <xf numFmtId="0" fontId="0" fillId="0" borderId="0" xfId="0"/>
    <xf numFmtId="180" fontId="26" fillId="0" borderId="23" xfId="0" applyNumberFormat="1" applyFont="1" applyFill="1" applyBorder="1"/>
    <xf numFmtId="179" fontId="35" fillId="0" borderId="36" xfId="0" applyNumberFormat="1" applyFont="1" applyFill="1" applyBorder="1"/>
    <xf numFmtId="0" fontId="0" fillId="0" borderId="0" xfId="0"/>
    <xf numFmtId="167" fontId="24" fillId="18" borderId="0" xfId="1609" applyNumberFormat="1" applyFont="1" applyFill="1" applyBorder="1" applyAlignment="1"/>
    <xf numFmtId="167" fontId="24" fillId="18" borderId="0" xfId="1609" applyNumberFormat="1" applyFont="1" applyFill="1" applyBorder="1"/>
    <xf numFmtId="167" fontId="24" fillId="18" borderId="26" xfId="1609" applyNumberFormat="1" applyFont="1" applyFill="1" applyBorder="1"/>
    <xf numFmtId="167" fontId="24" fillId="18" borderId="26" xfId="1609" applyNumberFormat="1" applyFont="1" applyFill="1" applyBorder="1" applyAlignment="1"/>
    <xf numFmtId="172" fontId="15" fillId="0" borderId="22" xfId="436" applyNumberFormat="1" applyFont="1" applyFill="1" applyBorder="1"/>
    <xf numFmtId="43" fontId="168" fillId="0" borderId="26" xfId="436" applyFont="1" applyFill="1" applyBorder="1"/>
    <xf numFmtId="172" fontId="31" fillId="0" borderId="1" xfId="436" applyNumberFormat="1" applyFont="1" applyFill="1" applyBorder="1"/>
    <xf numFmtId="43" fontId="22" fillId="0" borderId="1" xfId="436" applyFont="1" applyFill="1" applyBorder="1"/>
    <xf numFmtId="168" fontId="169" fillId="0" borderId="26" xfId="0" applyNumberFormat="1" applyFont="1" applyFill="1" applyBorder="1"/>
    <xf numFmtId="168" fontId="169" fillId="0" borderId="24" xfId="0" applyNumberFormat="1" applyFont="1" applyFill="1" applyBorder="1"/>
    <xf numFmtId="168" fontId="169" fillId="0" borderId="21" xfId="0" applyNumberFormat="1" applyFont="1" applyFill="1" applyBorder="1"/>
    <xf numFmtId="172" fontId="169" fillId="0" borderId="21" xfId="436" applyNumberFormat="1" applyFont="1" applyBorder="1"/>
    <xf numFmtId="172" fontId="169" fillId="0" borderId="24" xfId="436" applyNumberFormat="1" applyFont="1" applyBorder="1"/>
    <xf numFmtId="167" fontId="24" fillId="18" borderId="0" xfId="1609" applyNumberFormat="1" applyFont="1" applyFill="1" applyBorder="1"/>
    <xf numFmtId="0" fontId="0" fillId="0" borderId="0" xfId="0"/>
    <xf numFmtId="43" fontId="15" fillId="0" borderId="0" xfId="0" applyNumberFormat="1" applyFont="1" applyFill="1" applyBorder="1" applyAlignment="1"/>
    <xf numFmtId="43" fontId="15" fillId="0" borderId="26" xfId="0" applyNumberFormat="1" applyFont="1" applyFill="1" applyBorder="1" applyAlignment="1"/>
    <xf numFmtId="43" fontId="15" fillId="0" borderId="1" xfId="0" applyNumberFormat="1" applyFont="1" applyFill="1" applyBorder="1" applyAlignment="1"/>
    <xf numFmtId="43" fontId="14" fillId="0" borderId="0" xfId="0" applyNumberFormat="1" applyFont="1" applyFill="1" applyBorder="1" applyAlignment="1"/>
    <xf numFmtId="43" fontId="14" fillId="0" borderId="26" xfId="0" applyNumberFormat="1" applyFont="1" applyFill="1" applyBorder="1" applyAlignment="1"/>
    <xf numFmtId="43" fontId="14" fillId="0" borderId="1" xfId="0" applyNumberFormat="1" applyFont="1" applyFill="1" applyBorder="1" applyAlignment="1"/>
    <xf numFmtId="43" fontId="22" fillId="18" borderId="0" xfId="0" applyNumberFormat="1" applyFont="1" applyFill="1" applyBorder="1" applyAlignment="1"/>
    <xf numFmtId="43" fontId="22" fillId="18" borderId="26" xfId="0" applyNumberFormat="1" applyFont="1" applyFill="1" applyBorder="1" applyAlignment="1"/>
    <xf numFmtId="43" fontId="0" fillId="0" borderId="0" xfId="0" applyNumberFormat="1" applyFill="1"/>
    <xf numFmtId="0" fontId="0" fillId="0" borderId="0" xfId="0"/>
    <xf numFmtId="168" fontId="168" fillId="0" borderId="1" xfId="0" applyNumberFormat="1" applyFont="1" applyFill="1" applyBorder="1"/>
    <xf numFmtId="168" fontId="15" fillId="0" borderId="27" xfId="0" applyNumberFormat="1" applyFont="1" applyFill="1" applyBorder="1" applyAlignment="1"/>
    <xf numFmtId="175" fontId="22" fillId="0" borderId="27" xfId="0" applyNumberFormat="1" applyFont="1" applyFill="1" applyBorder="1"/>
    <xf numFmtId="174" fontId="15" fillId="0" borderId="27" xfId="0" applyNumberFormat="1" applyFont="1" applyFill="1" applyBorder="1"/>
    <xf numFmtId="43" fontId="15" fillId="0" borderId="27" xfId="0" applyNumberFormat="1" applyFont="1" applyFill="1" applyBorder="1"/>
    <xf numFmtId="172" fontId="15" fillId="0" borderId="27" xfId="0" applyNumberFormat="1" applyFont="1" applyFill="1" applyBorder="1"/>
    <xf numFmtId="37" fontId="26" fillId="0" borderId="27" xfId="0" applyNumberFormat="1" applyFont="1" applyFill="1" applyBorder="1"/>
    <xf numFmtId="37" fontId="34" fillId="0" borderId="27" xfId="0" applyNumberFormat="1" applyFont="1" applyFill="1" applyBorder="1"/>
    <xf numFmtId="0" fontId="27" fillId="0" borderId="1" xfId="0" applyFont="1" applyBorder="1"/>
    <xf numFmtId="0" fontId="0" fillId="0" borderId="0" xfId="0"/>
    <xf numFmtId="7" fontId="0" fillId="0" borderId="0" xfId="0" applyNumberFormat="1"/>
    <xf numFmtId="173" fontId="14" fillId="0" borderId="0" xfId="13985" applyNumberFormat="1" applyFont="1" applyFill="1" applyBorder="1"/>
    <xf numFmtId="167" fontId="24" fillId="18" borderId="2" xfId="1609" applyNumberFormat="1" applyFont="1" applyFill="1" applyBorder="1"/>
    <xf numFmtId="167" fontId="24" fillId="18" borderId="2" xfId="1609" applyNumberFormat="1" applyFont="1" applyFill="1" applyBorder="1"/>
    <xf numFmtId="167" fontId="16" fillId="0" borderId="0" xfId="1609" applyNumberFormat="1" applyFont="1" applyFill="1" applyBorder="1" applyAlignment="1"/>
    <xf numFmtId="167" fontId="24" fillId="18" borderId="0" xfId="1609" applyNumberFormat="1" applyFont="1" applyFill="1" applyBorder="1"/>
    <xf numFmtId="166" fontId="15" fillId="0" borderId="0" xfId="4302" applyNumberFormat="1" applyFont="1" applyFill="1" applyBorder="1" applyAlignment="1"/>
    <xf numFmtId="1" fontId="19" fillId="18" borderId="25" xfId="1557" applyNumberFormat="1" applyFont="1" applyFill="1" applyBorder="1" applyAlignment="1">
      <alignment horizontal="right"/>
    </xf>
    <xf numFmtId="1" fontId="19" fillId="18" borderId="6" xfId="1557" applyNumberFormat="1" applyFont="1" applyFill="1" applyBorder="1" applyAlignment="1">
      <alignment horizontal="right"/>
    </xf>
    <xf numFmtId="1" fontId="19" fillId="18" borderId="22" xfId="1557" applyNumberFormat="1" applyFont="1" applyFill="1" applyBorder="1" applyAlignment="1">
      <alignment horizontal="right"/>
    </xf>
    <xf numFmtId="167" fontId="24" fillId="18" borderId="0" xfId="1609" applyNumberFormat="1" applyFont="1" applyFill="1" applyBorder="1"/>
    <xf numFmtId="0" fontId="19" fillId="18" borderId="25" xfId="1558" applyFont="1" applyFill="1" applyBorder="1" applyAlignment="1">
      <alignment horizontal="right"/>
    </xf>
    <xf numFmtId="0" fontId="19" fillId="18" borderId="6" xfId="1558" applyFont="1" applyFill="1" applyBorder="1" applyAlignment="1">
      <alignment horizontal="right"/>
    </xf>
    <xf numFmtId="0" fontId="19" fillId="18" borderId="22" xfId="1558" applyFont="1" applyFill="1" applyBorder="1" applyAlignment="1">
      <alignment horizontal="right"/>
    </xf>
    <xf numFmtId="165" fontId="19" fillId="18" borderId="6" xfId="1558" applyNumberFormat="1" applyFont="1" applyFill="1" applyBorder="1" applyAlignment="1">
      <alignment horizontal="right"/>
    </xf>
    <xf numFmtId="165" fontId="19" fillId="18" borderId="22" xfId="1558" applyNumberFormat="1" applyFont="1" applyFill="1" applyBorder="1" applyAlignment="1">
      <alignment horizontal="right"/>
    </xf>
    <xf numFmtId="165" fontId="19" fillId="18" borderId="25" xfId="1558" applyNumberFormat="1" applyFont="1" applyFill="1" applyBorder="1" applyAlignment="1">
      <alignment horizontal="right"/>
    </xf>
    <xf numFmtId="167" fontId="24" fillId="18" borderId="0" xfId="1609" applyNumberFormat="1" applyFont="1" applyFill="1" applyBorder="1" applyAlignment="1"/>
    <xf numFmtId="192" fontId="0" fillId="0" borderId="0" xfId="786" applyNumberFormat="1" applyFont="1"/>
    <xf numFmtId="0" fontId="8" fillId="36" borderId="0" xfId="23979" applyFont="1" applyFill="1" applyAlignment="1">
      <alignment vertical="top"/>
    </xf>
    <xf numFmtId="0" fontId="8" fillId="36" borderId="0" xfId="2796" applyFill="1" applyAlignment="1">
      <alignment vertical="top"/>
    </xf>
    <xf numFmtId="0" fontId="8" fillId="36" borderId="0" xfId="2796" applyFill="1"/>
    <xf numFmtId="0" fontId="15" fillId="36" borderId="0" xfId="23979" applyFont="1" applyFill="1" applyAlignment="1">
      <alignment horizontal="left" vertical="top"/>
    </xf>
    <xf numFmtId="0" fontId="8" fillId="36" borderId="0" xfId="2796" applyFont="1" applyFill="1" applyAlignment="1">
      <alignment vertical="top"/>
    </xf>
    <xf numFmtId="0" fontId="20" fillId="36" borderId="0" xfId="23979" applyFont="1" applyFill="1" applyAlignment="1">
      <alignment vertical="top"/>
    </xf>
    <xf numFmtId="0" fontId="0" fillId="36" borderId="0" xfId="0" applyFill="1" applyAlignment="1">
      <alignment vertical="top"/>
    </xf>
    <xf numFmtId="0" fontId="211" fillId="36" borderId="0" xfId="0" applyFont="1" applyFill="1" applyAlignment="1">
      <alignment vertical="top"/>
    </xf>
    <xf numFmtId="0" fontId="212" fillId="36" borderId="0" xfId="0" applyFont="1" applyFill="1" applyAlignment="1">
      <alignment vertical="top"/>
    </xf>
    <xf numFmtId="0" fontId="212" fillId="36" borderId="0" xfId="0" applyFont="1" applyFill="1" applyAlignment="1">
      <alignment vertical="top"/>
    </xf>
    <xf numFmtId="0" fontId="211" fillId="36" borderId="0" xfId="0" applyFont="1" applyFill="1" applyAlignment="1">
      <alignment vertical="top"/>
    </xf>
    <xf numFmtId="0" fontId="0" fillId="36" borderId="0" xfId="0" applyFill="1" applyAlignment="1">
      <alignment vertical="top"/>
    </xf>
    <xf numFmtId="0" fontId="0" fillId="36" borderId="46" xfId="0" applyFill="1" applyBorder="1" applyAlignment="1">
      <alignment vertical="top"/>
    </xf>
    <xf numFmtId="0" fontId="211" fillId="36" borderId="42" xfId="0" applyFont="1" applyFill="1" applyBorder="1" applyAlignment="1">
      <alignment vertical="top"/>
    </xf>
    <xf numFmtId="0" fontId="211" fillId="36" borderId="43" xfId="0" applyFont="1" applyFill="1" applyBorder="1" applyAlignment="1">
      <alignment vertical="top"/>
    </xf>
    <xf numFmtId="0" fontId="211" fillId="36" borderId="44" xfId="0" applyFont="1" applyFill="1" applyBorder="1" applyAlignment="1">
      <alignment vertical="top"/>
    </xf>
    <xf numFmtId="0" fontId="211" fillId="36" borderId="45" xfId="0" applyFont="1" applyFill="1" applyBorder="1" applyAlignment="1">
      <alignment vertical="top"/>
    </xf>
    <xf numFmtId="9" fontId="211" fillId="36" borderId="42" xfId="0" applyNumberFormat="1" applyFont="1" applyFill="1" applyBorder="1" applyAlignment="1">
      <alignment vertical="top"/>
    </xf>
    <xf numFmtId="3" fontId="211" fillId="36" borderId="42" xfId="0" applyNumberFormat="1" applyFont="1" applyFill="1" applyBorder="1" applyAlignment="1">
      <alignment vertical="top"/>
    </xf>
    <xf numFmtId="0" fontId="0" fillId="36" borderId="47" xfId="0" applyFill="1" applyBorder="1" applyAlignment="1">
      <alignment vertical="top"/>
    </xf>
    <xf numFmtId="2" fontId="8" fillId="0" borderId="0" xfId="2796" applyNumberFormat="1" applyAlignment="1">
      <alignment horizontal="left"/>
    </xf>
    <xf numFmtId="0" fontId="8" fillId="0" borderId="0" xfId="2796" applyNumberFormat="1" applyAlignment="1">
      <alignment horizontal="left"/>
    </xf>
    <xf numFmtId="1" fontId="8" fillId="0" borderId="0" xfId="2796" applyNumberFormat="1" applyAlignment="1">
      <alignment horizontal="left"/>
    </xf>
    <xf numFmtId="0" fontId="8" fillId="0" borderId="0" xfId="2796" applyFont="1"/>
    <xf numFmtId="273" fontId="8" fillId="0" borderId="0" xfId="2796" applyNumberFormat="1" applyAlignment="1">
      <alignment horizontal="left"/>
    </xf>
    <xf numFmtId="49" fontId="8" fillId="0" borderId="0" xfId="2796" applyNumberFormat="1"/>
  </cellXfs>
  <cellStyles count="23980">
    <cellStyle name="-" xfId="1"/>
    <cellStyle name="_x000a_386grabber=M" xfId="2"/>
    <cellStyle name="_x000a_386grabber=M 2" xfId="3"/>
    <cellStyle name="_x000a_386grabber=M 2 2" xfId="4"/>
    <cellStyle name="_x000a_386grabber=M 2 2 2" xfId="2237"/>
    <cellStyle name="_x000a_386grabber=M 2 3" xfId="2236"/>
    <cellStyle name="_x000a_386grabber=M 3" xfId="5"/>
    <cellStyle name="_x000a_386grabber=M 3 2" xfId="6"/>
    <cellStyle name="_x000a_386grabber=M 3 3" xfId="2238"/>
    <cellStyle name="_x000a_386grabber=M 4" xfId="7"/>
    <cellStyle name="_x000a_386grabber=M 5" xfId="8"/>
    <cellStyle name="_x000a_386grabber=M 5 2" xfId="2239"/>
    <cellStyle name="_x000d__x000a_JournalTemplate=C:\COMFO\CTALK\JOURSTD.TPL_x000d__x000a_LbStateAddress=3 3 0 251 1 89 2 311_x000d__x000a_LbStateJou" xfId="13260"/>
    <cellStyle name="$ 1 decimal" xfId="9"/>
    <cellStyle name="%" xfId="10"/>
    <cellStyle name="% 2" xfId="11"/>
    <cellStyle name="% 2 2" xfId="12"/>
    <cellStyle name="% 2 2 2" xfId="13"/>
    <cellStyle name="% 2 2 2 2" xfId="2243"/>
    <cellStyle name="% 2 2 3" xfId="2242"/>
    <cellStyle name="% 2 3" xfId="14"/>
    <cellStyle name="% 2 3 2" xfId="2244"/>
    <cellStyle name="% 2 4" xfId="2241"/>
    <cellStyle name="% 3" xfId="15"/>
    <cellStyle name="% 3 2" xfId="16"/>
    <cellStyle name="% 3 2 2" xfId="2246"/>
    <cellStyle name="% 3 3" xfId="2245"/>
    <cellStyle name="% 4" xfId="17"/>
    <cellStyle name="% 4 2" xfId="2247"/>
    <cellStyle name="% 5" xfId="18"/>
    <cellStyle name="% 5 2" xfId="19"/>
    <cellStyle name="% 5 2 2" xfId="2249"/>
    <cellStyle name="% 5 3" xfId="2248"/>
    <cellStyle name="% 6" xfId="2240"/>
    <cellStyle name="%.00" xfId="20"/>
    <cellStyle name="%.00 2" xfId="2250"/>
    <cellStyle name="******************************************" xfId="21"/>
    <cellStyle name=";;;" xfId="13261"/>
    <cellStyle name="??" xfId="13262"/>
    <cellStyle name="?? [0.00]_HELPDESK" xfId="13263"/>
    <cellStyle name="?? [0]_For vlookup" xfId="13264"/>
    <cellStyle name="??&amp;O?&amp;H?_x0008_??_x0007__x0001__x0001_" xfId="22"/>
    <cellStyle name="???? [0.00]_HELPDESK" xfId="13265"/>
    <cellStyle name="?????_VERA" xfId="13266"/>
    <cellStyle name="????_HELPDESK" xfId="13267"/>
    <cellStyle name="???[0]_For vlookup" xfId="13268"/>
    <cellStyle name="???_For vlookup" xfId="13269"/>
    <cellStyle name="??_BB" xfId="13270"/>
    <cellStyle name="?@?_1101.TW" xfId="13271"/>
    <cellStyle name="?@疾_2332JT3_2313COP2 " xfId="13272"/>
    <cellStyle name="?Q\?1@" xfId="23"/>
    <cellStyle name="?Q\?1@ 2" xfId="24"/>
    <cellStyle name="?Q\?1@ 2 2" xfId="2252"/>
    <cellStyle name="?Q\?1@ 3" xfId="2251"/>
    <cellStyle name="_2003AIMInformation for Reports" xfId="25"/>
    <cellStyle name="_2345" xfId="13273"/>
    <cellStyle name="_2345_Valuation" xfId="13274"/>
    <cellStyle name="_2345_Valuation_ (WIP)" xfId="13275"/>
    <cellStyle name="_2345_Valuation_ BYD1211" xfId="13276"/>
    <cellStyle name="_2345_Valuation_ Hon Hai" xfId="13277"/>
    <cellStyle name="_2345_Valuation_(WIP)" xfId="13278"/>
    <cellStyle name="_2345_Valuation_0208" xfId="13279"/>
    <cellStyle name="_2345_Valuation_daily HW_093009" xfId="13280"/>
    <cellStyle name="_2345_Valuation_New" xfId="13281"/>
    <cellStyle name="_2345_Valuation_Presentation(Handset)" xfId="13282"/>
    <cellStyle name="_2345_Valuation_Tim(WIP)" xfId="13283"/>
    <cellStyle name="_2345_Valuation_WIP" xfId="13284"/>
    <cellStyle name="_2379-13" xfId="13285"/>
    <cellStyle name="_2379-13_Valuation" xfId="13286"/>
    <cellStyle name="_2379-13_Valuation_ (WIP)" xfId="13287"/>
    <cellStyle name="_2379-13_Valuation_ BYD1211" xfId="13288"/>
    <cellStyle name="_2379-13_Valuation_ Hon Hai" xfId="13289"/>
    <cellStyle name="_2379-13_Valuation_(WIP)" xfId="13290"/>
    <cellStyle name="_2379-13_Valuation_0208" xfId="13291"/>
    <cellStyle name="_2379-13_Valuation_daily HW_093009" xfId="13292"/>
    <cellStyle name="_2379-13_Valuation_New" xfId="13293"/>
    <cellStyle name="_2379-13_Valuation_Presentation(Handset)" xfId="13294"/>
    <cellStyle name="_2379-13_Valuation_Tim(WIP)" xfId="13295"/>
    <cellStyle name="_2379-13_Valuation_WIP" xfId="13296"/>
    <cellStyle name="_2391_050503" xfId="13297"/>
    <cellStyle name="_2391_050503_Valuation" xfId="13298"/>
    <cellStyle name="_2391_050503_Valuation_ (WIP)" xfId="13299"/>
    <cellStyle name="_2391_050503_Valuation_ BYD1211" xfId="13300"/>
    <cellStyle name="_2391_050503_Valuation_ Hon Hai" xfId="13301"/>
    <cellStyle name="_2391_050503_Valuation_(WIP)" xfId="13302"/>
    <cellStyle name="_2391_050503_Valuation_0208" xfId="13303"/>
    <cellStyle name="_2391_050503_Valuation_daily HW_093009" xfId="13304"/>
    <cellStyle name="_2391_050503_Valuation_New" xfId="13305"/>
    <cellStyle name="_2391_050503_Valuation_Presentation(Handset)" xfId="13306"/>
    <cellStyle name="_2391_050503_Valuation_Tim(WIP)" xfId="13307"/>
    <cellStyle name="_2391_050503_Valuation_WIP" xfId="13308"/>
    <cellStyle name="_AIMP Europe Stats May 2004" xfId="26"/>
    <cellStyle name="_AIMP Europe Stats May 2004 2" xfId="27"/>
    <cellStyle name="_AIMP Europe Stats May 2004 2 2" xfId="2254"/>
    <cellStyle name="_AIMP Europe Stats May 2004 3" xfId="2253"/>
    <cellStyle name="_AIMP Europe Stats May 2004_Pivot Table Tips" xfId="28"/>
    <cellStyle name="_AIMP Europe Stats May 2004_Pivot Table Tips 2" xfId="2255"/>
    <cellStyle name="_All Public cubes and views" xfId="29"/>
    <cellStyle name="_All Public cubes and views 2" xfId="2256"/>
    <cellStyle name="_AMCCmodelware" xfId="30"/>
    <cellStyle name="_AMCCmodelware 2" xfId="31"/>
    <cellStyle name="_AMCCmodelware 2 2" xfId="32"/>
    <cellStyle name="_AMCCmodelware 2 2 2" xfId="33"/>
    <cellStyle name="_AMCCmodelware 2 2 2 2" xfId="2260"/>
    <cellStyle name="_AMCCmodelware 2 2 3" xfId="2259"/>
    <cellStyle name="_AMCCmodelware 2 3" xfId="34"/>
    <cellStyle name="_AMCCmodelware 2 3 2" xfId="2261"/>
    <cellStyle name="_AMCCmodelware 2 4" xfId="2258"/>
    <cellStyle name="_AMCCmodelware 3" xfId="35"/>
    <cellStyle name="_AMCCmodelware 3 2" xfId="36"/>
    <cellStyle name="_AMCCmodelware 3 2 2" xfId="2263"/>
    <cellStyle name="_AMCCmodelware 3 3" xfId="2262"/>
    <cellStyle name="_AMCCmodelware 4" xfId="37"/>
    <cellStyle name="_AMCCmodelware 4 2" xfId="2264"/>
    <cellStyle name="_AMCCmodelware 5" xfId="2257"/>
    <cellStyle name="_Analyst_Coverage_Map" xfId="38"/>
    <cellStyle name="_Analyst_Coverage_Map 2" xfId="2265"/>
    <cellStyle name="_Annaul model" xfId="13309"/>
    <cellStyle name="_Annaul model_Valuation" xfId="13310"/>
    <cellStyle name="_Annaul model_Valuation_ (WIP)" xfId="13311"/>
    <cellStyle name="_Annaul model_Valuation_ BYD1211" xfId="13312"/>
    <cellStyle name="_Annaul model_Valuation_ Hon Hai" xfId="13313"/>
    <cellStyle name="_Annaul model_Valuation_(WIP)" xfId="13314"/>
    <cellStyle name="_Annaul model_Valuation_0208" xfId="13315"/>
    <cellStyle name="_Annaul model_Valuation_daily HW_093009" xfId="13316"/>
    <cellStyle name="_Annaul model_Valuation_New" xfId="13317"/>
    <cellStyle name="_Annaul model_Valuation_Presentation(Handset)" xfId="13318"/>
    <cellStyle name="_Annaul model_Valuation_Tim(WIP)" xfId="13319"/>
    <cellStyle name="_Annaul model_Valuation_WIP" xfId="13320"/>
    <cellStyle name="_Annual non-con" xfId="13321"/>
    <cellStyle name="_Annual non-con_Valuation" xfId="13322"/>
    <cellStyle name="_Annual non-con_Valuation_ (WIP)" xfId="13323"/>
    <cellStyle name="_Annual non-con_Valuation_ BYD1211" xfId="13324"/>
    <cellStyle name="_Annual non-con_Valuation_ Hon Hai" xfId="13325"/>
    <cellStyle name="_Annual non-con_Valuation_(WIP)" xfId="13326"/>
    <cellStyle name="_Annual non-con_Valuation_0208" xfId="13327"/>
    <cellStyle name="_Annual non-con_Valuation_daily HW_093009" xfId="13328"/>
    <cellStyle name="_Annual non-con_Valuation_New" xfId="13329"/>
    <cellStyle name="_Annual non-con_Valuation_Presentation(Handset)" xfId="13330"/>
    <cellStyle name="_Annual non-con_Valuation_Tim(WIP)" xfId="13331"/>
    <cellStyle name="_Annual non-con_Valuation_WIP" xfId="13332"/>
    <cellStyle name="_ARX Modelware (12)" xfId="39"/>
    <cellStyle name="_ARX QoQ Chart" xfId="40"/>
    <cellStyle name="_asustek0613" xfId="13333"/>
    <cellStyle name="_asustek0613_Valuation" xfId="13334"/>
    <cellStyle name="_asustek0613_Valuation_ (WIP)" xfId="13335"/>
    <cellStyle name="_asustek0613_Valuation_ BYD1211" xfId="13336"/>
    <cellStyle name="_asustek0613_Valuation_ Hon Hai" xfId="13337"/>
    <cellStyle name="_asustek0613_Valuation_(WIP)" xfId="13338"/>
    <cellStyle name="_asustek0613_Valuation_0208" xfId="13339"/>
    <cellStyle name="_asustek0613_Valuation_daily HW_093009" xfId="13340"/>
    <cellStyle name="_asustek0613_Valuation_New" xfId="13341"/>
    <cellStyle name="_asustek0613_Valuation_Presentation(Handset)" xfId="13342"/>
    <cellStyle name="_asustek0613_Valuation_Tim(WIP)" xfId="13343"/>
    <cellStyle name="_asustek0613_Valuation_WIP" xfId="13344"/>
    <cellStyle name="_Book1" xfId="41"/>
    <cellStyle name="_Book2" xfId="13345"/>
    <cellStyle name="_Book2_Valuation" xfId="13346"/>
    <cellStyle name="_Book2_Valuation_ (WIP)" xfId="13347"/>
    <cellStyle name="_Book2_Valuation_ BYD1211" xfId="13348"/>
    <cellStyle name="_Book2_Valuation_ Hon Hai" xfId="13349"/>
    <cellStyle name="_Book2_Valuation_(WIP)" xfId="13350"/>
    <cellStyle name="_Book2_Valuation_0208" xfId="13351"/>
    <cellStyle name="_Book2_Valuation_daily HW_093009" xfId="13352"/>
    <cellStyle name="_Book2_Valuation_New" xfId="13353"/>
    <cellStyle name="_Book2_Valuation_Presentation(Handset)" xfId="13354"/>
    <cellStyle name="_Book2_Valuation_Tim(WIP)" xfId="13355"/>
    <cellStyle name="_Book2_Valuation_WIP" xfId="13356"/>
    <cellStyle name="_Book7" xfId="13357"/>
    <cellStyle name="_Book7_Valuation" xfId="13358"/>
    <cellStyle name="_Book7_Valuation_ (WIP)" xfId="13359"/>
    <cellStyle name="_Book7_Valuation_ BYD1211" xfId="13360"/>
    <cellStyle name="_Book7_Valuation_ Hon Hai" xfId="13361"/>
    <cellStyle name="_Book7_Valuation_(WIP)" xfId="13362"/>
    <cellStyle name="_Book7_Valuation_0208" xfId="13363"/>
    <cellStyle name="_Book7_Valuation_daily HW_093009" xfId="13364"/>
    <cellStyle name="_Book7_Valuation_New" xfId="13365"/>
    <cellStyle name="_Book7_Valuation_Presentation(Handset)" xfId="13366"/>
    <cellStyle name="_Book7_Valuation_Tim(WIP)" xfId="13367"/>
    <cellStyle name="_Book7_Valuation_WIP" xfId="13368"/>
    <cellStyle name="_Broadcasting&amp;Cable" xfId="42"/>
    <cellStyle name="_CAVM Modelware" xfId="43"/>
    <cellStyle name="_CAVM WIP" xfId="44"/>
    <cellStyle name="_CAVM_122910 v.2" xfId="45"/>
    <cellStyle name="_Change since preliminary  - page for decision support workbook" xfId="46"/>
    <cellStyle name="_Chartered" xfId="13369"/>
    <cellStyle name="_Chartered_Ichia Model2402_Modelware" xfId="13370"/>
    <cellStyle name="_Chartered_Ichia Model2402_Modelware_Valuation" xfId="13371"/>
    <cellStyle name="_Chartered_Ichia Model2402_Modelware_Valuation_ (WIP)" xfId="13372"/>
    <cellStyle name="_Chartered_Ichia Model2402_Modelware_Valuation_ BYD1211" xfId="13373"/>
    <cellStyle name="_Chartered_Ichia Model2402_Modelware_Valuation_ Hon Hai" xfId="13374"/>
    <cellStyle name="_Chartered_Ichia Model2402_Modelware_Valuation_(WIP)" xfId="13375"/>
    <cellStyle name="_Chartered_Ichia Model2402_Modelware_Valuation_0208" xfId="13376"/>
    <cellStyle name="_Chartered_Ichia Model2402_Modelware_Valuation_daily HW_093009" xfId="13377"/>
    <cellStyle name="_Chartered_Ichia Model2402_Modelware_Valuation_New" xfId="13378"/>
    <cellStyle name="_Chartered_Ichia Model2402_Modelware_Valuation_Presentation(Handset)" xfId="13379"/>
    <cellStyle name="_Chartered_Ichia Model2402_Modelware_Valuation_Tim(WIP)" xfId="13380"/>
    <cellStyle name="_Chartered_Ichia Model2402_Modelware_Valuation_WIP" xfId="13381"/>
    <cellStyle name="_Chartered_Model_2402(New)_Modelware" xfId="13382"/>
    <cellStyle name="_Chartered_Model_2402(New)_Modelware_Valuation" xfId="13383"/>
    <cellStyle name="_Chartered_Model_2402(New)_Modelware_Valuation_ (WIP)" xfId="13384"/>
    <cellStyle name="_Chartered_Model_2402(New)_Modelware_Valuation_ BYD1211" xfId="13385"/>
    <cellStyle name="_Chartered_Model_2402(New)_Modelware_Valuation_ Hon Hai" xfId="13386"/>
    <cellStyle name="_Chartered_Model_2402(New)_Modelware_Valuation_(WIP)" xfId="13387"/>
    <cellStyle name="_Chartered_Model_2402(New)_Modelware_Valuation_0208" xfId="13388"/>
    <cellStyle name="_Chartered_Model_2402(New)_Modelware_Valuation_daily HW_093009" xfId="13389"/>
    <cellStyle name="_Chartered_Model_2402(New)_Modelware_Valuation_New" xfId="13390"/>
    <cellStyle name="_Chartered_Model_2402(New)_Modelware_Valuation_Presentation(Handset)" xfId="13391"/>
    <cellStyle name="_Chartered_Model_2402(New)_Modelware_Valuation_Tim(WIP)" xfId="13392"/>
    <cellStyle name="_Chartered_Model_2402(New)_Modelware_Valuation_WIP" xfId="13393"/>
    <cellStyle name="_Chartered_Model_3311(New)" xfId="13394"/>
    <cellStyle name="_Chartered_Model_3311(New)_Valuation" xfId="13395"/>
    <cellStyle name="_Chartered_Model_3311(New)_Valuation_ (WIP)" xfId="13396"/>
    <cellStyle name="_Chartered_Model_3311(New)_Valuation_ BYD1211" xfId="13397"/>
    <cellStyle name="_Chartered_Model_3311(New)_Valuation_ Hon Hai" xfId="13398"/>
    <cellStyle name="_Chartered_Model_3311(New)_Valuation_(WIP)" xfId="13399"/>
    <cellStyle name="_Chartered_Model_3311(New)_Valuation_0208" xfId="13400"/>
    <cellStyle name="_Chartered_Model_3311(New)_Valuation_daily HW_093009" xfId="13401"/>
    <cellStyle name="_Chartered_Model_3311(New)_Valuation_New" xfId="13402"/>
    <cellStyle name="_Chartered_Model_3311(New)_Valuation_Presentation(Handset)" xfId="13403"/>
    <cellStyle name="_Chartered_Model_3311(New)_Valuation_Tim(WIP)" xfId="13404"/>
    <cellStyle name="_Chartered_Model_3311(New)_Valuation_WIP" xfId="13405"/>
    <cellStyle name="_Chartered_Valuation" xfId="13406"/>
    <cellStyle name="_Chartered_Valuation_ (WIP)" xfId="13407"/>
    <cellStyle name="_Chartered_Valuation_ BYD1211" xfId="13408"/>
    <cellStyle name="_Chartered_Valuation_ Hon Hai" xfId="13409"/>
    <cellStyle name="_Chartered_Valuation_(WIP)" xfId="13410"/>
    <cellStyle name="_Chartered_Valuation_0208" xfId="13411"/>
    <cellStyle name="_Chartered_Valuation_daily HW_093009" xfId="13412"/>
    <cellStyle name="_Chartered_Valuation_New" xfId="13413"/>
    <cellStyle name="_Chartered_Valuation_Presentation(Handset)" xfId="13414"/>
    <cellStyle name="_Chartered_Valuation_Tim(WIP)" xfId="13415"/>
    <cellStyle name="_Chartered_Valuation_WIP" xfId="13416"/>
    <cellStyle name="_Copy of ITGIWWDBDA02_ITGI02" xfId="47"/>
    <cellStyle name="_Country" xfId="48"/>
    <cellStyle name="_Country 2" xfId="2266"/>
    <cellStyle name="_Country distribution--Reference" xfId="49"/>
    <cellStyle name="_Country distribution--Reference 2" xfId="2267"/>
    <cellStyle name="_Div_bonus" xfId="13417"/>
    <cellStyle name="_DQDMS-check" xfId="50"/>
    <cellStyle name="_DQDMS-check 2" xfId="51"/>
    <cellStyle name="_DQDMS-check 2 2" xfId="2269"/>
    <cellStyle name="_DQDMS-check 3" xfId="2268"/>
    <cellStyle name="_DSC data" xfId="13418"/>
    <cellStyle name="_DSC data_Valuation" xfId="13419"/>
    <cellStyle name="_DSC data_Valuation_ (WIP)" xfId="13420"/>
    <cellStyle name="_DSC data_Valuation_ BYD1211" xfId="13421"/>
    <cellStyle name="_DSC data_Valuation_ Hon Hai" xfId="13422"/>
    <cellStyle name="_DSC data_Valuation_(WIP)" xfId="13423"/>
    <cellStyle name="_DSC data_Valuation_0208" xfId="13424"/>
    <cellStyle name="_DSC data_Valuation_daily HW_093009" xfId="13425"/>
    <cellStyle name="_DSC data_Valuation_New" xfId="13426"/>
    <cellStyle name="_DSC data_Valuation_Presentation(Handset)" xfId="13427"/>
    <cellStyle name="_DSC data_Valuation_Tim(WIP)" xfId="13428"/>
    <cellStyle name="_DSC data_Valuation_WIP" xfId="13429"/>
    <cellStyle name="_EBS Template" xfId="13430"/>
    <cellStyle name="_EBS Template_Valuation" xfId="13431"/>
    <cellStyle name="_EBS Template_Valuation_ (WIP)" xfId="13432"/>
    <cellStyle name="_EBS Template_Valuation_ BYD1211" xfId="13433"/>
    <cellStyle name="_EBS Template_Valuation_ Hon Hai" xfId="13434"/>
    <cellStyle name="_EBS Template_Valuation_(WIP)" xfId="13435"/>
    <cellStyle name="_EBS Template_Valuation_0208" xfId="13436"/>
    <cellStyle name="_EBS Template_Valuation_daily HW_093009" xfId="13437"/>
    <cellStyle name="_EBS Template_Valuation_New" xfId="13438"/>
    <cellStyle name="_EBS Template_Valuation_Presentation(Handset)" xfId="13439"/>
    <cellStyle name="_EBS Template_Valuation_Tim(WIP)" xfId="13440"/>
    <cellStyle name="_EBS Template_Valuation_WIP" xfId="13441"/>
    <cellStyle name="_EBS Template1" xfId="13442"/>
    <cellStyle name="_EBS Template1_Valuation" xfId="13443"/>
    <cellStyle name="_EBS Template1_Valuation_ (WIP)" xfId="13444"/>
    <cellStyle name="_EBS Template1_Valuation_ BYD1211" xfId="13445"/>
    <cellStyle name="_EBS Template1_Valuation_ Hon Hai" xfId="13446"/>
    <cellStyle name="_EBS Template1_Valuation_(WIP)" xfId="13447"/>
    <cellStyle name="_EBS Template1_Valuation_0208" xfId="13448"/>
    <cellStyle name="_EBS Template1_Valuation_daily HW_093009" xfId="13449"/>
    <cellStyle name="_EBS Template1_Valuation_New" xfId="13450"/>
    <cellStyle name="_EBS Template1_Valuation_Presentation(Handset)" xfId="13451"/>
    <cellStyle name="_EBS Template1_Valuation_Tim(WIP)" xfId="13452"/>
    <cellStyle name="_EBS Template1_Valuation_WIP" xfId="13453"/>
    <cellStyle name="_exchange rates" xfId="52"/>
    <cellStyle name="_exchange rates 2" xfId="2270"/>
    <cellStyle name="_Fabless data_Yili-0805" xfId="13454"/>
    <cellStyle name="_Fall 2002 IT Services Forecast Supplement" xfId="53"/>
    <cellStyle name="_Fall 2002 IT Services Forecast Supplement 2" xfId="2271"/>
    <cellStyle name="_Fall 2002 IT Services Forecast Supplement_Japan Worstcase" xfId="54"/>
    <cellStyle name="_Fall 2002 IT Services Forecast Supplement_Japan Worstcase 2" xfId="55"/>
    <cellStyle name="_Fall 2002 IT Services Forecast Supplement_Japan Worstcase 2 2" xfId="2273"/>
    <cellStyle name="_Fall 2002 IT Services Forecast Supplement_Japan Worstcase 3" xfId="2272"/>
    <cellStyle name="_FIH valuation" xfId="13455"/>
    <cellStyle name="_FIH valuation_Valuation" xfId="13456"/>
    <cellStyle name="_FIH valuation_Valuation_ (WIP)" xfId="13457"/>
    <cellStyle name="_FIH valuation_Valuation_ BYD1211" xfId="13458"/>
    <cellStyle name="_FIH valuation_Valuation_ Hon Hai" xfId="13459"/>
    <cellStyle name="_FIH valuation_Valuation_(WIP)" xfId="13460"/>
    <cellStyle name="_FIH valuation_Valuation_0208" xfId="13461"/>
    <cellStyle name="_FIH valuation_Valuation_daily HW_093009" xfId="13462"/>
    <cellStyle name="_FIH valuation_Valuation_New" xfId="13463"/>
    <cellStyle name="_FIH valuation_Valuation_Presentation(Handset)" xfId="13464"/>
    <cellStyle name="_FIH valuation_Valuation_Tim(WIP)" xfId="13465"/>
    <cellStyle name="_FIH valuation_Valuation_WIP" xfId="13466"/>
    <cellStyle name="_Forecast Enterprise Software Markets, Worldwide, 2008-2013, 3Q09 Update 10-sept-09" xfId="56"/>
    <cellStyle name="_Forecast Review -Fall 2002 IT Services Nov 13" xfId="57"/>
    <cellStyle name="_Forecast Review -Fall 2002 IT Services Nov 13 2" xfId="2274"/>
    <cellStyle name="_Forecast Review -Fall 2002 IT Services Nov 13_Japan Worstcase" xfId="58"/>
    <cellStyle name="_Forecast Review -Fall 2002 IT Services Nov 13_Japan Worstcase 2" xfId="59"/>
    <cellStyle name="_Forecast Review -Fall 2002 IT Services Nov 13_Japan Worstcase 2 2" xfId="2276"/>
    <cellStyle name="_Forecast Review -Fall 2002 IT Services Nov 13_Japan Worstcase 3" xfId="2275"/>
    <cellStyle name="_forecast_enterprise_software_166478" xfId="60"/>
    <cellStyle name="_IBMNorth America2005 YR" xfId="61"/>
    <cellStyle name="_Ichia Model2402_Modelware" xfId="13467"/>
    <cellStyle name="_Ichia Model2402_Modelware_Valuation" xfId="13468"/>
    <cellStyle name="_Ichia Model2402_Modelware_Valuation_ (WIP)" xfId="13469"/>
    <cellStyle name="_Ichia Model2402_Modelware_Valuation_ BYD1211" xfId="13470"/>
    <cellStyle name="_Ichia Model2402_Modelware_Valuation_ Hon Hai" xfId="13471"/>
    <cellStyle name="_Ichia Model2402_Modelware_Valuation_(WIP)" xfId="13472"/>
    <cellStyle name="_Ichia Model2402_Modelware_Valuation_0208" xfId="13473"/>
    <cellStyle name="_Ichia Model2402_Modelware_Valuation_daily HW_093009" xfId="13474"/>
    <cellStyle name="_Ichia Model2402_Modelware_Valuation_New" xfId="13475"/>
    <cellStyle name="_Ichia Model2402_Modelware_Valuation_Presentation(Handset)" xfId="13476"/>
    <cellStyle name="_Ichia Model2402_Modelware_Valuation_Tim(WIP)" xfId="13477"/>
    <cellStyle name="_Ichia Model2402_Modelware_Valuation_WIP" xfId="13478"/>
    <cellStyle name="_Info" xfId="62"/>
    <cellStyle name="_Internal--Forecast Accuracy" xfId="63"/>
    <cellStyle name="_Internal--Market Share and Service Line Forecast" xfId="64"/>
    <cellStyle name="_Internal--Market Share and Vertical Forecast" xfId="65"/>
    <cellStyle name="_IT Databook - Pivot_Sep09" xfId="66"/>
    <cellStyle name="_IT Services Forecast Decision Support--Sept 2007" xfId="67"/>
    <cellStyle name="_IT Services Forecast Decision Support--Sept 2007 2" xfId="2277"/>
    <cellStyle name="_IT Services Forecast Decision Support--Sept 2007_Japan Worstcase" xfId="68"/>
    <cellStyle name="_IT Services Forecast Decision Support--Sept 2007_Japan Worstcase 2" xfId="69"/>
    <cellStyle name="_IT Services Forecast Decision Support--Sept 2007_Japan Worstcase 2 2" xfId="2279"/>
    <cellStyle name="_IT Services Forecast Decision Support--Sept 2007_Japan Worstcase 3" xfId="2278"/>
    <cellStyle name="_ITBOWWDBDA01_ITBOWWFC" xfId="70"/>
    <cellStyle name="_ITDatabook_hardware_Jun09_v1" xfId="71"/>
    <cellStyle name="_ITGIWW 2008-07" xfId="72"/>
    <cellStyle name="_ITSTWWDBDA01_ITSTWWFC" xfId="73"/>
    <cellStyle name="_Japan Worstcase" xfId="74"/>
    <cellStyle name="_Japan Worstcase 2" xfId="75"/>
    <cellStyle name="_Japan Worstcase 2 2" xfId="2281"/>
    <cellStyle name="_Japan Worstcase 3" xfId="2280"/>
    <cellStyle name="_LSI Modelware_021111" xfId="76"/>
    <cellStyle name="_LSI Modelware_021111 2" xfId="77"/>
    <cellStyle name="_LSI Modelware_021111 2 2" xfId="78"/>
    <cellStyle name="_LSI Modelware_021111 2 2 2" xfId="79"/>
    <cellStyle name="_LSI Modelware_021111 2 2 2 2" xfId="2285"/>
    <cellStyle name="_LSI Modelware_021111 2 2 3" xfId="2284"/>
    <cellStyle name="_LSI Modelware_021111 2 3" xfId="80"/>
    <cellStyle name="_LSI Modelware_021111 2 3 2" xfId="2286"/>
    <cellStyle name="_LSI Modelware_021111 2 4" xfId="2283"/>
    <cellStyle name="_LSI Modelware_021111 3" xfId="81"/>
    <cellStyle name="_LSI Modelware_021111 3 2" xfId="82"/>
    <cellStyle name="_LSI Modelware_021111 3 2 2" xfId="2288"/>
    <cellStyle name="_LSI Modelware_021111 3 3" xfId="2287"/>
    <cellStyle name="_LSI Modelware_021111 4" xfId="83"/>
    <cellStyle name="_LSI Modelware_021111 4 2" xfId="2289"/>
    <cellStyle name="_LSI Modelware_021111 5" xfId="2282"/>
    <cellStyle name="_LSI Modelware_021611" xfId="84"/>
    <cellStyle name="_LSI Modelware_021611 2" xfId="85"/>
    <cellStyle name="_LSI Modelware_021611 2 2" xfId="86"/>
    <cellStyle name="_LSI Modelware_021611 2 2 2" xfId="87"/>
    <cellStyle name="_LSI Modelware_021611 2 2 2 2" xfId="2293"/>
    <cellStyle name="_LSI Modelware_021611 2 2 3" xfId="2292"/>
    <cellStyle name="_LSI Modelware_021611 2 3" xfId="88"/>
    <cellStyle name="_LSI Modelware_021611 2 3 2" xfId="2294"/>
    <cellStyle name="_LSI Modelware_021611 2 4" xfId="2291"/>
    <cellStyle name="_LSI Modelware_021611 3" xfId="89"/>
    <cellStyle name="_LSI Modelware_021611 3 2" xfId="90"/>
    <cellStyle name="_LSI Modelware_021611 3 2 2" xfId="2296"/>
    <cellStyle name="_LSI Modelware_021611 3 3" xfId="2295"/>
    <cellStyle name="_LSI Modelware_021611 4" xfId="91"/>
    <cellStyle name="_LSI Modelware_021611 4 2" xfId="2297"/>
    <cellStyle name="_LSI Modelware_021611 5" xfId="2290"/>
    <cellStyle name="_LSI_012511 (5)" xfId="92"/>
    <cellStyle name="_LSI_012511 (5) 2" xfId="93"/>
    <cellStyle name="_LSI_012511 (5) 2 2" xfId="94"/>
    <cellStyle name="_LSI_012511 (5) 2 2 2" xfId="95"/>
    <cellStyle name="_LSI_012511 (5) 2 2 2 2" xfId="2301"/>
    <cellStyle name="_LSI_012511 (5) 2 2 3" xfId="2300"/>
    <cellStyle name="_LSI_012511 (5) 2 3" xfId="96"/>
    <cellStyle name="_LSI_012511 (5) 2 3 2" xfId="2302"/>
    <cellStyle name="_LSI_012511 (5) 2 4" xfId="2299"/>
    <cellStyle name="_LSI_012511 (5) 3" xfId="97"/>
    <cellStyle name="_LSI_012511 (5) 3 2" xfId="98"/>
    <cellStyle name="_LSI_012511 (5) 3 2 2" xfId="2304"/>
    <cellStyle name="_LSI_012511 (5) 3 3" xfId="2303"/>
    <cellStyle name="_LSI_012511 (5) 4" xfId="99"/>
    <cellStyle name="_LSI_012511 (5) 4 2" xfId="2305"/>
    <cellStyle name="_LSI_012511 (5) 5" xfId="2298"/>
    <cellStyle name="_LXK_MS_Model_wip" xfId="100"/>
    <cellStyle name="_Market sizing Generic" xfId="101"/>
    <cellStyle name="_Model - Asus brand_Pre bonus" xfId="13479"/>
    <cellStyle name="_Model_2402(New)_Modelware" xfId="13480"/>
    <cellStyle name="_Model_2402(New)_Modelware_Valuation" xfId="13481"/>
    <cellStyle name="_Model_2402(New)_Modelware_Valuation_ (WIP)" xfId="13482"/>
    <cellStyle name="_Model_2402(New)_Modelware_Valuation_ BYD1211" xfId="13483"/>
    <cellStyle name="_Model_2402(New)_Modelware_Valuation_ Hon Hai" xfId="13484"/>
    <cellStyle name="_Model_2402(New)_Modelware_Valuation_(WIP)" xfId="13485"/>
    <cellStyle name="_Model_2402(New)_Modelware_Valuation_0208" xfId="13486"/>
    <cellStyle name="_Model_2402(New)_Modelware_Valuation_daily HW_093009" xfId="13487"/>
    <cellStyle name="_Model_2402(New)_Modelware_Valuation_New" xfId="13488"/>
    <cellStyle name="_Model_2402(New)_Modelware_Valuation_Presentation(Handset)" xfId="13489"/>
    <cellStyle name="_Model_2402(New)_Modelware_Valuation_Tim(WIP)" xfId="13490"/>
    <cellStyle name="_Model_2402(New)_Modelware_Valuation_WIP" xfId="13491"/>
    <cellStyle name="_Model_3311(New)" xfId="13492"/>
    <cellStyle name="_Model_3311(New)_Valuation" xfId="13493"/>
    <cellStyle name="_Model_3311(New)_Valuation_ (WIP)" xfId="13494"/>
    <cellStyle name="_Model_3311(New)_Valuation_ BYD1211" xfId="13495"/>
    <cellStyle name="_Model_3311(New)_Valuation_ Hon Hai" xfId="13496"/>
    <cellStyle name="_Model_3311(New)_Valuation_(WIP)" xfId="13497"/>
    <cellStyle name="_Model_3311(New)_Valuation_0208" xfId="13498"/>
    <cellStyle name="_Model_3311(New)_Valuation_daily HW_093009" xfId="13499"/>
    <cellStyle name="_Model_3311(New)_Valuation_New" xfId="13500"/>
    <cellStyle name="_Model_3311(New)_Valuation_Presentation(Handset)" xfId="13501"/>
    <cellStyle name="_Model_3311(New)_Valuation_Tim(WIP)" xfId="13502"/>
    <cellStyle name="_Model_3311(New)_Valuation_WIP" xfId="13503"/>
    <cellStyle name="_Model2394" xfId="13504"/>
    <cellStyle name="_Model2394_Valuation" xfId="13505"/>
    <cellStyle name="_Model2394_Valuation_ (WIP)" xfId="13506"/>
    <cellStyle name="_Model2394_Valuation_ BYD1211" xfId="13507"/>
    <cellStyle name="_Model2394_Valuation_ Hon Hai" xfId="13508"/>
    <cellStyle name="_Model2394_Valuation_(WIP)" xfId="13509"/>
    <cellStyle name="_Model2394_Valuation_0208" xfId="13510"/>
    <cellStyle name="_Model2394_Valuation_daily HW_093009" xfId="13511"/>
    <cellStyle name="_Model2394_Valuation_New" xfId="13512"/>
    <cellStyle name="_Model2394_Valuation_Presentation(Handset)" xfId="13513"/>
    <cellStyle name="_Model2394_Valuation_Tim(WIP)" xfId="13514"/>
    <cellStyle name="_Model2394_Valuation_WIP" xfId="13515"/>
    <cellStyle name="_Model2401_2Q03result" xfId="13516"/>
    <cellStyle name="_Model2401_2Q03result_Valuation" xfId="13517"/>
    <cellStyle name="_Model2401_2Q03result_Valuation_ (WIP)" xfId="13518"/>
    <cellStyle name="_Model2401_2Q03result_Valuation_ BYD1211" xfId="13519"/>
    <cellStyle name="_Model2401_2Q03result_Valuation_ Hon Hai" xfId="13520"/>
    <cellStyle name="_Model2401_2Q03result_Valuation_(WIP)" xfId="13521"/>
    <cellStyle name="_Model2401_2Q03result_Valuation_0208" xfId="13522"/>
    <cellStyle name="_Model2401_2Q03result_Valuation_daily HW_093009" xfId="13523"/>
    <cellStyle name="_Model2401_2Q03result_Valuation_New" xfId="13524"/>
    <cellStyle name="_Model2401_2Q03result_Valuation_Presentation(Handset)" xfId="13525"/>
    <cellStyle name="_Model2401_2Q03result_Valuation_Tim(WIP)" xfId="13526"/>
    <cellStyle name="_Model2401_2Q03result_Valuation_WIP" xfId="13527"/>
    <cellStyle name="_Model3008_08'03" xfId="13528"/>
    <cellStyle name="_Model3008_08'03_Valuation" xfId="13529"/>
    <cellStyle name="_Model3008_08'03_Valuation_ (WIP)" xfId="13530"/>
    <cellStyle name="_Model3008_08'03_Valuation_ BYD1211" xfId="13531"/>
    <cellStyle name="_Model3008_08'03_Valuation_ Hon Hai" xfId="13532"/>
    <cellStyle name="_Model3008_08'03_Valuation_(WIP)" xfId="13533"/>
    <cellStyle name="_Model3008_08'03_Valuation_0208" xfId="13534"/>
    <cellStyle name="_Model3008_08'03_Valuation_daily HW_093009" xfId="13535"/>
    <cellStyle name="_Model3008_08'03_Valuation_New" xfId="13536"/>
    <cellStyle name="_Model3008_08'03_Valuation_Presentation(Handset)" xfId="13537"/>
    <cellStyle name="_Model3008_08'03_Valuation_Tim(WIP)" xfId="13538"/>
    <cellStyle name="_Model3008_08'03_Valuation_WIP" xfId="13539"/>
    <cellStyle name="_Model3019_08'03" xfId="13540"/>
    <cellStyle name="_Model3019_08'03_Valuation" xfId="13541"/>
    <cellStyle name="_Model3019_08'03_Valuation_ (WIP)" xfId="13542"/>
    <cellStyle name="_Model3019_08'03_Valuation_ BYD1211" xfId="13543"/>
    <cellStyle name="_Model3019_08'03_Valuation_ Hon Hai" xfId="13544"/>
    <cellStyle name="_Model3019_08'03_Valuation_(WIP)" xfId="13545"/>
    <cellStyle name="_Model3019_08'03_Valuation_0208" xfId="13546"/>
    <cellStyle name="_Model3019_08'03_Valuation_daily HW_093009" xfId="13547"/>
    <cellStyle name="_Model3019_08'03_Valuation_New" xfId="13548"/>
    <cellStyle name="_Model3019_08'03_Valuation_Presentation(Handset)" xfId="13549"/>
    <cellStyle name="_Model3019_08'03_Valuation_Tim(WIP)" xfId="13550"/>
    <cellStyle name="_Model3019_08'03_Valuation_WIP" xfId="13551"/>
    <cellStyle name="_Model3059" xfId="13552"/>
    <cellStyle name="_Model3059_Valuation" xfId="13553"/>
    <cellStyle name="_Model3059_Valuation_ (WIP)" xfId="13554"/>
    <cellStyle name="_Model3059_Valuation_ BYD1211" xfId="13555"/>
    <cellStyle name="_Model3059_Valuation_ Hon Hai" xfId="13556"/>
    <cellStyle name="_Model3059_Valuation_(WIP)" xfId="13557"/>
    <cellStyle name="_Model3059_Valuation_0208" xfId="13558"/>
    <cellStyle name="_Model3059_Valuation_daily HW_093009" xfId="13559"/>
    <cellStyle name="_Model3059_Valuation_New" xfId="13560"/>
    <cellStyle name="_Model3059_Valuation_Presentation(Handset)" xfId="13561"/>
    <cellStyle name="_Model3059_Valuation_Tim(WIP)" xfId="13562"/>
    <cellStyle name="_Model3059_Valuation_WIP" xfId="13563"/>
    <cellStyle name="_Monthly" xfId="13564"/>
    <cellStyle name="_Monthly sales" xfId="13565"/>
    <cellStyle name="_Monthly sales_Valuation" xfId="13566"/>
    <cellStyle name="_Monthly sales_Valuation_ (WIP)" xfId="13567"/>
    <cellStyle name="_Monthly sales_Valuation_ BYD1211" xfId="13568"/>
    <cellStyle name="_Monthly sales_Valuation_ Hon Hai" xfId="13569"/>
    <cellStyle name="_Monthly sales_Valuation_(WIP)" xfId="13570"/>
    <cellStyle name="_Monthly sales_Valuation_0208" xfId="13571"/>
    <cellStyle name="_Monthly sales_Valuation_daily HW_093009" xfId="13572"/>
    <cellStyle name="_Monthly sales_Valuation_New" xfId="13573"/>
    <cellStyle name="_Monthly sales_Valuation_Presentation(Handset)" xfId="13574"/>
    <cellStyle name="_Monthly sales_Valuation_Tim(WIP)" xfId="13575"/>
    <cellStyle name="_Monthly sales_Valuation_WIP" xfId="13576"/>
    <cellStyle name="_Monthly_Valuation" xfId="13577"/>
    <cellStyle name="_Monthly_Valuation_ (WIP)" xfId="13578"/>
    <cellStyle name="_Monthly_Valuation_ BYD1211" xfId="13579"/>
    <cellStyle name="_Monthly_Valuation_ Hon Hai" xfId="13580"/>
    <cellStyle name="_Monthly_Valuation_(WIP)" xfId="13581"/>
    <cellStyle name="_Monthly_Valuation_0208" xfId="13582"/>
    <cellStyle name="_Monthly_Valuation_daily HW_093009" xfId="13583"/>
    <cellStyle name="_Monthly_Valuation_New" xfId="13584"/>
    <cellStyle name="_Monthly_Valuation_Presentation(Handset)" xfId="13585"/>
    <cellStyle name="_Monthly_Valuation_Tim(WIP)" xfId="13586"/>
    <cellStyle name="_Monthly_Valuation_WIP" xfId="13587"/>
    <cellStyle name="_Mthly Brkdwn" xfId="13588"/>
    <cellStyle name="_Mthly Brkdwn_Valuation" xfId="13589"/>
    <cellStyle name="_Mthly Brkdwn_Valuation_ (WIP)" xfId="13590"/>
    <cellStyle name="_Mthly Brkdwn_Valuation_ BYD1211" xfId="13591"/>
    <cellStyle name="_Mthly Brkdwn_Valuation_ Hon Hai" xfId="13592"/>
    <cellStyle name="_Mthly Brkdwn_Valuation_(WIP)" xfId="13593"/>
    <cellStyle name="_Mthly Brkdwn_Valuation_0208" xfId="13594"/>
    <cellStyle name="_Mthly Brkdwn_Valuation_daily HW_093009" xfId="13595"/>
    <cellStyle name="_Mthly Brkdwn_Valuation_New" xfId="13596"/>
    <cellStyle name="_Mthly Brkdwn_Valuation_Presentation(Handset)" xfId="13597"/>
    <cellStyle name="_Mthly Brkdwn_Valuation_Tim(WIP)" xfId="13598"/>
    <cellStyle name="_Mthly Brkdwn_Valuation_WIP" xfId="13599"/>
    <cellStyle name="_Pivot AIMP 2003 2 June 2004 for publication" xfId="102"/>
    <cellStyle name="_Pivot AIMP 2003 2 June 2004 for publication 2" xfId="103"/>
    <cellStyle name="_Pivot AIMP 2003 2 June 2004 for publication 2 2" xfId="2307"/>
    <cellStyle name="_Pivot AIMP 2003 2 June 2004 for publication 3" xfId="2306"/>
    <cellStyle name="_Pivot AIMP 2003 2 June 2004 for publication_Pivot Table Tips" xfId="104"/>
    <cellStyle name="_Pivot AIMP 2003 2 June 2004 for publication_Pivot Table Tips 2" xfId="2308"/>
    <cellStyle name="_Pivot_Table_templateApril05" xfId="105"/>
    <cellStyle name="_prelim vs final" xfId="106"/>
    <cellStyle name="_Print Generic Charts Library" xfId="107"/>
    <cellStyle name="_Print Generic Charts Library 2" xfId="108"/>
    <cellStyle name="_Print Generic Charts Library 2 2" xfId="2310"/>
    <cellStyle name="_Print Generic Charts Library 3" xfId="2309"/>
    <cellStyle name="_Print Generic Charts Library_Pivot Table Tips" xfId="109"/>
    <cellStyle name="_Print Generic Charts Library_Pivot Table Tips 2" xfId="2311"/>
    <cellStyle name="_Printers WW" xfId="110"/>
    <cellStyle name="_Quarterly" xfId="13600"/>
    <cellStyle name="_Quarterly_Valuation" xfId="13601"/>
    <cellStyle name="_Quarterly_Valuation_ (WIP)" xfId="13602"/>
    <cellStyle name="_Quarterly_Valuation_ BYD1211" xfId="13603"/>
    <cellStyle name="_Quarterly_Valuation_ Hon Hai" xfId="13604"/>
    <cellStyle name="_Quarterly_Valuation_(WIP)" xfId="13605"/>
    <cellStyle name="_Quarterly_Valuation_0208" xfId="13606"/>
    <cellStyle name="_Quarterly_Valuation_daily HW_093009" xfId="13607"/>
    <cellStyle name="_Quarterly_Valuation_New" xfId="13608"/>
    <cellStyle name="_Quarterly_Valuation_Presentation(Handset)" xfId="13609"/>
    <cellStyle name="_Quarterly_Valuation_Tim(WIP)" xfId="13610"/>
    <cellStyle name="_Quarterly_Valuation_WIP" xfId="13611"/>
    <cellStyle name="_quaterly model" xfId="13612"/>
    <cellStyle name="_quaterly model_Valuation" xfId="13613"/>
    <cellStyle name="_quaterly model_Valuation_ (WIP)" xfId="13614"/>
    <cellStyle name="_quaterly model_Valuation_ BYD1211" xfId="13615"/>
    <cellStyle name="_quaterly model_Valuation_ Hon Hai" xfId="13616"/>
    <cellStyle name="_quaterly model_Valuation_(WIP)" xfId="13617"/>
    <cellStyle name="_quaterly model_Valuation_0208" xfId="13618"/>
    <cellStyle name="_quaterly model_Valuation_daily HW_093009" xfId="13619"/>
    <cellStyle name="_quaterly model_Valuation_New" xfId="13620"/>
    <cellStyle name="_quaterly model_Valuation_Presentation(Handset)" xfId="13621"/>
    <cellStyle name="_quaterly model_Valuation_Tim(WIP)" xfId="13622"/>
    <cellStyle name="_quaterly model_Valuation_WIP" xfId="13623"/>
    <cellStyle name="_Rama Other Companies" xfId="111"/>
    <cellStyle name="_Rama Other Companies 2" xfId="2312"/>
    <cellStyle name="_Rama Other Companies_Japan Worstcase" xfId="112"/>
    <cellStyle name="_Rama Other Companies_Japan Worstcase 2" xfId="113"/>
    <cellStyle name="_Rama Other Companies_Japan Worstcase 2 2" xfId="2314"/>
    <cellStyle name="_Rama Other Companies_Japan Worstcase 3" xfId="2313"/>
    <cellStyle name="_RI valuation" xfId="13624"/>
    <cellStyle name="_RI valuation_Valuation" xfId="13625"/>
    <cellStyle name="_RI valuation_Valuation_ (WIP)" xfId="13626"/>
    <cellStyle name="_RI valuation_Valuation_ BYD1211" xfId="13627"/>
    <cellStyle name="_RI valuation_Valuation_ Hon Hai" xfId="13628"/>
    <cellStyle name="_RI valuation_Valuation_(WIP)" xfId="13629"/>
    <cellStyle name="_RI valuation_Valuation_0208" xfId="13630"/>
    <cellStyle name="_RI valuation_Valuation_daily HW_093009" xfId="13631"/>
    <cellStyle name="_RI valuation_Valuation_New" xfId="13632"/>
    <cellStyle name="_RI valuation_Valuation_Presentation(Handset)" xfId="13633"/>
    <cellStyle name="_RI valuation_Valuation_Tim(WIP)" xfId="13634"/>
    <cellStyle name="_RI valuation_Valuation_WIP" xfId="13635"/>
    <cellStyle name="_RRS1" xfId="114"/>
    <cellStyle name="_RRS1 2" xfId="115"/>
    <cellStyle name="_RRS1 2 2" xfId="116"/>
    <cellStyle name="_RRS1 2 2 2" xfId="117"/>
    <cellStyle name="_RRS1 2 2 2 2" xfId="2318"/>
    <cellStyle name="_RRS1 2 2 3" xfId="2317"/>
    <cellStyle name="_RRS1 2 3" xfId="118"/>
    <cellStyle name="_RRS1 2 3 2" xfId="2319"/>
    <cellStyle name="_RRS1 2 4" xfId="2316"/>
    <cellStyle name="_RRS1 3" xfId="119"/>
    <cellStyle name="_RRS1 3 2" xfId="120"/>
    <cellStyle name="_RRS1 3 2 2" xfId="2321"/>
    <cellStyle name="_RRS1 3 3" xfId="2320"/>
    <cellStyle name="_RRS1 4" xfId="121"/>
    <cellStyle name="_RRS1 4 2" xfId="2322"/>
    <cellStyle name="_RRS1 5" xfId="122"/>
    <cellStyle name="_RRS1 5 2" xfId="123"/>
    <cellStyle name="_RRS1 5 2 2" xfId="2324"/>
    <cellStyle name="_RRS1 5 3" xfId="2323"/>
    <cellStyle name="_RRS1 6" xfId="2315"/>
    <cellStyle name="_RRS10" xfId="124"/>
    <cellStyle name="_RRS10 2" xfId="125"/>
    <cellStyle name="_RRS10 2 2" xfId="126"/>
    <cellStyle name="_RRS10 2 2 2" xfId="127"/>
    <cellStyle name="_RRS10 2 2 2 2" xfId="2328"/>
    <cellStyle name="_RRS10 2 2 3" xfId="2327"/>
    <cellStyle name="_RRS10 2 3" xfId="128"/>
    <cellStyle name="_RRS10 2 3 2" xfId="2329"/>
    <cellStyle name="_RRS10 2 4" xfId="2326"/>
    <cellStyle name="_RRS10 3" xfId="129"/>
    <cellStyle name="_RRS10 3 2" xfId="130"/>
    <cellStyle name="_RRS10 3 2 2" xfId="2331"/>
    <cellStyle name="_RRS10 3 3" xfId="2330"/>
    <cellStyle name="_RRS10 4" xfId="131"/>
    <cellStyle name="_RRS10 4 2" xfId="2332"/>
    <cellStyle name="_RRS10 5" xfId="2325"/>
    <cellStyle name="_RRS13" xfId="132"/>
    <cellStyle name="_RRS13 2" xfId="2333"/>
    <cellStyle name="_RRS16" xfId="133"/>
    <cellStyle name="_RRS16 2" xfId="2334"/>
    <cellStyle name="_RRS2" xfId="134"/>
    <cellStyle name="_RRS2 2" xfId="2335"/>
    <cellStyle name="_RRS3" xfId="135"/>
    <cellStyle name="_RRS3 2" xfId="136"/>
    <cellStyle name="_RRS3 2 2" xfId="137"/>
    <cellStyle name="_RRS3 2 2 2" xfId="138"/>
    <cellStyle name="_RRS3 2 2 2 2" xfId="2339"/>
    <cellStyle name="_RRS3 2 2 3" xfId="2338"/>
    <cellStyle name="_RRS3 2 3" xfId="139"/>
    <cellStyle name="_RRS3 2 3 2" xfId="2340"/>
    <cellStyle name="_RRS3 2 4" xfId="2337"/>
    <cellStyle name="_RRS3 3" xfId="140"/>
    <cellStyle name="_RRS3 3 2" xfId="141"/>
    <cellStyle name="_RRS3 3 2 2" xfId="2342"/>
    <cellStyle name="_RRS3 3 3" xfId="2341"/>
    <cellStyle name="_RRS3 4" xfId="142"/>
    <cellStyle name="_RRS3 4 2" xfId="2343"/>
    <cellStyle name="_RRS3 5" xfId="143"/>
    <cellStyle name="_RRS3 5 2" xfId="144"/>
    <cellStyle name="_RRS3 5 2 2" xfId="2345"/>
    <cellStyle name="_RRS3 5 3" xfId="2344"/>
    <cellStyle name="_RRS3 6" xfId="2336"/>
    <cellStyle name="_RRS4" xfId="145"/>
    <cellStyle name="_RRS4 2" xfId="146"/>
    <cellStyle name="_RRS4 2 2" xfId="147"/>
    <cellStyle name="_RRS4 2 2 2" xfId="148"/>
    <cellStyle name="_RRS4 2 2 2 2" xfId="2349"/>
    <cellStyle name="_RRS4 2 2 3" xfId="2348"/>
    <cellStyle name="_RRS4 2 3" xfId="149"/>
    <cellStyle name="_RRS4 2 3 2" xfId="2350"/>
    <cellStyle name="_RRS4 2 4" xfId="2347"/>
    <cellStyle name="_RRS4 3" xfId="150"/>
    <cellStyle name="_RRS4 3 2" xfId="151"/>
    <cellStyle name="_RRS4 3 2 2" xfId="2352"/>
    <cellStyle name="_RRS4 3 3" xfId="2351"/>
    <cellStyle name="_RRS4 4" xfId="152"/>
    <cellStyle name="_RRS4 4 2" xfId="2353"/>
    <cellStyle name="_RRS4 5" xfId="153"/>
    <cellStyle name="_RRS4 5 2" xfId="154"/>
    <cellStyle name="_RRS4 5 2 2" xfId="2355"/>
    <cellStyle name="_RRS4 5 3" xfId="2354"/>
    <cellStyle name="_RRS4 6" xfId="2346"/>
    <cellStyle name="_RRS8" xfId="155"/>
    <cellStyle name="_RRS8 2" xfId="2356"/>
    <cellStyle name="_sftwre_Dec08" xfId="156"/>
    <cellStyle name="_Sheet1" xfId="157"/>
    <cellStyle name="_SUMMARY " xfId="158"/>
    <cellStyle name="_SUMMARY  10" xfId="159"/>
    <cellStyle name="_SUMMARY  10 2" xfId="160"/>
    <cellStyle name="_SUMMARY  10 2 2" xfId="161"/>
    <cellStyle name="_SUMMARY  10 2 2 2" xfId="2359"/>
    <cellStyle name="_SUMMARY  10 2 3" xfId="2358"/>
    <cellStyle name="_SUMMARY  10 3" xfId="162"/>
    <cellStyle name="_SUMMARY  10 3 2" xfId="163"/>
    <cellStyle name="_SUMMARY  10 3 2 2" xfId="2361"/>
    <cellStyle name="_SUMMARY  10 3 3" xfId="2360"/>
    <cellStyle name="_SUMMARY  10 4" xfId="164"/>
    <cellStyle name="_SUMMARY  10 4 2" xfId="2362"/>
    <cellStyle name="_SUMMARY  10 5" xfId="2357"/>
    <cellStyle name="_SUMMARY  11" xfId="165"/>
    <cellStyle name="_SUMMARY  11 2" xfId="166"/>
    <cellStyle name="_SUMMARY  11 2 2" xfId="2364"/>
    <cellStyle name="_SUMMARY  11 3" xfId="2363"/>
    <cellStyle name="_SUMMARY  12" xfId="167"/>
    <cellStyle name="_SUMMARY  12 2" xfId="168"/>
    <cellStyle name="_SUMMARY  12 2 2" xfId="2366"/>
    <cellStyle name="_SUMMARY  12 3" xfId="2365"/>
    <cellStyle name="_SUMMARY  2" xfId="169"/>
    <cellStyle name="_SUMMARY  2 2" xfId="170"/>
    <cellStyle name="_SUMMARY  2 2 2" xfId="171"/>
    <cellStyle name="_SUMMARY  2 2 2 2" xfId="2369"/>
    <cellStyle name="_SUMMARY  2 2 3" xfId="2368"/>
    <cellStyle name="_SUMMARY  2 3" xfId="172"/>
    <cellStyle name="_SUMMARY  2 3 2" xfId="2370"/>
    <cellStyle name="_SUMMARY  2 4" xfId="2367"/>
    <cellStyle name="_SUMMARY  3" xfId="173"/>
    <cellStyle name="_SUMMARY  3 2" xfId="174"/>
    <cellStyle name="_SUMMARY  3 2 2" xfId="175"/>
    <cellStyle name="_SUMMARY  3 2 2 2" xfId="176"/>
    <cellStyle name="_SUMMARY  3 2 2 2 2" xfId="2374"/>
    <cellStyle name="_SUMMARY  3 2 2 3" xfId="2373"/>
    <cellStyle name="_SUMMARY  3 2 3" xfId="177"/>
    <cellStyle name="_SUMMARY  3 2 3 2" xfId="2375"/>
    <cellStyle name="_SUMMARY  3 2 4" xfId="2372"/>
    <cellStyle name="_SUMMARY  3 3" xfId="178"/>
    <cellStyle name="_SUMMARY  3 3 2" xfId="179"/>
    <cellStyle name="_SUMMARY  3 3 2 2" xfId="2377"/>
    <cellStyle name="_SUMMARY  3 3 3" xfId="2376"/>
    <cellStyle name="_SUMMARY  3 4" xfId="180"/>
    <cellStyle name="_SUMMARY  3 4 2" xfId="2378"/>
    <cellStyle name="_SUMMARY  3 5" xfId="2371"/>
    <cellStyle name="_SUMMARY  4" xfId="181"/>
    <cellStyle name="_SUMMARY  4 2" xfId="182"/>
    <cellStyle name="_SUMMARY  4 2 2" xfId="183"/>
    <cellStyle name="_SUMMARY  4 2 2 2" xfId="2381"/>
    <cellStyle name="_SUMMARY  4 2 3" xfId="2380"/>
    <cellStyle name="_SUMMARY  4 3" xfId="184"/>
    <cellStyle name="_SUMMARY  4 3 2" xfId="185"/>
    <cellStyle name="_SUMMARY  4 3 2 2" xfId="2383"/>
    <cellStyle name="_SUMMARY  4 3 3" xfId="2382"/>
    <cellStyle name="_SUMMARY  4 4" xfId="186"/>
    <cellStyle name="_SUMMARY  4 4 2" xfId="2384"/>
    <cellStyle name="_SUMMARY  4 5" xfId="2379"/>
    <cellStyle name="_SUMMARY  5" xfId="187"/>
    <cellStyle name="_SUMMARY  5 2" xfId="188"/>
    <cellStyle name="_SUMMARY  5 2 2" xfId="189"/>
    <cellStyle name="_SUMMARY  5 2 2 2" xfId="2387"/>
    <cellStyle name="_SUMMARY  5 2 3" xfId="2386"/>
    <cellStyle name="_SUMMARY  5 3" xfId="190"/>
    <cellStyle name="_SUMMARY  5 3 2" xfId="2388"/>
    <cellStyle name="_SUMMARY  5 4" xfId="2385"/>
    <cellStyle name="_SUMMARY  6" xfId="191"/>
    <cellStyle name="_SUMMARY  6 2" xfId="192"/>
    <cellStyle name="_SUMMARY  6 2 2" xfId="193"/>
    <cellStyle name="_SUMMARY  6 2 2 2" xfId="2391"/>
    <cellStyle name="_SUMMARY  6 2 3" xfId="2390"/>
    <cellStyle name="_SUMMARY  6 3" xfId="194"/>
    <cellStyle name="_SUMMARY  6 3 2" xfId="2392"/>
    <cellStyle name="_SUMMARY  6 4" xfId="2389"/>
    <cellStyle name="_SUMMARY  7" xfId="195"/>
    <cellStyle name="_SUMMARY  7 2" xfId="196"/>
    <cellStyle name="_SUMMARY  7 2 2" xfId="2394"/>
    <cellStyle name="_SUMMARY  7 3" xfId="197"/>
    <cellStyle name="_SUMMARY  7 3 2" xfId="2395"/>
    <cellStyle name="_SUMMARY  7 4" xfId="2393"/>
    <cellStyle name="_SUMMARY  8" xfId="198"/>
    <cellStyle name="_SUMMARY  8 2" xfId="199"/>
    <cellStyle name="_SUMMARY  8 2 2" xfId="2397"/>
    <cellStyle name="_SUMMARY  8 3" xfId="2396"/>
    <cellStyle name="_SUMMARY  9" xfId="200"/>
    <cellStyle name="_SUMMARY  9 2" xfId="2398"/>
    <cellStyle name="_SUMMARY _RRST1" xfId="201"/>
    <cellStyle name="_SUMMARY _RRST1 2" xfId="2399"/>
    <cellStyle name="_SUMMARY _RRST6" xfId="202"/>
    <cellStyle name="_SUMMARY _RRST6 2" xfId="2400"/>
    <cellStyle name="_SUMMARY _tablet" xfId="13636"/>
    <cellStyle name="_Survey form sample" xfId="203"/>
    <cellStyle name="_SWKS WIPsls" xfId="204"/>
    <cellStyle name="_SWKS WIPsls 2" xfId="2401"/>
    <cellStyle name="_SWKS_113010" xfId="205"/>
    <cellStyle name="_SWKS_113010 2" xfId="206"/>
    <cellStyle name="_SWKS_113010 2 2" xfId="207"/>
    <cellStyle name="_SWKS_113010 2 2 2" xfId="208"/>
    <cellStyle name="_SWKS_113010 2 2 2 2" xfId="2405"/>
    <cellStyle name="_SWKS_113010 2 2 3" xfId="2404"/>
    <cellStyle name="_SWKS_113010 2 3" xfId="209"/>
    <cellStyle name="_SWKS_113010 2 3 2" xfId="2406"/>
    <cellStyle name="_SWKS_113010 2 4" xfId="2403"/>
    <cellStyle name="_SWKS_113010 3" xfId="210"/>
    <cellStyle name="_SWKS_113010 3 2" xfId="211"/>
    <cellStyle name="_SWKS_113010 3 2 2" xfId="2408"/>
    <cellStyle name="_SWKS_113010 3 3" xfId="2407"/>
    <cellStyle name="_SWKS_113010 4" xfId="212"/>
    <cellStyle name="_SWKS_113010 4 2" xfId="2409"/>
    <cellStyle name="_SWKS_113010 5" xfId="2402"/>
    <cellStyle name="_SWKS_122210" xfId="213"/>
    <cellStyle name="_SWKS_122210 2" xfId="214"/>
    <cellStyle name="_SWKS_122210 2 2" xfId="215"/>
    <cellStyle name="_SWKS_122210 2 2 2" xfId="216"/>
    <cellStyle name="_SWKS_122210 2 2 2 2" xfId="2413"/>
    <cellStyle name="_SWKS_122210 2 2 3" xfId="2412"/>
    <cellStyle name="_SWKS_122210 2 3" xfId="217"/>
    <cellStyle name="_SWKS_122210 2 3 2" xfId="2414"/>
    <cellStyle name="_SWKS_122210 2 4" xfId="2411"/>
    <cellStyle name="_SWKS_122210 3" xfId="218"/>
    <cellStyle name="_SWKS_122210 3 2" xfId="219"/>
    <cellStyle name="_SWKS_122210 3 2 2" xfId="2416"/>
    <cellStyle name="_SWKS_122210 3 3" xfId="2415"/>
    <cellStyle name="_SWKS_122210 4" xfId="220"/>
    <cellStyle name="_SWKS_122210 4 2" xfId="2417"/>
    <cellStyle name="_SWKS_122210 5" xfId="2410"/>
    <cellStyle name="_Taiwan" xfId="13637"/>
    <cellStyle name="_Taiwan_Valuation" xfId="13638"/>
    <cellStyle name="_Taiwan_Valuation_ (WIP)" xfId="13639"/>
    <cellStyle name="_Taiwan_Valuation_ BYD1211" xfId="13640"/>
    <cellStyle name="_Taiwan_Valuation_ Hon Hai" xfId="13641"/>
    <cellStyle name="_Taiwan_Valuation_(WIP)" xfId="13642"/>
    <cellStyle name="_Taiwan_Valuation_0208" xfId="13643"/>
    <cellStyle name="_Taiwan_Valuation_daily HW_093009" xfId="13644"/>
    <cellStyle name="_Taiwan_Valuation_New" xfId="13645"/>
    <cellStyle name="_Taiwan_Valuation_Presentation(Handset)" xfId="13646"/>
    <cellStyle name="_Taiwan_Valuation_Tim(WIP)" xfId="13647"/>
    <cellStyle name="_Taiwan_Valuation_WIP" xfId="13648"/>
    <cellStyle name="_Telecom Constraint" xfId="221"/>
    <cellStyle name="_Template Stats" xfId="222"/>
    <cellStyle name="_TXN modelware NEW" xfId="223"/>
    <cellStyle name="_US GAAP" xfId="13649"/>
    <cellStyle name="_US GAAP_Valuation" xfId="13650"/>
    <cellStyle name="_US GAAP_Valuation_ (WIP)" xfId="13651"/>
    <cellStyle name="_US GAAP_Valuation_ BYD1211" xfId="13652"/>
    <cellStyle name="_US GAAP_Valuation_ Hon Hai" xfId="13653"/>
    <cellStyle name="_US GAAP_Valuation_(WIP)" xfId="13654"/>
    <cellStyle name="_US GAAP_Valuation_0208" xfId="13655"/>
    <cellStyle name="_US GAAP_Valuation_daily HW_093009" xfId="13656"/>
    <cellStyle name="_US GAAP_Valuation_New" xfId="13657"/>
    <cellStyle name="_US GAAP_Valuation_Presentation(Handset)" xfId="13658"/>
    <cellStyle name="_US GAAP_Valuation_Tim(WIP)" xfId="13659"/>
    <cellStyle name="_US GAAP_Valuation_WIP" xfId="13660"/>
    <cellStyle name="_Valuation" xfId="13661"/>
    <cellStyle name="_Valuation_ (WIP)" xfId="13662"/>
    <cellStyle name="_Valuation_ BYD1211" xfId="13663"/>
    <cellStyle name="_Valuation_ Hon Hai" xfId="13664"/>
    <cellStyle name="_Valuation_(WIP)" xfId="13665"/>
    <cellStyle name="_Valuation_0208" xfId="13666"/>
    <cellStyle name="_Valuation_daily HW_093009" xfId="13667"/>
    <cellStyle name="_Valuation_New" xfId="13668"/>
    <cellStyle name="_Valuation_Presentation(Handset)" xfId="13669"/>
    <cellStyle name="_Valuation_ROC RI" xfId="13670"/>
    <cellStyle name="_Valuation_ROC RI_Valuation" xfId="13671"/>
    <cellStyle name="_Valuation_ROC RI_Valuation_ (WIP)" xfId="13672"/>
    <cellStyle name="_Valuation_ROC RI_Valuation_ BYD1211" xfId="13673"/>
    <cellStyle name="_Valuation_ROC RI_Valuation_ Hon Hai" xfId="13674"/>
    <cellStyle name="_Valuation_ROC RI_Valuation_(WIP)" xfId="13675"/>
    <cellStyle name="_Valuation_ROC RI_Valuation_0208" xfId="13676"/>
    <cellStyle name="_Valuation_ROC RI_Valuation_daily HW_093009" xfId="13677"/>
    <cellStyle name="_Valuation_ROC RI_Valuation_New" xfId="13678"/>
    <cellStyle name="_Valuation_ROC RI_Valuation_Presentation(Handset)" xfId="13679"/>
    <cellStyle name="_Valuation_ROC RI_Valuation_Tim(WIP)" xfId="13680"/>
    <cellStyle name="_Valuation_ROC RI_Valuation_WIP" xfId="13681"/>
    <cellStyle name="_Valuation_Tim(WIP)" xfId="13682"/>
    <cellStyle name="_Valuation_WIP" xfId="13683"/>
    <cellStyle name="_WIP_to_published" xfId="224"/>
    <cellStyle name="_WIP_to_published 2" xfId="2418"/>
    <cellStyle name="_Wireline Tel Forecast " xfId="225"/>
    <cellStyle name="_Wireline Tel Forecast  2" xfId="226"/>
    <cellStyle name="_Wireline Tel Forecast  2 2" xfId="2420"/>
    <cellStyle name="_Wireline Tel Forecast  3" xfId="2419"/>
    <cellStyle name="_Zip Stats_2004" xfId="227"/>
    <cellStyle name="’Ê‰Ý [0.00]_GE 3 MINIMUM" xfId="228"/>
    <cellStyle name="’Ê‰Ý_GE 3 MINIMUM" xfId="229"/>
    <cellStyle name="£ BP" xfId="230"/>
    <cellStyle name="¤@¯ë_2311" xfId="13684"/>
    <cellStyle name="¤d¤À¦ì[0]_2311" xfId="13685"/>
    <cellStyle name="¤d¤À¦ì_2311" xfId="13686"/>
    <cellStyle name="¥ JY" xfId="231"/>
    <cellStyle name="=C:\WINNT35\SYSTEM32\COMMAND.COM" xfId="232"/>
    <cellStyle name="=C:\WINNT35\SYSTEM32\COMMAND.COM 2" xfId="233"/>
    <cellStyle name="=C:\WINNT35\SYSTEM32\COMMAND.COM 2 2" xfId="234"/>
    <cellStyle name="=C:\WINNT35\SYSTEM32\COMMAND.COM 2 2 2" xfId="235"/>
    <cellStyle name="=C:\WINNT35\SYSTEM32\COMMAND.COM 2 2 2 2" xfId="2424"/>
    <cellStyle name="=C:\WINNT35\SYSTEM32\COMMAND.COM 2 2 3" xfId="2423"/>
    <cellStyle name="=C:\WINNT35\SYSTEM32\COMMAND.COM 2 3" xfId="236"/>
    <cellStyle name="=C:\WINNT35\SYSTEM32\COMMAND.COM 2 3 2" xfId="2425"/>
    <cellStyle name="=C:\WINNT35\SYSTEM32\COMMAND.COM 2 4" xfId="2422"/>
    <cellStyle name="=C:\WINNT35\SYSTEM32\COMMAND.COM 3" xfId="237"/>
    <cellStyle name="=C:\WINNT35\SYSTEM32\COMMAND.COM 3 2" xfId="238"/>
    <cellStyle name="=C:\WINNT35\SYSTEM32\COMMAND.COM 3 2 2" xfId="2427"/>
    <cellStyle name="=C:\WINNT35\SYSTEM32\COMMAND.COM 3 3" xfId="2426"/>
    <cellStyle name="=C:\WINNT35\SYSTEM32\COMMAND.COM 4" xfId="239"/>
    <cellStyle name="=C:\WINNT35\SYSTEM32\COMMAND.COM 4 2" xfId="2428"/>
    <cellStyle name="=C:\WINNT35\SYSTEM32\COMMAND.COM 5" xfId="240"/>
    <cellStyle name="=C:\WINNT35\SYSTEM32\COMMAND.COM 5 2" xfId="241"/>
    <cellStyle name="=C:\WINNT35\SYSTEM32\COMMAND.COM 5 2 2" xfId="2430"/>
    <cellStyle name="=C:\WINNT35\SYSTEM32\COMMAND.COM 5 3" xfId="2429"/>
    <cellStyle name="=C:\WINNT35\SYSTEM32\COMMAND.COM 6" xfId="2421"/>
    <cellStyle name="•W€_Comparables" xfId="242"/>
    <cellStyle name="•W_GE 3 MINIMUM" xfId="243"/>
    <cellStyle name="0" xfId="244"/>
    <cellStyle name="0 2" xfId="245"/>
    <cellStyle name="0%" xfId="246"/>
    <cellStyle name="0% 2" xfId="247"/>
    <cellStyle name="0% 2 2" xfId="248"/>
    <cellStyle name="0% 2 2 2" xfId="249"/>
    <cellStyle name="0% 2 2 2 2" xfId="2434"/>
    <cellStyle name="0% 2 2 3" xfId="2433"/>
    <cellStyle name="0% 2 3" xfId="250"/>
    <cellStyle name="0% 2 3 2" xfId="2435"/>
    <cellStyle name="0% 2 4" xfId="2432"/>
    <cellStyle name="0% 3" xfId="251"/>
    <cellStyle name="0% 3 2" xfId="252"/>
    <cellStyle name="0% 3 2 2" xfId="2437"/>
    <cellStyle name="0% 3 3" xfId="2436"/>
    <cellStyle name="0% 4" xfId="253"/>
    <cellStyle name="0% 4 2" xfId="2438"/>
    <cellStyle name="0% 5" xfId="254"/>
    <cellStyle name="0% 5 2" xfId="255"/>
    <cellStyle name="0% 5 2 2" xfId="2440"/>
    <cellStyle name="0% 5 3" xfId="2439"/>
    <cellStyle name="0% 6" xfId="2431"/>
    <cellStyle name="0,0_x000d__x000a_NA_x000d__x000a_" xfId="256"/>
    <cellStyle name="0,0_x000d__x000a_NA_x000d__x000a_ 2" xfId="257"/>
    <cellStyle name="0,0_x000d__x000a_NA_x000d__x000a_ 2 2" xfId="2442"/>
    <cellStyle name="0,0_x000d__x000a_NA_x000d__x000a_ 3" xfId="2441"/>
    <cellStyle name="0,0_x000d__x000a_NA_x000d__x000a__Pivot Table Tips" xfId="258"/>
    <cellStyle name="0.0" xfId="259"/>
    <cellStyle name="0.0 2" xfId="260"/>
    <cellStyle name="0.0%" xfId="261"/>
    <cellStyle name="0.0% 2" xfId="262"/>
    <cellStyle name="0.0_Annual non-con" xfId="13687"/>
    <cellStyle name="0.00" xfId="263"/>
    <cellStyle name="0.00 2" xfId="264"/>
    <cellStyle name="0.00%" xfId="265"/>
    <cellStyle name="0.00% 2" xfId="266"/>
    <cellStyle name="0.00_Annual non-con" xfId="13688"/>
    <cellStyle name="0_Annual non-con" xfId="13689"/>
    <cellStyle name="0_Annual non-con_Valuation" xfId="13690"/>
    <cellStyle name="0_Annual non-con_Valuation_ (WIP)" xfId="13691"/>
    <cellStyle name="0_Annual non-con_Valuation_ BYD1211" xfId="13692"/>
    <cellStyle name="0_Annual non-con_Valuation_ Hon Hai" xfId="13693"/>
    <cellStyle name="0_Annual non-con_Valuation_(WIP)" xfId="13694"/>
    <cellStyle name="0_Annual non-con_Valuation_0208" xfId="13695"/>
    <cellStyle name="0_Annual non-con_Valuation_daily HW_093009" xfId="13696"/>
    <cellStyle name="0_Annual non-con_Valuation_New" xfId="13697"/>
    <cellStyle name="0_Annual non-con_Valuation_Presentation(Handset)" xfId="13698"/>
    <cellStyle name="0_Annual non-con_Valuation_Tim(WIP)" xfId="13699"/>
    <cellStyle name="0_Annual non-con_Valuation_WIP" xfId="13700"/>
    <cellStyle name="0_Capex &amp; Depreciation " xfId="267"/>
    <cellStyle name="0_Capex &amp; Depreciation  2" xfId="268"/>
    <cellStyle name="0_Capex &amp; Depreciation  2 2" xfId="269"/>
    <cellStyle name="0_Capex &amp; Depreciation _RRST1" xfId="270"/>
    <cellStyle name="0_Capex &amp; Depreciation _RRST1 2" xfId="271"/>
    <cellStyle name="0_Capex &amp; Depreciation _RRST12" xfId="272"/>
    <cellStyle name="0_Capex &amp; Depreciation _RRST19" xfId="273"/>
    <cellStyle name="0_Capex &amp; Depreciation _RRST19 2" xfId="274"/>
    <cellStyle name="0_Capex &amp; Depreciation _RRST20" xfId="275"/>
    <cellStyle name="0_Capex &amp; Depreciation _RRST20 2" xfId="276"/>
    <cellStyle name="0_Capex &amp; Depreciation _RRST3" xfId="277"/>
    <cellStyle name="0_Capex &amp; Depreciation _RRST6" xfId="278"/>
    <cellStyle name="0_Capex &amp; Depreciation _RRST6 2" xfId="279"/>
    <cellStyle name="0_Capex &amp; Depreciation _RRST9" xfId="280"/>
    <cellStyle name="0_Capex &amp; Depreciation _RRST9 2" xfId="281"/>
    <cellStyle name="0_Capex &amp; Depreciation _tablet" xfId="13701"/>
    <cellStyle name="0_handset shipment_April04" xfId="13702"/>
    <cellStyle name="0_handset shipment_April04_Valuation" xfId="13703"/>
    <cellStyle name="0_handset shipment_April04_Valuation_ (WIP)" xfId="13704"/>
    <cellStyle name="0_handset shipment_April04_Valuation_ BYD1211" xfId="13705"/>
    <cellStyle name="0_handset shipment_April04_Valuation_ Hon Hai" xfId="13706"/>
    <cellStyle name="0_handset shipment_April04_Valuation_(WIP)" xfId="13707"/>
    <cellStyle name="0_handset shipment_April04_Valuation_0208" xfId="13708"/>
    <cellStyle name="0_handset shipment_April04_Valuation_daily HW_093009" xfId="13709"/>
    <cellStyle name="0_handset shipment_April04_Valuation_New" xfId="13710"/>
    <cellStyle name="0_handset shipment_April04_Valuation_Presentation(Handset)" xfId="13711"/>
    <cellStyle name="0_handset shipment_April04_Valuation_Tim(WIP)" xfId="13712"/>
    <cellStyle name="0_handset shipment_April04_Valuation_WIP" xfId="13713"/>
    <cellStyle name="0_Monthly Shipment" xfId="13714"/>
    <cellStyle name="0_Monthly Shipment_Valuation" xfId="13715"/>
    <cellStyle name="0_Monthly Shipment_Valuation_ (WIP)" xfId="13716"/>
    <cellStyle name="0_Monthly Shipment_Valuation_ BYD1211" xfId="13717"/>
    <cellStyle name="0_Monthly Shipment_Valuation_ Hon Hai" xfId="13718"/>
    <cellStyle name="0_Monthly Shipment_Valuation_(WIP)" xfId="13719"/>
    <cellStyle name="0_Monthly Shipment_Valuation_0208" xfId="13720"/>
    <cellStyle name="0_Monthly Shipment_Valuation_daily HW_093009" xfId="13721"/>
    <cellStyle name="0_Monthly Shipment_Valuation_New" xfId="13722"/>
    <cellStyle name="0_Monthly Shipment_Valuation_Presentation(Handset)" xfId="13723"/>
    <cellStyle name="0_Monthly Shipment_Valuation_Tim(WIP)" xfId="13724"/>
    <cellStyle name="0_Monthly Shipment_Valuation_WIP" xfId="13725"/>
    <cellStyle name="0_Valuation_daily HW_Working_new_p" xfId="13726"/>
    <cellStyle name="0_Valuing BP " xfId="282"/>
    <cellStyle name="0_Valuing BP  2" xfId="283"/>
    <cellStyle name="0_Valuing BP  2 2" xfId="284"/>
    <cellStyle name="0_Valuing BP _RRST1" xfId="285"/>
    <cellStyle name="0_Valuing BP _RRST1 2" xfId="286"/>
    <cellStyle name="0_Valuing BP _RRST12" xfId="287"/>
    <cellStyle name="0_Valuing BP _RRST19" xfId="288"/>
    <cellStyle name="0_Valuing BP _RRST19 2" xfId="289"/>
    <cellStyle name="0_Valuing BP _RRST20" xfId="290"/>
    <cellStyle name="0_Valuing BP _RRST20 2" xfId="291"/>
    <cellStyle name="0_Valuing BP _RRST3" xfId="292"/>
    <cellStyle name="0_Valuing BP _RRST6" xfId="293"/>
    <cellStyle name="0_Valuing BP _RRST6 2" xfId="294"/>
    <cellStyle name="0_Valuing BP _RRST9" xfId="295"/>
    <cellStyle name="0_Valuing BP _RRST9 2" xfId="296"/>
    <cellStyle name="0_Valuing BP _tablet" xfId="13727"/>
    <cellStyle name="0_Wireline Tel Forecast " xfId="297"/>
    <cellStyle name="0_Wireline Tel Forecast  2" xfId="298"/>
    <cellStyle name="0_Wireline Tel Forecast  2 2" xfId="299"/>
    <cellStyle name="1,comma" xfId="300"/>
    <cellStyle name="1,comma 2" xfId="301"/>
    <cellStyle name="1,comma 2 2" xfId="302"/>
    <cellStyle name="1,comma 2 2 2" xfId="303"/>
    <cellStyle name="1,comma 2 2 2 2" xfId="2446"/>
    <cellStyle name="1,comma 2 2 3" xfId="2445"/>
    <cellStyle name="1,comma 2 3" xfId="304"/>
    <cellStyle name="1,comma 2 3 2" xfId="2447"/>
    <cellStyle name="1,comma 2 4" xfId="2444"/>
    <cellStyle name="1,comma 3" xfId="305"/>
    <cellStyle name="1,comma 3 2" xfId="306"/>
    <cellStyle name="1,comma 3 2 2" xfId="2449"/>
    <cellStyle name="1,comma 3 3" xfId="2448"/>
    <cellStyle name="1,comma 4" xfId="307"/>
    <cellStyle name="1,comma 4 2" xfId="2450"/>
    <cellStyle name="1,comma 5" xfId="308"/>
    <cellStyle name="1,comma 5 2" xfId="309"/>
    <cellStyle name="1,comma 5 2 2" xfId="2452"/>
    <cellStyle name="1,comma 5 3" xfId="2451"/>
    <cellStyle name="1,comma 6" xfId="2443"/>
    <cellStyle name="20% - Accent1" xfId="310" builtinId="30" customBuiltin="1"/>
    <cellStyle name="20% - Accent1 2" xfId="311"/>
    <cellStyle name="20% - Accent1 2 2" xfId="312"/>
    <cellStyle name="20% - Accent1 3" xfId="313"/>
    <cellStyle name="20% - Accent2" xfId="314" builtinId="34" customBuiltin="1"/>
    <cellStyle name="20% - Accent2 2" xfId="315"/>
    <cellStyle name="20% - Accent2 2 2" xfId="316"/>
    <cellStyle name="20% - Accent2 3" xfId="317"/>
    <cellStyle name="20% - Accent3" xfId="318" builtinId="38" customBuiltin="1"/>
    <cellStyle name="20% - Accent3 2" xfId="319"/>
    <cellStyle name="20% - Accent3 2 2" xfId="320"/>
    <cellStyle name="20% - Accent3 3" xfId="321"/>
    <cellStyle name="20% - Accent4" xfId="322" builtinId="42" customBuiltin="1"/>
    <cellStyle name="20% - Accent4 2" xfId="323"/>
    <cellStyle name="20% - Accent4 2 2" xfId="324"/>
    <cellStyle name="20% - Accent4 3" xfId="325"/>
    <cellStyle name="20% - Accent5" xfId="326" builtinId="46" customBuiltin="1"/>
    <cellStyle name="20% - Accent5 2" xfId="327"/>
    <cellStyle name="20% - Accent5 2 2" xfId="328"/>
    <cellStyle name="20% - Accent5 3" xfId="329"/>
    <cellStyle name="20% - Accent6" xfId="330" builtinId="50" customBuiltin="1"/>
    <cellStyle name="20% - Accent6 2" xfId="331"/>
    <cellStyle name="20% - Accent6 2 2" xfId="332"/>
    <cellStyle name="20% - Accent6 3" xfId="333"/>
    <cellStyle name="3232" xfId="13728"/>
    <cellStyle name="3232 2" xfId="13729"/>
    <cellStyle name="³f¹ô [0]_2311" xfId="13730"/>
    <cellStyle name="³f¹ô_2311" xfId="13731"/>
    <cellStyle name="40% - Accent1" xfId="334" builtinId="31" customBuiltin="1"/>
    <cellStyle name="40% - Accent1 2" xfId="335"/>
    <cellStyle name="40% - Accent1 2 2" xfId="336"/>
    <cellStyle name="40% - Accent1 3" xfId="337"/>
    <cellStyle name="40% - Accent2" xfId="338" builtinId="35" customBuiltin="1"/>
    <cellStyle name="40% - Accent2 2" xfId="339"/>
    <cellStyle name="40% - Accent2 2 2" xfId="340"/>
    <cellStyle name="40% - Accent2 3" xfId="341"/>
    <cellStyle name="40% - Accent3" xfId="342" builtinId="39" customBuiltin="1"/>
    <cellStyle name="40% - Accent3 2" xfId="343"/>
    <cellStyle name="40% - Accent3 2 2" xfId="344"/>
    <cellStyle name="40% - Accent3 3" xfId="345"/>
    <cellStyle name="40% - Accent4" xfId="346" builtinId="43" customBuiltin="1"/>
    <cellStyle name="40% - Accent4 2" xfId="347"/>
    <cellStyle name="40% - Accent4 2 2" xfId="348"/>
    <cellStyle name="40% - Accent4 3" xfId="349"/>
    <cellStyle name="40% - Accent5" xfId="350" builtinId="47" customBuiltin="1"/>
    <cellStyle name="40% - Accent5 2" xfId="351"/>
    <cellStyle name="40% - Accent5 2 2" xfId="352"/>
    <cellStyle name="40% - Accent5 3" xfId="353"/>
    <cellStyle name="40% - Accent6" xfId="354" builtinId="51" customBuiltin="1"/>
    <cellStyle name="40% - Accent6 2" xfId="355"/>
    <cellStyle name="40% - Accent6 2 2" xfId="356"/>
    <cellStyle name="40% - Accent6 3" xfId="357"/>
    <cellStyle name="60% - Accent1" xfId="358" builtinId="32" customBuiltin="1"/>
    <cellStyle name="60% - Accent1 2" xfId="359"/>
    <cellStyle name="60% - Accent1 3" xfId="360"/>
    <cellStyle name="60% - Accent2" xfId="361" builtinId="36" customBuiltin="1"/>
    <cellStyle name="60% - Accent2 2" xfId="362"/>
    <cellStyle name="60% - Accent2 3" xfId="363"/>
    <cellStyle name="60% - Accent3" xfId="364" builtinId="40" customBuiltin="1"/>
    <cellStyle name="60% - Accent3 2" xfId="365"/>
    <cellStyle name="60% - Accent3 3" xfId="366"/>
    <cellStyle name="60% - Accent4" xfId="367" builtinId="44" customBuiltin="1"/>
    <cellStyle name="60% - Accent4 2" xfId="368"/>
    <cellStyle name="60% - Accent4 3" xfId="369"/>
    <cellStyle name="60% - Accent5" xfId="370" builtinId="48" customBuiltin="1"/>
    <cellStyle name="60% - Accent5 2" xfId="371"/>
    <cellStyle name="60% - Accent5 3" xfId="372"/>
    <cellStyle name="60% - Accent6" xfId="373" builtinId="52" customBuiltin="1"/>
    <cellStyle name="60% - Accent6 2" xfId="374"/>
    <cellStyle name="60% - Accent6 3" xfId="375"/>
    <cellStyle name="752131" xfId="376"/>
    <cellStyle name="A¨­￠￢￠O [0]_¨oCAuCoEⓒ÷ " xfId="13732"/>
    <cellStyle name="A¨­￠￢￠O_¨oCAuCoEⓒ÷ " xfId="13733"/>
    <cellStyle name="Accent1" xfId="377" builtinId="29" customBuiltin="1"/>
    <cellStyle name="Accent1 2" xfId="378"/>
    <cellStyle name="Accent1 3" xfId="379"/>
    <cellStyle name="Accent2" xfId="380" builtinId="33" customBuiltin="1"/>
    <cellStyle name="Accent2 2" xfId="381"/>
    <cellStyle name="Accent2 3" xfId="382"/>
    <cellStyle name="Accent3" xfId="383" builtinId="37" customBuiltin="1"/>
    <cellStyle name="Accent3 2" xfId="384"/>
    <cellStyle name="Accent3 3" xfId="385"/>
    <cellStyle name="Accent4" xfId="386" builtinId="41" customBuiltin="1"/>
    <cellStyle name="Accent4 2" xfId="387"/>
    <cellStyle name="Accent4 3" xfId="388"/>
    <cellStyle name="Accent5" xfId="389" builtinId="45" customBuiltin="1"/>
    <cellStyle name="Accent5 2" xfId="390"/>
    <cellStyle name="Accent5 3" xfId="391"/>
    <cellStyle name="Accent6" xfId="392" builtinId="49" customBuiltin="1"/>
    <cellStyle name="Accent6 2" xfId="393"/>
    <cellStyle name="Accent6 3" xfId="394"/>
    <cellStyle name="Acctg" xfId="395"/>
    <cellStyle name="ActgNumber" xfId="396"/>
    <cellStyle name="ActgNumber 2" xfId="397"/>
    <cellStyle name="ActgNumber 3" xfId="398"/>
    <cellStyle name="ActgNumber 3 2" xfId="399"/>
    <cellStyle name="AeE­ [0]_¼oAa½CAu " xfId="13734"/>
    <cellStyle name="ÅëÈ­ [0]_INQUIRY ¿µ¾÷ÃßÁø " xfId="13735"/>
    <cellStyle name="AeE­ [0]_INQUIRY ¿μ¾÷AßAø " xfId="13736"/>
    <cellStyle name="AeE­_¼oAa½CAu " xfId="13737"/>
    <cellStyle name="ÅëÈ­_INQUIRY ¿µ¾÷ÃßÁø " xfId="13738"/>
    <cellStyle name="AeE­_INQUIRY ¿μ¾÷AßAø " xfId="13739"/>
    <cellStyle name="AeE¡ⓒ [0]_¨oCAuCoEⓒ÷ " xfId="13740"/>
    <cellStyle name="AeE¡ⓒ_¨oCAuCoEⓒ÷ " xfId="13741"/>
    <cellStyle name="ales" xfId="400"/>
    <cellStyle name="Analyst Name" xfId="13742"/>
    <cellStyle name="AÞ¸¶ [0]_¼oAa½CAu " xfId="13743"/>
    <cellStyle name="ÄÞ¸¶ [0]_INQUIRY ¿µ¾÷ÃßÁø " xfId="13744"/>
    <cellStyle name="AÞ¸¶ [0]_INQUIRY ¿μ¾÷AßAø " xfId="13745"/>
    <cellStyle name="AÞ¸¶_¼oAa½CAu " xfId="13746"/>
    <cellStyle name="ÄÞ¸¶_INQUIRY ¿µ¾÷ÃßÁø " xfId="13747"/>
    <cellStyle name="AÞ¸¶_INQUIRY ¿μ¾÷AßAø " xfId="13748"/>
    <cellStyle name="Availability" xfId="13749"/>
    <cellStyle name="_x0001_b" xfId="401"/>
    <cellStyle name="Background" xfId="13751"/>
    <cellStyle name="Bad" xfId="402" builtinId="27" customBuiltin="1"/>
    <cellStyle name="Bad 2" xfId="403"/>
    <cellStyle name="Bad 3" xfId="404"/>
    <cellStyle name="Band 2" xfId="405"/>
    <cellStyle name="black - Style1" xfId="13752"/>
    <cellStyle name="blank" xfId="13753"/>
    <cellStyle name="Blue" xfId="406"/>
    <cellStyle name="BLuedashZero" xfId="13754"/>
    <cellStyle name="Bold/Border" xfId="407"/>
    <cellStyle name="Border" xfId="13755"/>
    <cellStyle name="Bullet" xfId="408"/>
    <cellStyle name="C?AØ_laroux_1ON" xfId="13756"/>
    <cellStyle name="c_HardInc " xfId="409"/>
    <cellStyle name="c_HardInc  2" xfId="410"/>
    <cellStyle name="c_HardInc  2 2" xfId="411"/>
    <cellStyle name="c_HardInc _RRST1" xfId="412"/>
    <cellStyle name="c_HardInc _RRST1 2" xfId="413"/>
    <cellStyle name="c_HardInc _RRST12" xfId="414"/>
    <cellStyle name="c_HardInc _RRST19" xfId="415"/>
    <cellStyle name="c_HardInc _RRST19 2" xfId="416"/>
    <cellStyle name="c_HardInc _RRST20" xfId="417"/>
    <cellStyle name="c_HardInc _RRST20 2" xfId="418"/>
    <cellStyle name="c_HardInc _RRST3" xfId="419"/>
    <cellStyle name="c_HardInc _RRST6" xfId="420"/>
    <cellStyle name="c_HardInc _RRST6 2" xfId="421"/>
    <cellStyle name="c_HardInc _RRST9" xfId="422"/>
    <cellStyle name="c_HardInc _RRST9 2" xfId="423"/>
    <cellStyle name="c_HardInc _tablet" xfId="13757"/>
    <cellStyle name="C¡IA¨ª_¡ic¨u¡A¨￢I¨￢¡Æ AN¡Æe " xfId="13758"/>
    <cellStyle name="C￥AØ_  FAB AIA¤  " xfId="13759"/>
    <cellStyle name="Ç¥ÁØ_»ç¾÷ºÎº° ÃÑ°è " xfId="13760"/>
    <cellStyle name="C￥AØ_≫c¾÷ºIº° AN°e " xfId="13761"/>
    <cellStyle name="Ç¥ÁØ_0N-HANDLING " xfId="13762"/>
    <cellStyle name="C￥AØ_¼±AoAc°i_1_³≫ºI°eE¹´e AßA¤A÷AI " xfId="13763"/>
    <cellStyle name="Ç¥ÁØ_5-1±¤°í " xfId="13764"/>
    <cellStyle name="C￥AØ_5-1±¤°i _6RCB1 " xfId="13765"/>
    <cellStyle name="Ç¥ÁØ_Áý°èÇ¥(2¿ù) " xfId="13766"/>
    <cellStyle name="C￥AØ_CoAo¹yAI °A¾×¿ⓒ½A " xfId="13767"/>
    <cellStyle name="Ç¥ÁØ_Sheet1_¿µ¾÷ÇöÈ² " xfId="13768"/>
    <cellStyle name="C05_Style E Text" xfId="424"/>
    <cellStyle name="Calc Currency (0)" xfId="13769"/>
    <cellStyle name="Calc Currency (2)" xfId="13770"/>
    <cellStyle name="Calc Percent (0)" xfId="13771"/>
    <cellStyle name="Calc Percent (1)" xfId="13772"/>
    <cellStyle name="Calc Percent (2)" xfId="13773"/>
    <cellStyle name="Calc Units (0)" xfId="13774"/>
    <cellStyle name="Calc Units (1)" xfId="13775"/>
    <cellStyle name="Calc Units (2)" xfId="13776"/>
    <cellStyle name="Calculation" xfId="425" builtinId="22" customBuiltin="1"/>
    <cellStyle name="Calculation 2" xfId="426"/>
    <cellStyle name="Calculation 3" xfId="427"/>
    <cellStyle name="Cents" xfId="428"/>
    <cellStyle name="Change" xfId="13777"/>
    <cellStyle name="Changeable" xfId="429"/>
    <cellStyle name="Check Cell" xfId="430" builtinId="23" customBuiltin="1"/>
    <cellStyle name="Check Cell 2" xfId="431"/>
    <cellStyle name="Check Cell 3" xfId="432"/>
    <cellStyle name="COL HEADINGS" xfId="13778"/>
    <cellStyle name="Colhead_left" xfId="433"/>
    <cellStyle name="ColHeading" xfId="13779"/>
    <cellStyle name="ColumnHeadings" xfId="434"/>
    <cellStyle name="ColumnHeadings2" xfId="435"/>
    <cellStyle name="Comma" xfId="436" builtinId="3"/>
    <cellStyle name="Comma  - Style1" xfId="437"/>
    <cellStyle name="Comma  - Style2" xfId="438"/>
    <cellStyle name="Comma  - Style3" xfId="439"/>
    <cellStyle name="Comma  - Style4" xfId="440"/>
    <cellStyle name="Comma  - Style5" xfId="441"/>
    <cellStyle name="Comma  - Style6" xfId="442"/>
    <cellStyle name="Comma  - Style7" xfId="443"/>
    <cellStyle name="Comma  - Style8" xfId="444"/>
    <cellStyle name="comma (1)" xfId="13780"/>
    <cellStyle name="Comma [00]" xfId="13781"/>
    <cellStyle name="Comma [1]" xfId="13782"/>
    <cellStyle name="Comma 10" xfId="445"/>
    <cellStyle name="Comma 10 2" xfId="446"/>
    <cellStyle name="Comma 10 2 2" xfId="447"/>
    <cellStyle name="Comma 10 2 2 2" xfId="2455"/>
    <cellStyle name="Comma 10 2 3" xfId="448"/>
    <cellStyle name="Comma 10 2 4" xfId="2454"/>
    <cellStyle name="Comma 10 3" xfId="449"/>
    <cellStyle name="Comma 10 3 2" xfId="450"/>
    <cellStyle name="Comma 10 3 2 2" xfId="2457"/>
    <cellStyle name="Comma 10 3 3" xfId="2456"/>
    <cellStyle name="Comma 10 4" xfId="451"/>
    <cellStyle name="Comma 10 4 2" xfId="2458"/>
    <cellStyle name="Comma 10 5" xfId="452"/>
    <cellStyle name="Comma 10 6" xfId="2453"/>
    <cellStyle name="Comma 10 7" xfId="13783"/>
    <cellStyle name="Comma 100" xfId="453"/>
    <cellStyle name="Comma 100 2" xfId="2459"/>
    <cellStyle name="Comma 101" xfId="454"/>
    <cellStyle name="Comma 101 2" xfId="2460"/>
    <cellStyle name="Comma 102" xfId="455"/>
    <cellStyle name="Comma 102 2" xfId="2461"/>
    <cellStyle name="Comma 103" xfId="456"/>
    <cellStyle name="Comma 103 2" xfId="2462"/>
    <cellStyle name="Comma 104" xfId="457"/>
    <cellStyle name="Comma 104 2" xfId="2463"/>
    <cellStyle name="Comma 105" xfId="458"/>
    <cellStyle name="Comma 105 2" xfId="3649"/>
    <cellStyle name="Comma 106" xfId="459"/>
    <cellStyle name="Comma 106 2" xfId="3650"/>
    <cellStyle name="Comma 107" xfId="460"/>
    <cellStyle name="Comma 107 2" xfId="3651"/>
    <cellStyle name="Comma 108" xfId="461"/>
    <cellStyle name="Comma 108 2" xfId="3652"/>
    <cellStyle name="Comma 109" xfId="462"/>
    <cellStyle name="Comma 109 2" xfId="3653"/>
    <cellStyle name="Comma 11" xfId="463"/>
    <cellStyle name="Comma 11 2" xfId="464"/>
    <cellStyle name="Comma 11 2 2" xfId="465"/>
    <cellStyle name="Comma 11 2 2 2" xfId="2466"/>
    <cellStyle name="Comma 11 2 3" xfId="2465"/>
    <cellStyle name="Comma 11 3" xfId="466"/>
    <cellStyle name="Comma 11 3 2" xfId="467"/>
    <cellStyle name="Comma 11 3 2 2" xfId="2468"/>
    <cellStyle name="Comma 11 3 3" xfId="2467"/>
    <cellStyle name="Comma 11 4" xfId="468"/>
    <cellStyle name="Comma 11 4 2" xfId="2469"/>
    <cellStyle name="Comma 11 5" xfId="2464"/>
    <cellStyle name="Comma 12" xfId="469"/>
    <cellStyle name="Comma 12 2" xfId="470"/>
    <cellStyle name="Comma 12 2 2" xfId="2471"/>
    <cellStyle name="Comma 12 3" xfId="471"/>
    <cellStyle name="Comma 12 3 2" xfId="2472"/>
    <cellStyle name="Comma 12 4" xfId="2470"/>
    <cellStyle name="Comma 13" xfId="472"/>
    <cellStyle name="Comma 13 2" xfId="473"/>
    <cellStyle name="Comma 13 2 2" xfId="2474"/>
    <cellStyle name="Comma 13 3" xfId="474"/>
    <cellStyle name="Comma 13 3 2" xfId="2475"/>
    <cellStyle name="Comma 13 4" xfId="2473"/>
    <cellStyle name="Comma 14" xfId="475"/>
    <cellStyle name="Comma 14 2" xfId="476"/>
    <cellStyle name="Comma 14 2 2" xfId="2477"/>
    <cellStyle name="Comma 14 3" xfId="477"/>
    <cellStyle name="Comma 14 3 2" xfId="2478"/>
    <cellStyle name="Comma 14 4" xfId="2476"/>
    <cellStyle name="Comma 15" xfId="478"/>
    <cellStyle name="Comma 15 2" xfId="479"/>
    <cellStyle name="Comma 15 2 2" xfId="2480"/>
    <cellStyle name="Comma 15 3" xfId="2479"/>
    <cellStyle name="Comma 16" xfId="480"/>
    <cellStyle name="Comma 16 2" xfId="481"/>
    <cellStyle name="Comma 16 2 2" xfId="2482"/>
    <cellStyle name="Comma 16 3" xfId="2481"/>
    <cellStyle name="Comma 17" xfId="482"/>
    <cellStyle name="Comma 17 2" xfId="483"/>
    <cellStyle name="Comma 17 2 2" xfId="484"/>
    <cellStyle name="Comma 17 2 2 2" xfId="2485"/>
    <cellStyle name="Comma 17 2 3" xfId="2484"/>
    <cellStyle name="Comma 17 3" xfId="485"/>
    <cellStyle name="Comma 17 3 2" xfId="2486"/>
    <cellStyle name="Comma 17 4" xfId="2483"/>
    <cellStyle name="Comma 18" xfId="486"/>
    <cellStyle name="Comma 18 2" xfId="487"/>
    <cellStyle name="Comma 18 2 2" xfId="488"/>
    <cellStyle name="Comma 18 2 2 2" xfId="2489"/>
    <cellStyle name="Comma 18 2 3" xfId="2488"/>
    <cellStyle name="Comma 18 3" xfId="489"/>
    <cellStyle name="Comma 18 3 2" xfId="2490"/>
    <cellStyle name="Comma 18 4" xfId="2487"/>
    <cellStyle name="Comma 19" xfId="490"/>
    <cellStyle name="Comma 19 2" xfId="491"/>
    <cellStyle name="Comma 19 2 2" xfId="492"/>
    <cellStyle name="Comma 19 2 2 2" xfId="2492"/>
    <cellStyle name="Comma 19 2 3" xfId="2491"/>
    <cellStyle name="Comma 19 3" xfId="493"/>
    <cellStyle name="Comma 19 3 2" xfId="2493"/>
    <cellStyle name="Comma 19 4" xfId="494"/>
    <cellStyle name="Comma 19 4 2" xfId="495"/>
    <cellStyle name="Comma 19 4 2 2" xfId="496"/>
    <cellStyle name="Comma 19 4 2 2 2" xfId="497"/>
    <cellStyle name="Comma 19 4 2 2 3" xfId="498"/>
    <cellStyle name="Comma 19 4 2 2 3 2" xfId="499"/>
    <cellStyle name="Comma 19 4 2 2 4" xfId="500"/>
    <cellStyle name="Comma 19 4 2 2 4 2" xfId="501"/>
    <cellStyle name="Comma 19 4 2 3" xfId="502"/>
    <cellStyle name="Comma 19 4 2 4" xfId="503"/>
    <cellStyle name="Comma 19 4 2 4 2" xfId="504"/>
    <cellStyle name="Comma 19 4 2 5" xfId="505"/>
    <cellStyle name="Comma 19 4 2 5 2" xfId="506"/>
    <cellStyle name="Comma 19 4 3" xfId="507"/>
    <cellStyle name="Comma 19 4 3 2" xfId="508"/>
    <cellStyle name="Comma 19 4 3 3" xfId="509"/>
    <cellStyle name="Comma 19 4 3 3 2" xfId="510"/>
    <cellStyle name="Comma 19 4 3 4" xfId="511"/>
    <cellStyle name="Comma 19 4 3 4 2" xfId="512"/>
    <cellStyle name="Comma 19 4 4" xfId="513"/>
    <cellStyle name="Comma 19 4 5" xfId="514"/>
    <cellStyle name="Comma 19 4 5 2" xfId="515"/>
    <cellStyle name="Comma 19 4 6" xfId="516"/>
    <cellStyle name="Comma 19 4 6 2" xfId="517"/>
    <cellStyle name="Comma 19 5" xfId="518"/>
    <cellStyle name="Comma 19 5 2" xfId="519"/>
    <cellStyle name="Comma 19 5 2 2" xfId="520"/>
    <cellStyle name="Comma 19 5 2 3" xfId="521"/>
    <cellStyle name="Comma 19 5 2 3 2" xfId="522"/>
    <cellStyle name="Comma 19 5 2 4" xfId="523"/>
    <cellStyle name="Comma 19 5 2 4 2" xfId="524"/>
    <cellStyle name="Comma 19 5 3" xfId="525"/>
    <cellStyle name="Comma 19 5 4" xfId="526"/>
    <cellStyle name="Comma 19 5 4 2" xfId="527"/>
    <cellStyle name="Comma 19 5 5" xfId="528"/>
    <cellStyle name="Comma 19 5 5 2" xfId="529"/>
    <cellStyle name="Comma 19 6" xfId="530"/>
    <cellStyle name="Comma 19 6 2" xfId="531"/>
    <cellStyle name="Comma 19 6 2 2" xfId="2495"/>
    <cellStyle name="Comma 19 6 3" xfId="532"/>
    <cellStyle name="Comma 19 6 3 2" xfId="533"/>
    <cellStyle name="Comma 19 6 4" xfId="534"/>
    <cellStyle name="Comma 19 6 4 2" xfId="535"/>
    <cellStyle name="Comma 19 6 5" xfId="2494"/>
    <cellStyle name="Comma 19 7" xfId="536"/>
    <cellStyle name="Comma 19 7 2" xfId="537"/>
    <cellStyle name="Comma 19 7 2 2" xfId="538"/>
    <cellStyle name="Comma 19 7 3" xfId="539"/>
    <cellStyle name="Comma 2" xfId="540"/>
    <cellStyle name="Comma 2 2" xfId="541"/>
    <cellStyle name="Comma 2 2 2" xfId="542"/>
    <cellStyle name="Comma 2 2 2 2" xfId="2498"/>
    <cellStyle name="Comma 2 2 3" xfId="2497"/>
    <cellStyle name="Comma 2 3" xfId="543"/>
    <cellStyle name="Comma 2 3 2" xfId="544"/>
    <cellStyle name="Comma 2 3 2 2" xfId="2499"/>
    <cellStyle name="Comma 2 3 3" xfId="545"/>
    <cellStyle name="Comma 2 4" xfId="546"/>
    <cellStyle name="Comma 2 5" xfId="2496"/>
    <cellStyle name="Comma 2_Exhibits" xfId="547"/>
    <cellStyle name="Comma 20" xfId="548"/>
    <cellStyle name="Comma 20 2" xfId="549"/>
    <cellStyle name="Comma 20 2 2" xfId="550"/>
    <cellStyle name="Comma 20 2 2 2" xfId="2502"/>
    <cellStyle name="Comma 20 2 3" xfId="2501"/>
    <cellStyle name="Comma 20 3" xfId="551"/>
    <cellStyle name="Comma 20 3 2" xfId="2503"/>
    <cellStyle name="Comma 20 4" xfId="2500"/>
    <cellStyle name="Comma 21" xfId="552"/>
    <cellStyle name="Comma 21 2" xfId="553"/>
    <cellStyle name="Comma 21 2 2" xfId="554"/>
    <cellStyle name="Comma 21 2 2 2" xfId="2506"/>
    <cellStyle name="Comma 21 2 3" xfId="2505"/>
    <cellStyle name="Comma 21 3" xfId="555"/>
    <cellStyle name="Comma 21 3 2" xfId="2507"/>
    <cellStyle name="Comma 21 4" xfId="2504"/>
    <cellStyle name="Comma 22" xfId="556"/>
    <cellStyle name="Comma 22 2" xfId="557"/>
    <cellStyle name="Comma 22 2 2" xfId="2509"/>
    <cellStyle name="Comma 22 3" xfId="2508"/>
    <cellStyle name="Comma 23" xfId="558"/>
    <cellStyle name="Comma 23 2" xfId="559"/>
    <cellStyle name="Comma 23 2 2" xfId="2511"/>
    <cellStyle name="Comma 23 3" xfId="2510"/>
    <cellStyle name="Comma 24" xfId="560"/>
    <cellStyle name="Comma 24 2" xfId="561"/>
    <cellStyle name="Comma 24 2 2" xfId="2513"/>
    <cellStyle name="Comma 24 3" xfId="2512"/>
    <cellStyle name="Comma 25" xfId="562"/>
    <cellStyle name="Comma 25 2" xfId="563"/>
    <cellStyle name="Comma 25 2 2" xfId="2515"/>
    <cellStyle name="Comma 25 3" xfId="564"/>
    <cellStyle name="Comma 25 3 2" xfId="2516"/>
    <cellStyle name="Comma 25 4" xfId="2514"/>
    <cellStyle name="Comma 26" xfId="565"/>
    <cellStyle name="Comma 26 2" xfId="566"/>
    <cellStyle name="Comma 26 2 2" xfId="2518"/>
    <cellStyle name="Comma 26 3" xfId="567"/>
    <cellStyle name="Comma 26 3 2" xfId="2519"/>
    <cellStyle name="Comma 26 4" xfId="2517"/>
    <cellStyle name="Comma 27" xfId="568"/>
    <cellStyle name="Comma 27 2" xfId="569"/>
    <cellStyle name="Comma 27 2 2" xfId="2521"/>
    <cellStyle name="Comma 27 3" xfId="570"/>
    <cellStyle name="Comma 27 3 2" xfId="2522"/>
    <cellStyle name="Comma 27 4" xfId="2520"/>
    <cellStyle name="Comma 28" xfId="571"/>
    <cellStyle name="Comma 28 2" xfId="572"/>
    <cellStyle name="Comma 28 2 2" xfId="2524"/>
    <cellStyle name="Comma 28 3" xfId="573"/>
    <cellStyle name="Comma 28 3 2" xfId="2525"/>
    <cellStyle name="Comma 28 4" xfId="2523"/>
    <cellStyle name="Comma 29" xfId="574"/>
    <cellStyle name="Comma 29 2" xfId="575"/>
    <cellStyle name="Comma 29 2 2" xfId="2527"/>
    <cellStyle name="Comma 29 3" xfId="2526"/>
    <cellStyle name="Comma 3" xfId="576"/>
    <cellStyle name="Comma 3 2" xfId="577"/>
    <cellStyle name="Comma 3 2 2" xfId="578"/>
    <cellStyle name="Comma 3 2 2 2" xfId="579"/>
    <cellStyle name="Comma 3 2 2 2 2" xfId="2530"/>
    <cellStyle name="Comma 3 2 2 3" xfId="2529"/>
    <cellStyle name="Comma 3 2 3" xfId="580"/>
    <cellStyle name="Comma 3 2 3 2" xfId="2531"/>
    <cellStyle name="Comma 3 2 4" xfId="2528"/>
    <cellStyle name="Comma 3 2 5" xfId="13784"/>
    <cellStyle name="Comma 3 3" xfId="581"/>
    <cellStyle name="Comma 3 3 2" xfId="582"/>
    <cellStyle name="Comma 3 3 2 2" xfId="2533"/>
    <cellStyle name="Comma 3 3 3" xfId="2532"/>
    <cellStyle name="Comma 3 4" xfId="583"/>
    <cellStyle name="Comma 3 4 2" xfId="2534"/>
    <cellStyle name="Comma 3 5" xfId="584"/>
    <cellStyle name="Comma 30" xfId="585"/>
    <cellStyle name="Comma 30 2" xfId="586"/>
    <cellStyle name="Comma 30 2 2" xfId="2536"/>
    <cellStyle name="Comma 30 3" xfId="2535"/>
    <cellStyle name="Comma 31" xfId="587"/>
    <cellStyle name="Comma 31 2" xfId="588"/>
    <cellStyle name="Comma 31 2 2" xfId="2538"/>
    <cellStyle name="Comma 31 3" xfId="2537"/>
    <cellStyle name="Comma 32" xfId="589"/>
    <cellStyle name="Comma 32 2" xfId="590"/>
    <cellStyle name="Comma 32 2 2" xfId="2540"/>
    <cellStyle name="Comma 32 3" xfId="2539"/>
    <cellStyle name="Comma 33" xfId="591"/>
    <cellStyle name="Comma 33 2" xfId="592"/>
    <cellStyle name="Comma 33 2 2" xfId="2542"/>
    <cellStyle name="Comma 33 3" xfId="2541"/>
    <cellStyle name="Comma 34" xfId="593"/>
    <cellStyle name="Comma 34 2" xfId="594"/>
    <cellStyle name="Comma 34 2 2" xfId="2544"/>
    <cellStyle name="Comma 34 3" xfId="2543"/>
    <cellStyle name="Comma 35" xfId="595"/>
    <cellStyle name="Comma 35 2" xfId="596"/>
    <cellStyle name="Comma 35 2 2" xfId="2546"/>
    <cellStyle name="Comma 35 3" xfId="2545"/>
    <cellStyle name="Comma 36" xfId="597"/>
    <cellStyle name="Comma 36 2" xfId="598"/>
    <cellStyle name="Comma 36 2 2" xfId="2548"/>
    <cellStyle name="Comma 36 3" xfId="2547"/>
    <cellStyle name="Comma 37" xfId="599"/>
    <cellStyle name="Comma 37 2" xfId="600"/>
    <cellStyle name="Comma 37 2 2" xfId="2550"/>
    <cellStyle name="Comma 37 3" xfId="2549"/>
    <cellStyle name="Comma 38" xfId="601"/>
    <cellStyle name="Comma 38 2" xfId="602"/>
    <cellStyle name="Comma 38 2 2" xfId="2552"/>
    <cellStyle name="Comma 38 3" xfId="2551"/>
    <cellStyle name="Comma 39" xfId="603"/>
    <cellStyle name="Comma 39 2" xfId="604"/>
    <cellStyle name="Comma 39 2 2" xfId="2554"/>
    <cellStyle name="Comma 39 3" xfId="2553"/>
    <cellStyle name="Comma 4" xfId="605"/>
    <cellStyle name="Comma 4 2" xfId="606"/>
    <cellStyle name="Comma 4 2 2" xfId="607"/>
    <cellStyle name="Comma 4 2 2 2" xfId="2557"/>
    <cellStyle name="Comma 4 2 3" xfId="608"/>
    <cellStyle name="Comma 4 2 3 2" xfId="2558"/>
    <cellStyle name="Comma 4 2 4" xfId="609"/>
    <cellStyle name="Comma 4 2 4 2" xfId="2559"/>
    <cellStyle name="Comma 4 2 5" xfId="2556"/>
    <cellStyle name="Comma 4 3" xfId="610"/>
    <cellStyle name="Comma 4 3 2" xfId="2560"/>
    <cellStyle name="Comma 4 4" xfId="2555"/>
    <cellStyle name="Comma 40" xfId="611"/>
    <cellStyle name="Comma 40 2" xfId="612"/>
    <cellStyle name="Comma 40 2 2" xfId="2562"/>
    <cellStyle name="Comma 40 3" xfId="2561"/>
    <cellStyle name="Comma 41" xfId="613"/>
    <cellStyle name="Comma 41 2" xfId="614"/>
    <cellStyle name="Comma 41 2 2" xfId="2564"/>
    <cellStyle name="Comma 41 3" xfId="2563"/>
    <cellStyle name="Comma 42" xfId="615"/>
    <cellStyle name="Comma 42 2" xfId="616"/>
    <cellStyle name="Comma 42 2 2" xfId="2565"/>
    <cellStyle name="Comma 42 3" xfId="617"/>
    <cellStyle name="Comma 42 3 2" xfId="2566"/>
    <cellStyle name="Comma 42 4" xfId="618"/>
    <cellStyle name="Comma 42 4 2" xfId="619"/>
    <cellStyle name="Comma 42 4 3" xfId="620"/>
    <cellStyle name="Comma 42 4 3 2" xfId="621"/>
    <cellStyle name="Comma 42 4 4" xfId="622"/>
    <cellStyle name="Comma 42 4 4 2" xfId="623"/>
    <cellStyle name="Comma 42 5" xfId="624"/>
    <cellStyle name="Comma 42 6" xfId="625"/>
    <cellStyle name="Comma 42 6 2" xfId="626"/>
    <cellStyle name="Comma 42 7" xfId="627"/>
    <cellStyle name="Comma 42 7 2" xfId="628"/>
    <cellStyle name="Comma 43" xfId="629"/>
    <cellStyle name="Comma 43 2" xfId="630"/>
    <cellStyle name="Comma 43 2 2" xfId="2567"/>
    <cellStyle name="Comma 43 3" xfId="631"/>
    <cellStyle name="Comma 43 3 2" xfId="2568"/>
    <cellStyle name="Comma 43 4" xfId="632"/>
    <cellStyle name="Comma 43 4 2" xfId="633"/>
    <cellStyle name="Comma 43 4 3" xfId="634"/>
    <cellStyle name="Comma 43 4 3 2" xfId="635"/>
    <cellStyle name="Comma 43 4 4" xfId="636"/>
    <cellStyle name="Comma 43 4 4 2" xfId="637"/>
    <cellStyle name="Comma 43 5" xfId="638"/>
    <cellStyle name="Comma 43 6" xfId="639"/>
    <cellStyle name="Comma 43 6 2" xfId="640"/>
    <cellStyle name="Comma 43 7" xfId="641"/>
    <cellStyle name="Comma 43 7 2" xfId="642"/>
    <cellStyle name="Comma 44" xfId="643"/>
    <cellStyle name="Comma 44 2" xfId="2569"/>
    <cellStyle name="Comma 45" xfId="644"/>
    <cellStyle name="Comma 45 2" xfId="2570"/>
    <cellStyle name="Comma 46" xfId="645"/>
    <cellStyle name="Comma 46 2" xfId="2571"/>
    <cellStyle name="Comma 47" xfId="646"/>
    <cellStyle name="Comma 47 2" xfId="2572"/>
    <cellStyle name="Comma 48" xfId="647"/>
    <cellStyle name="Comma 48 2" xfId="2573"/>
    <cellStyle name="Comma 49" xfId="648"/>
    <cellStyle name="Comma 49 2" xfId="2574"/>
    <cellStyle name="Comma 5" xfId="649"/>
    <cellStyle name="Comma 5 2" xfId="650"/>
    <cellStyle name="Comma 5 2 2" xfId="651"/>
    <cellStyle name="Comma 5 2 2 2" xfId="2577"/>
    <cellStyle name="Comma 5 2 3" xfId="2576"/>
    <cellStyle name="Comma 5 3" xfId="652"/>
    <cellStyle name="Comma 5 3 2" xfId="2578"/>
    <cellStyle name="Comma 5 4" xfId="2575"/>
    <cellStyle name="Comma 5 5" xfId="13785"/>
    <cellStyle name="Comma 50" xfId="653"/>
    <cellStyle name="Comma 50 2" xfId="2579"/>
    <cellStyle name="Comma 51" xfId="654"/>
    <cellStyle name="Comma 51 2" xfId="2580"/>
    <cellStyle name="Comma 52" xfId="655"/>
    <cellStyle name="Comma 52 2" xfId="656"/>
    <cellStyle name="Comma 52 2 2" xfId="2582"/>
    <cellStyle name="Comma 52 3" xfId="2581"/>
    <cellStyle name="Comma 53" xfId="657"/>
    <cellStyle name="Comma 53 2" xfId="658"/>
    <cellStyle name="Comma 53 2 2" xfId="2584"/>
    <cellStyle name="Comma 53 3" xfId="2583"/>
    <cellStyle name="Comma 54" xfId="659"/>
    <cellStyle name="Comma 54 2" xfId="660"/>
    <cellStyle name="Comma 54 2 2" xfId="2586"/>
    <cellStyle name="Comma 54 3" xfId="2585"/>
    <cellStyle name="Comma 55" xfId="661"/>
    <cellStyle name="Comma 55 2" xfId="662"/>
    <cellStyle name="Comma 55 2 2" xfId="2588"/>
    <cellStyle name="Comma 55 3" xfId="2587"/>
    <cellStyle name="Comma 56" xfId="663"/>
    <cellStyle name="Comma 56 2" xfId="664"/>
    <cellStyle name="Comma 56 2 2" xfId="2590"/>
    <cellStyle name="Comma 56 3" xfId="2589"/>
    <cellStyle name="Comma 57" xfId="665"/>
    <cellStyle name="Comma 57 2" xfId="666"/>
    <cellStyle name="Comma 57 2 2" xfId="2592"/>
    <cellStyle name="Comma 57 3" xfId="2591"/>
    <cellStyle name="Comma 58" xfId="667"/>
    <cellStyle name="Comma 58 2" xfId="668"/>
    <cellStyle name="Comma 58 2 2" xfId="2594"/>
    <cellStyle name="Comma 58 3" xfId="2593"/>
    <cellStyle name="Comma 59" xfId="669"/>
    <cellStyle name="Comma 59 2" xfId="2595"/>
    <cellStyle name="Comma 6" xfId="670"/>
    <cellStyle name="Comma 6 2" xfId="671"/>
    <cellStyle name="Comma 6 2 2" xfId="672"/>
    <cellStyle name="Comma 6 2 2 2" xfId="2598"/>
    <cellStyle name="Comma 6 2 3" xfId="2597"/>
    <cellStyle name="Comma 6 3" xfId="673"/>
    <cellStyle name="Comma 6 3 2" xfId="2599"/>
    <cellStyle name="Comma 6 4" xfId="2596"/>
    <cellStyle name="Comma 60" xfId="674"/>
    <cellStyle name="Comma 60 2" xfId="2600"/>
    <cellStyle name="Comma 61" xfId="675"/>
    <cellStyle name="Comma 61 2" xfId="2601"/>
    <cellStyle name="Comma 62" xfId="676"/>
    <cellStyle name="Comma 62 2" xfId="2602"/>
    <cellStyle name="Comma 63" xfId="677"/>
    <cellStyle name="Comma 63 2" xfId="2603"/>
    <cellStyle name="Comma 64" xfId="678"/>
    <cellStyle name="Comma 64 2" xfId="2604"/>
    <cellStyle name="Comma 65" xfId="679"/>
    <cellStyle name="Comma 65 2" xfId="680"/>
    <cellStyle name="Comma 65 2 2" xfId="681"/>
    <cellStyle name="Comma 65 2 3" xfId="682"/>
    <cellStyle name="Comma 65 2 3 2" xfId="683"/>
    <cellStyle name="Comma 65 2 4" xfId="684"/>
    <cellStyle name="Comma 65 2 4 2" xfId="685"/>
    <cellStyle name="Comma 65 3" xfId="686"/>
    <cellStyle name="Comma 65 4" xfId="687"/>
    <cellStyle name="Comma 65 4 2" xfId="688"/>
    <cellStyle name="Comma 65 5" xfId="689"/>
    <cellStyle name="Comma 65 5 2" xfId="690"/>
    <cellStyle name="Comma 66" xfId="691"/>
    <cellStyle name="Comma 66 2" xfId="692"/>
    <cellStyle name="Comma 66 2 2" xfId="2606"/>
    <cellStyle name="Comma 66 3" xfId="693"/>
    <cellStyle name="Comma 66 4" xfId="2605"/>
    <cellStyle name="Comma 67" xfId="694"/>
    <cellStyle name="Comma 67 2" xfId="2607"/>
    <cellStyle name="Comma 68" xfId="695"/>
    <cellStyle name="Comma 68 2" xfId="2608"/>
    <cellStyle name="Comma 69" xfId="696"/>
    <cellStyle name="Comma 69 2" xfId="2609"/>
    <cellStyle name="Comma 7" xfId="697"/>
    <cellStyle name="Comma 7 2" xfId="698"/>
    <cellStyle name="Comma 7 2 2" xfId="2611"/>
    <cellStyle name="Comma 7 3" xfId="2610"/>
    <cellStyle name="Comma 70" xfId="699"/>
    <cellStyle name="Comma 70 2" xfId="2612"/>
    <cellStyle name="Comma 71" xfId="700"/>
    <cellStyle name="Comma 71 2" xfId="701"/>
    <cellStyle name="Comma 71 2 2" xfId="702"/>
    <cellStyle name="Comma 71 2 2 2" xfId="2615"/>
    <cellStyle name="Comma 71 2 3" xfId="2614"/>
    <cellStyle name="Comma 71 3" xfId="703"/>
    <cellStyle name="Comma 71 3 2" xfId="704"/>
    <cellStyle name="Comma 71 3 2 2" xfId="2617"/>
    <cellStyle name="Comma 71 3 3" xfId="2616"/>
    <cellStyle name="Comma 71 4" xfId="705"/>
    <cellStyle name="Comma 71 4 2" xfId="2618"/>
    <cellStyle name="Comma 71 5" xfId="2613"/>
    <cellStyle name="Comma 72" xfId="706"/>
    <cellStyle name="Comma 72 2" xfId="707"/>
    <cellStyle name="Comma 72 2 2" xfId="708"/>
    <cellStyle name="Comma 72 2 2 2" xfId="2621"/>
    <cellStyle name="Comma 72 2 3" xfId="2620"/>
    <cellStyle name="Comma 72 3" xfId="709"/>
    <cellStyle name="Comma 72 3 2" xfId="710"/>
    <cellStyle name="Comma 72 3 2 2" xfId="2623"/>
    <cellStyle name="Comma 72 3 3" xfId="2622"/>
    <cellStyle name="Comma 72 4" xfId="711"/>
    <cellStyle name="Comma 72 4 2" xfId="2624"/>
    <cellStyle name="Comma 72 5" xfId="2619"/>
    <cellStyle name="Comma 73" xfId="712"/>
    <cellStyle name="Comma 73 2" xfId="713"/>
    <cellStyle name="Comma 73 2 2" xfId="714"/>
    <cellStyle name="Comma 73 2 2 2" xfId="2627"/>
    <cellStyle name="Comma 73 2 3" xfId="2626"/>
    <cellStyle name="Comma 73 3" xfId="715"/>
    <cellStyle name="Comma 73 3 2" xfId="716"/>
    <cellStyle name="Comma 73 3 2 2" xfId="2629"/>
    <cellStyle name="Comma 73 3 3" xfId="2628"/>
    <cellStyle name="Comma 73 4" xfId="717"/>
    <cellStyle name="Comma 73 4 2" xfId="2630"/>
    <cellStyle name="Comma 73 5" xfId="2625"/>
    <cellStyle name="Comma 74" xfId="718"/>
    <cellStyle name="Comma 74 2" xfId="719"/>
    <cellStyle name="Comma 74 2 2" xfId="720"/>
    <cellStyle name="Comma 74 2 2 2" xfId="2633"/>
    <cellStyle name="Comma 74 2 3" xfId="2632"/>
    <cellStyle name="Comma 74 3" xfId="2631"/>
    <cellStyle name="Comma 75" xfId="721"/>
    <cellStyle name="Comma 75 2" xfId="722"/>
    <cellStyle name="Comma 75 2 2" xfId="723"/>
    <cellStyle name="Comma 75 2 2 2" xfId="2636"/>
    <cellStyle name="Comma 75 2 3" xfId="2635"/>
    <cellStyle name="Comma 75 3" xfId="2634"/>
    <cellStyle name="Comma 76" xfId="724"/>
    <cellStyle name="Comma 76 2" xfId="725"/>
    <cellStyle name="Comma 76 2 2" xfId="726"/>
    <cellStyle name="Comma 76 2 2 2" xfId="2639"/>
    <cellStyle name="Comma 76 2 3" xfId="2638"/>
    <cellStyle name="Comma 76 3" xfId="2637"/>
    <cellStyle name="Comma 77" xfId="727"/>
    <cellStyle name="Comma 77 2" xfId="728"/>
    <cellStyle name="Comma 77 2 2" xfId="729"/>
    <cellStyle name="Comma 77 2 2 2" xfId="2641"/>
    <cellStyle name="Comma 77 2 3" xfId="2640"/>
    <cellStyle name="Comma 78" xfId="730"/>
    <cellStyle name="Comma 78 2" xfId="731"/>
    <cellStyle name="Comma 78 2 2" xfId="732"/>
    <cellStyle name="Comma 78 2 2 2" xfId="2643"/>
    <cellStyle name="Comma 78 2 3" xfId="2642"/>
    <cellStyle name="Comma 79" xfId="733"/>
    <cellStyle name="Comma 79 2" xfId="734"/>
    <cellStyle name="Comma 79 2 2" xfId="735"/>
    <cellStyle name="Comma 79 2 2 2" xfId="2645"/>
    <cellStyle name="Comma 79 2 3" xfId="2644"/>
    <cellStyle name="Comma 8" xfId="736"/>
    <cellStyle name="Comma 8 2" xfId="737"/>
    <cellStyle name="Comma 8 2 2" xfId="2647"/>
    <cellStyle name="Comma 8 3" xfId="2646"/>
    <cellStyle name="Comma 80" xfId="738"/>
    <cellStyle name="Comma 80 2" xfId="739"/>
    <cellStyle name="Comma 80 2 2" xfId="740"/>
    <cellStyle name="Comma 80 2 2 2" xfId="2649"/>
    <cellStyle name="Comma 80 2 3" xfId="2648"/>
    <cellStyle name="Comma 81" xfId="741"/>
    <cellStyle name="Comma 81 2" xfId="742"/>
    <cellStyle name="Comma 81 2 2" xfId="743"/>
    <cellStyle name="Comma 81 2 2 2" xfId="2652"/>
    <cellStyle name="Comma 81 2 3" xfId="2651"/>
    <cellStyle name="Comma 81 3" xfId="2650"/>
    <cellStyle name="Comma 82" xfId="744"/>
    <cellStyle name="Comma 82 2" xfId="745"/>
    <cellStyle name="Comma 82 2 2" xfId="746"/>
    <cellStyle name="Comma 82 2 2 2" xfId="2655"/>
    <cellStyle name="Comma 82 2 3" xfId="2654"/>
    <cellStyle name="Comma 82 3" xfId="2653"/>
    <cellStyle name="Comma 83" xfId="747"/>
    <cellStyle name="Comma 83 2" xfId="748"/>
    <cellStyle name="Comma 83 2 2" xfId="2657"/>
    <cellStyle name="Comma 83 3" xfId="2656"/>
    <cellStyle name="Comma 84" xfId="749"/>
    <cellStyle name="Comma 84 2" xfId="750"/>
    <cellStyle name="Comma 84 2 2" xfId="2659"/>
    <cellStyle name="Comma 84 3" xfId="2658"/>
    <cellStyle name="Comma 85" xfId="751"/>
    <cellStyle name="Comma 85 2" xfId="752"/>
    <cellStyle name="Comma 85 2 2" xfId="2661"/>
    <cellStyle name="Comma 85 3" xfId="2660"/>
    <cellStyle name="Comma 86" xfId="753"/>
    <cellStyle name="Comma 86 2" xfId="754"/>
    <cellStyle name="Comma 86 2 2" xfId="2663"/>
    <cellStyle name="Comma 86 3" xfId="2662"/>
    <cellStyle name="Comma 87" xfId="755"/>
    <cellStyle name="Comma 87 2" xfId="756"/>
    <cellStyle name="Comma 87 2 2" xfId="2665"/>
    <cellStyle name="Comma 87 3" xfId="2664"/>
    <cellStyle name="Comma 88" xfId="757"/>
    <cellStyle name="Comma 88 2" xfId="758"/>
    <cellStyle name="Comma 88 2 2" xfId="2667"/>
    <cellStyle name="Comma 88 3" xfId="2666"/>
    <cellStyle name="Comma 89" xfId="759"/>
    <cellStyle name="Comma 89 2" xfId="760"/>
    <cellStyle name="Comma 89 2 2" xfId="2669"/>
    <cellStyle name="Comma 89 3" xfId="2668"/>
    <cellStyle name="Comma 9" xfId="761"/>
    <cellStyle name="Comma 9 2" xfId="762"/>
    <cellStyle name="Comma 9 2 2" xfId="763"/>
    <cellStyle name="Comma 9 2 2 2" xfId="2672"/>
    <cellStyle name="Comma 9 2 3" xfId="764"/>
    <cellStyle name="Comma 9 2 4" xfId="2671"/>
    <cellStyle name="Comma 9 3" xfId="765"/>
    <cellStyle name="Comma 9 3 2" xfId="766"/>
    <cellStyle name="Comma 9 3 2 2" xfId="2674"/>
    <cellStyle name="Comma 9 3 3" xfId="2673"/>
    <cellStyle name="Comma 9 4" xfId="767"/>
    <cellStyle name="Comma 9 4 2" xfId="768"/>
    <cellStyle name="Comma 9 4 3" xfId="2675"/>
    <cellStyle name="Comma 9 5" xfId="2670"/>
    <cellStyle name="Comma 90" xfId="769"/>
    <cellStyle name="Comma 90 2" xfId="770"/>
    <cellStyle name="Comma 90 2 2" xfId="2677"/>
    <cellStyle name="Comma 90 3" xfId="2676"/>
    <cellStyle name="Comma 91" xfId="771"/>
    <cellStyle name="Comma 91 2" xfId="772"/>
    <cellStyle name="Comma 91 2 2" xfId="2679"/>
    <cellStyle name="Comma 91 3" xfId="2678"/>
    <cellStyle name="Comma 92" xfId="773"/>
    <cellStyle name="Comma 92 2" xfId="774"/>
    <cellStyle name="Comma 92 2 2" xfId="2681"/>
    <cellStyle name="Comma 92 3" xfId="2680"/>
    <cellStyle name="Comma 93" xfId="775"/>
    <cellStyle name="Comma 93 2" xfId="776"/>
    <cellStyle name="Comma 93 2 2" xfId="2683"/>
    <cellStyle name="Comma 93 3" xfId="2682"/>
    <cellStyle name="Comma 94" xfId="777"/>
    <cellStyle name="Comma 94 2" xfId="778"/>
    <cellStyle name="Comma 94 2 2" xfId="2685"/>
    <cellStyle name="Comma 94 3" xfId="2684"/>
    <cellStyle name="Comma 95" xfId="779"/>
    <cellStyle name="Comma 95 2" xfId="2686"/>
    <cellStyle name="Comma 96" xfId="780"/>
    <cellStyle name="Comma 96 2" xfId="2687"/>
    <cellStyle name="Comma 97" xfId="781"/>
    <cellStyle name="Comma 97 2" xfId="2688"/>
    <cellStyle name="Comma 98" xfId="782"/>
    <cellStyle name="Comma 98 2" xfId="2689"/>
    <cellStyle name="Comma 99" xfId="783"/>
    <cellStyle name="Comma 99 2" xfId="2690"/>
    <cellStyle name="comma zerodec" xfId="13786"/>
    <cellStyle name="Comma0" xfId="13787"/>
    <cellStyle name="Comment" xfId="784"/>
    <cellStyle name="Company" xfId="13788"/>
    <cellStyle name="CompanyName" xfId="785"/>
    <cellStyle name="CurRatio" xfId="13789"/>
    <cellStyle name="Curren - Style7" xfId="13790"/>
    <cellStyle name="Curren - Style8" xfId="13791"/>
    <cellStyle name="Currency" xfId="786" builtinId="4"/>
    <cellStyle name="Currency (1)" xfId="13792"/>
    <cellStyle name="Currency [00]" xfId="13793"/>
    <cellStyle name="Currency [1]" xfId="13794"/>
    <cellStyle name="Currency [2]" xfId="13795"/>
    <cellStyle name="Currency 10" xfId="787"/>
    <cellStyle name="Currency 10 2" xfId="788"/>
    <cellStyle name="Currency 10 2 2" xfId="2692"/>
    <cellStyle name="Currency 10 3" xfId="2691"/>
    <cellStyle name="Currency 11" xfId="789"/>
    <cellStyle name="Currency 11 2" xfId="790"/>
    <cellStyle name="Currency 11 2 2" xfId="2694"/>
    <cellStyle name="Currency 11 3" xfId="2693"/>
    <cellStyle name="Currency 12" xfId="791"/>
    <cellStyle name="Currency 12 2" xfId="2695"/>
    <cellStyle name="Currency 13" xfId="792"/>
    <cellStyle name="Currency 13 2" xfId="793"/>
    <cellStyle name="Currency 13 2 2" xfId="794"/>
    <cellStyle name="Currency 13 2 2 2" xfId="2697"/>
    <cellStyle name="Currency 13 2 3" xfId="2696"/>
    <cellStyle name="Currency 14" xfId="795"/>
    <cellStyle name="Currency 14 2" xfId="796"/>
    <cellStyle name="Currency 14 2 2" xfId="2699"/>
    <cellStyle name="Currency 14 3" xfId="2698"/>
    <cellStyle name="Currency 15" xfId="797"/>
    <cellStyle name="Currency 15 2" xfId="798"/>
    <cellStyle name="Currency 15 2 2" xfId="2701"/>
    <cellStyle name="Currency 15 3" xfId="2700"/>
    <cellStyle name="Currency 2" xfId="799"/>
    <cellStyle name="Currency 2 2" xfId="800"/>
    <cellStyle name="Currency 2 2 2" xfId="801"/>
    <cellStyle name="Currency 2 2 2 2" xfId="2704"/>
    <cellStyle name="Currency 2 2 3" xfId="2703"/>
    <cellStyle name="Currency 2 3" xfId="802"/>
    <cellStyle name="Currency 2 3 2" xfId="2705"/>
    <cellStyle name="Currency 2 4" xfId="2702"/>
    <cellStyle name="Currency 3" xfId="803"/>
    <cellStyle name="Currency 3 2" xfId="804"/>
    <cellStyle name="Currency 3 2 2" xfId="805"/>
    <cellStyle name="Currency 3 2 2 2" xfId="806"/>
    <cellStyle name="Currency 3 2 2 2 2" xfId="2708"/>
    <cellStyle name="Currency 3 2 2 3" xfId="2707"/>
    <cellStyle name="Currency 3 2 3" xfId="807"/>
    <cellStyle name="Currency 3 2 3 2" xfId="2709"/>
    <cellStyle name="Currency 3 2 4" xfId="2706"/>
    <cellStyle name="Currency 3 3" xfId="808"/>
    <cellStyle name="Currency 3 3 2" xfId="809"/>
    <cellStyle name="Currency 3 3 2 2" xfId="2711"/>
    <cellStyle name="Currency 3 3 3" xfId="2710"/>
    <cellStyle name="Currency 3 4" xfId="810"/>
    <cellStyle name="Currency 3 4 2" xfId="2712"/>
    <cellStyle name="Currency 3 5" xfId="811"/>
    <cellStyle name="Currency 4" xfId="812"/>
    <cellStyle name="Currency 4 2" xfId="813"/>
    <cellStyle name="Currency 4 2 2" xfId="814"/>
    <cellStyle name="Currency 4 2 2 2" xfId="2715"/>
    <cellStyle name="Currency 4 2 3" xfId="2714"/>
    <cellStyle name="Currency 4 3" xfId="815"/>
    <cellStyle name="Currency 4 3 2" xfId="816"/>
    <cellStyle name="Currency 4 3 2 2" xfId="2717"/>
    <cellStyle name="Currency 4 3 3" xfId="2716"/>
    <cellStyle name="Currency 4 4" xfId="817"/>
    <cellStyle name="Currency 4 4 2" xfId="2718"/>
    <cellStyle name="Currency 4 5" xfId="2713"/>
    <cellStyle name="Currency 5" xfId="818"/>
    <cellStyle name="Currency 5 2" xfId="819"/>
    <cellStyle name="Currency 5 2 2" xfId="820"/>
    <cellStyle name="Currency 5 2 2 2" xfId="2721"/>
    <cellStyle name="Currency 5 2 3" xfId="2720"/>
    <cellStyle name="Currency 5 3" xfId="821"/>
    <cellStyle name="Currency 5 3 2" xfId="2722"/>
    <cellStyle name="Currency 5 4" xfId="822"/>
    <cellStyle name="Currency 5 5" xfId="2719"/>
    <cellStyle name="Currency 6" xfId="823"/>
    <cellStyle name="Currency 6 2" xfId="824"/>
    <cellStyle name="Currency 6 2 2" xfId="2724"/>
    <cellStyle name="Currency 6 3" xfId="2723"/>
    <cellStyle name="Currency 7" xfId="825"/>
    <cellStyle name="Currency 7 2" xfId="826"/>
    <cellStyle name="Currency 7 2 2" xfId="827"/>
    <cellStyle name="Currency 7 2 2 2" xfId="2727"/>
    <cellStyle name="Currency 7 2 3" xfId="2726"/>
    <cellStyle name="Currency 7 3" xfId="828"/>
    <cellStyle name="Currency 7 3 2" xfId="2728"/>
    <cellStyle name="Currency 7 4" xfId="2725"/>
    <cellStyle name="Currency 8" xfId="829"/>
    <cellStyle name="Currency 8 2" xfId="830"/>
    <cellStyle name="Currency 8 2 2" xfId="2730"/>
    <cellStyle name="Currency 8 3" xfId="831"/>
    <cellStyle name="Currency 8 3 2" xfId="2731"/>
    <cellStyle name="Currency 8 4" xfId="2729"/>
    <cellStyle name="Currency 9" xfId="832"/>
    <cellStyle name="Currency 9 2" xfId="833"/>
    <cellStyle name="Currency 9 2 2" xfId="2733"/>
    <cellStyle name="Currency 9 3" xfId="834"/>
    <cellStyle name="Currency 9 3 2" xfId="2734"/>
    <cellStyle name="Currency 9 4" xfId="2732"/>
    <cellStyle name="Currency(1)" xfId="13796"/>
    <cellStyle name="Currency0" xfId="13797"/>
    <cellStyle name="Currency1" xfId="13798"/>
    <cellStyle name="CUS.Work.Area" xfId="13799"/>
    <cellStyle name="C㯵rrency_㳔PC Data" xfId="13800"/>
    <cellStyle name="Dash" xfId="835"/>
    <cellStyle name="Data_0dp" xfId="13801"/>
    <cellStyle name="DataEntry" xfId="13802"/>
    <cellStyle name="DataEntry%" xfId="13803"/>
    <cellStyle name="DataEntry_Handset HDI Shipment (Dec)" xfId="13804"/>
    <cellStyle name="Date" xfId="836"/>
    <cellStyle name="Date m-yy" xfId="837"/>
    <cellStyle name="Date m-yy 2" xfId="2735"/>
    <cellStyle name="Date Short" xfId="13805"/>
    <cellStyle name="Date_Handset HDI Shipment (Dec)" xfId="13806"/>
    <cellStyle name="Date2" xfId="838"/>
    <cellStyle name="Decimal" xfId="839"/>
    <cellStyle name="decimal 1" xfId="840"/>
    <cellStyle name="Decimal_Valuation_daily HW_Working_new_p" xfId="13807"/>
    <cellStyle name="DELTA" xfId="13808"/>
    <cellStyle name="Derive" xfId="13809"/>
    <cellStyle name="Dfc%" xfId="13810"/>
    <cellStyle name="Dollar" xfId="841"/>
    <cellStyle name="Dollar (zero dec)" xfId="13811"/>
    <cellStyle name="Dollar_Handset industry data (for presentation)" xfId="13812"/>
    <cellStyle name="Dollars" xfId="842"/>
    <cellStyle name="Dollars 2" xfId="843"/>
    <cellStyle name="Enter Currency (0)" xfId="13813"/>
    <cellStyle name="Enter Currency (2)" xfId="13814"/>
    <cellStyle name="Enter Units (0)" xfId="13815"/>
    <cellStyle name="Enter Units (1)" xfId="13816"/>
    <cellStyle name="Enter Units (2)" xfId="13817"/>
    <cellStyle name="Euro" xfId="844"/>
    <cellStyle name="Explanatory Text" xfId="845" builtinId="53" customBuiltin="1"/>
    <cellStyle name="Explanatory Text 2" xfId="846"/>
    <cellStyle name="Explanatory Text 3" xfId="847"/>
    <cellStyle name="Fail" xfId="848"/>
    <cellStyle name="Fail 2" xfId="849"/>
    <cellStyle name="FieldName" xfId="850"/>
    <cellStyle name="FiscalPeriod" xfId="851"/>
    <cellStyle name="FiscalPeriod 2" xfId="852"/>
    <cellStyle name="Fixed" xfId="853"/>
    <cellStyle name="Fixed (1)" xfId="13818"/>
    <cellStyle name="Fixed [2]" xfId="13819"/>
    <cellStyle name="Fixed 3" xfId="13820"/>
    <cellStyle name="Fixed_1" xfId="13821"/>
    <cellStyle name="Footnote" xfId="854"/>
    <cellStyle name="Forecast year" xfId="13822"/>
    <cellStyle name="G02 Table Text" xfId="855"/>
    <cellStyle name="G02 Table Text 2" xfId="856"/>
    <cellStyle name="G04_Main head" xfId="857"/>
    <cellStyle name="G05 Tab Head Bold" xfId="858"/>
    <cellStyle name="G05 Tab Head Bold 2" xfId="859"/>
    <cellStyle name="G05 Tab Head Bold 2 2" xfId="860"/>
    <cellStyle name="G05 Tab Head Bold 2 2 2" xfId="861"/>
    <cellStyle name="G05 Tab Head Bold 2 2 2 2" xfId="2739"/>
    <cellStyle name="G05 Tab Head Bold 2 2 3" xfId="2738"/>
    <cellStyle name="G05 Tab Head Bold 2 3" xfId="862"/>
    <cellStyle name="G05 Tab Head Bold 2 3 2" xfId="2740"/>
    <cellStyle name="G05 Tab Head Bold 2 4" xfId="2737"/>
    <cellStyle name="G05 Tab Head Bold 3" xfId="863"/>
    <cellStyle name="G05 Tab Head Bold 3 2" xfId="864"/>
    <cellStyle name="G05 Tab Head Bold 3 2 2" xfId="2742"/>
    <cellStyle name="G05 Tab Head Bold 3 3" xfId="2741"/>
    <cellStyle name="G05 Tab Head Bold 4" xfId="865"/>
    <cellStyle name="G05 Tab Head Bold 4 2" xfId="2743"/>
    <cellStyle name="G05 Tab Head Bold 5" xfId="866"/>
    <cellStyle name="G05 Tab Head Bold 5 2" xfId="867"/>
    <cellStyle name="G05 Tab Head Bold 5 2 2" xfId="2745"/>
    <cellStyle name="G05 Tab Head Bold 5 3" xfId="2744"/>
    <cellStyle name="G05 Tab Head Bold 6" xfId="2736"/>
    <cellStyle name="G05 Tab Head Light" xfId="868"/>
    <cellStyle name="G05 Tab Head Light 2" xfId="869"/>
    <cellStyle name="G05 Tab Head Light 2 2" xfId="870"/>
    <cellStyle name="G05 Tab Head Light 2 2 2" xfId="871"/>
    <cellStyle name="G05 Tab Head Light 2 2 2 2" xfId="2749"/>
    <cellStyle name="G05 Tab Head Light 2 2 3" xfId="2748"/>
    <cellStyle name="G05 Tab Head Light 2 3" xfId="872"/>
    <cellStyle name="G05 Tab Head Light 2 3 2" xfId="2750"/>
    <cellStyle name="G05 Tab Head Light 2 4" xfId="2747"/>
    <cellStyle name="G05 Tab Head Light 3" xfId="873"/>
    <cellStyle name="G05 Tab Head Light 3 2" xfId="874"/>
    <cellStyle name="G05 Tab Head Light 3 2 2" xfId="2752"/>
    <cellStyle name="G05 Tab Head Light 3 3" xfId="2751"/>
    <cellStyle name="G05 Tab Head Light 4" xfId="875"/>
    <cellStyle name="G05 Tab Head Light 4 2" xfId="2753"/>
    <cellStyle name="G05 Tab Head Light 5" xfId="876"/>
    <cellStyle name="G05 Tab Head Light 5 2" xfId="877"/>
    <cellStyle name="G05 Tab Head Light 5 2 2" xfId="2755"/>
    <cellStyle name="G05 Tab Head Light 5 3" xfId="2754"/>
    <cellStyle name="G05 Tab Head Light 6" xfId="2746"/>
    <cellStyle name="Good" xfId="878" builtinId="26" customBuiltin="1"/>
    <cellStyle name="Good 2" xfId="879"/>
    <cellStyle name="Good 3" xfId="880"/>
    <cellStyle name="Green" xfId="881"/>
    <cellStyle name="Green 2" xfId="882"/>
    <cellStyle name="Green 2 2" xfId="883"/>
    <cellStyle name="Green 2 2 2" xfId="884"/>
    <cellStyle name="Green 2 3" xfId="885"/>
    <cellStyle name="Green 3" xfId="886"/>
    <cellStyle name="Green 3 2" xfId="887"/>
    <cellStyle name="Green 3 2 2" xfId="888"/>
    <cellStyle name="Green 3 3" xfId="889"/>
    <cellStyle name="Green 4" xfId="890"/>
    <cellStyle name="Green 4 2" xfId="891"/>
    <cellStyle name="Green 4 2 2" xfId="892"/>
    <cellStyle name="Green 4 2 2 2" xfId="893"/>
    <cellStyle name="Green 4 2 2 2 2" xfId="894"/>
    <cellStyle name="Green 4 2 2 2 3" xfId="895"/>
    <cellStyle name="Green 4 2 2 2 3 2" xfId="3654"/>
    <cellStyle name="Green 4 2 3" xfId="896"/>
    <cellStyle name="Green 4 2 3 2" xfId="897"/>
    <cellStyle name="Green 4 3" xfId="898"/>
    <cellStyle name="Green 4 3 2" xfId="899"/>
    <cellStyle name="Green 5" xfId="13823"/>
    <cellStyle name="Grey" xfId="900"/>
    <cellStyle name="Grey 2" xfId="901"/>
    <cellStyle name="Grey 3" xfId="902"/>
    <cellStyle name="hard no" xfId="903"/>
    <cellStyle name="hard no 2" xfId="904"/>
    <cellStyle name="hard no 2 2" xfId="2757"/>
    <cellStyle name="hard no 3" xfId="2756"/>
    <cellStyle name="hardno" xfId="905"/>
    <cellStyle name="Header_FT Valuation " xfId="906"/>
    <cellStyle name="Header1" xfId="907"/>
    <cellStyle name="Header2" xfId="908"/>
    <cellStyle name="Heading" xfId="13824"/>
    <cellStyle name="Heading 1" xfId="909" builtinId="16" customBuiltin="1"/>
    <cellStyle name="Heading 1 2" xfId="910"/>
    <cellStyle name="Heading 1 3" xfId="911"/>
    <cellStyle name="Heading 2" xfId="912" builtinId="17" customBuiltin="1"/>
    <cellStyle name="Heading 2 2" xfId="913"/>
    <cellStyle name="Heading 2 3" xfId="914"/>
    <cellStyle name="Heading 3" xfId="915" builtinId="18" customBuiltin="1"/>
    <cellStyle name="Heading 3 2" xfId="916"/>
    <cellStyle name="Heading 3 3" xfId="917"/>
    <cellStyle name="Heading 4" xfId="918" builtinId="19" customBuiltin="1"/>
    <cellStyle name="Heading 4 2" xfId="919"/>
    <cellStyle name="Heading 4 3" xfId="920"/>
    <cellStyle name="Hidden" xfId="921"/>
    <cellStyle name="Hidden 2" xfId="922"/>
    <cellStyle name="Hyperlink 2" xfId="923"/>
    <cellStyle name="Hyperlink 2 2" xfId="924"/>
    <cellStyle name="Hyperlink 2 2 2" xfId="925"/>
    <cellStyle name="Hyperlink 2 2 3" xfId="926"/>
    <cellStyle name="Hyperlink 2 3" xfId="927"/>
    <cellStyle name="Hyperlink 2 4" xfId="13826"/>
    <cellStyle name="Hyperlink 3" xfId="928"/>
    <cellStyle name="Hyperlink 3 2" xfId="929"/>
    <cellStyle name="Hyperlink 3 3" xfId="930"/>
    <cellStyle name="Hyperlink 4" xfId="931"/>
    <cellStyle name="Hyperlink 4 2" xfId="932"/>
    <cellStyle name="Hyperlink 4 2 2" xfId="933"/>
    <cellStyle name="Hyperlink 4 2 2 2" xfId="934"/>
    <cellStyle name="Hyperlink 4 2 3" xfId="935"/>
    <cellStyle name="Hyperlink 4 2 3 2" xfId="936"/>
    <cellStyle name="Hyperlink 4 3" xfId="937"/>
    <cellStyle name="Hyperlink 4 4" xfId="938"/>
    <cellStyle name="Hyperlink 4 4 2" xfId="939"/>
    <cellStyle name="Hyperlink 5" xfId="940"/>
    <cellStyle name="Hyperlink 6" xfId="13825"/>
    <cellStyle name="Info_Main" xfId="13827"/>
    <cellStyle name="Input" xfId="941" builtinId="20" customBuiltin="1"/>
    <cellStyle name="Input [yellow]" xfId="942"/>
    <cellStyle name="Input [yellow] 2" xfId="943"/>
    <cellStyle name="Input [yellow] 3" xfId="944"/>
    <cellStyle name="Input 10" xfId="945"/>
    <cellStyle name="Input 11" xfId="946"/>
    <cellStyle name="Input 12" xfId="947"/>
    <cellStyle name="Input 13" xfId="948"/>
    <cellStyle name="Input 14" xfId="949"/>
    <cellStyle name="Input 15" xfId="950"/>
    <cellStyle name="Input 16" xfId="951"/>
    <cellStyle name="Input 17" xfId="952"/>
    <cellStyle name="Input 18" xfId="953"/>
    <cellStyle name="Input 19" xfId="954"/>
    <cellStyle name="Input 2" xfId="955"/>
    <cellStyle name="Input 20" xfId="956"/>
    <cellStyle name="Input 21" xfId="957"/>
    <cellStyle name="Input 22" xfId="958"/>
    <cellStyle name="Input 23" xfId="959"/>
    <cellStyle name="Input 24" xfId="960"/>
    <cellStyle name="Input 25" xfId="961"/>
    <cellStyle name="Input 26" xfId="962"/>
    <cellStyle name="Input 27" xfId="963"/>
    <cellStyle name="Input 28" xfId="964"/>
    <cellStyle name="Input 29" xfId="965"/>
    <cellStyle name="Input 3" xfId="966"/>
    <cellStyle name="Input 30" xfId="967"/>
    <cellStyle name="Input 31" xfId="968"/>
    <cellStyle name="Input 32" xfId="969"/>
    <cellStyle name="Input 33" xfId="970"/>
    <cellStyle name="Input 34" xfId="971"/>
    <cellStyle name="Input 35" xfId="972"/>
    <cellStyle name="Input 36" xfId="973"/>
    <cellStyle name="Input 37" xfId="974"/>
    <cellStyle name="Input 38" xfId="975"/>
    <cellStyle name="Input 39" xfId="976"/>
    <cellStyle name="Input 4" xfId="977"/>
    <cellStyle name="Input 40" xfId="978"/>
    <cellStyle name="Input 41" xfId="979"/>
    <cellStyle name="Input 42" xfId="980"/>
    <cellStyle name="Input 43" xfId="981"/>
    <cellStyle name="Input 44" xfId="982"/>
    <cellStyle name="Input 45" xfId="983"/>
    <cellStyle name="Input 46" xfId="984"/>
    <cellStyle name="Input 47" xfId="985"/>
    <cellStyle name="Input 48" xfId="986"/>
    <cellStyle name="Input 49" xfId="987"/>
    <cellStyle name="Input 5" xfId="988"/>
    <cellStyle name="Input 50" xfId="989"/>
    <cellStyle name="Input 51" xfId="990"/>
    <cellStyle name="Input 52" xfId="991"/>
    <cellStyle name="Input 53" xfId="992"/>
    <cellStyle name="Input 54" xfId="993"/>
    <cellStyle name="Input 55" xfId="994"/>
    <cellStyle name="Input 56" xfId="995"/>
    <cellStyle name="Input 57" xfId="996"/>
    <cellStyle name="Input 58" xfId="997"/>
    <cellStyle name="Input 59" xfId="998"/>
    <cellStyle name="Input 6" xfId="999"/>
    <cellStyle name="Input 60" xfId="1000"/>
    <cellStyle name="Input 61" xfId="1001"/>
    <cellStyle name="Input 62" xfId="1002"/>
    <cellStyle name="Input 63" xfId="1003"/>
    <cellStyle name="Input 64" xfId="1004"/>
    <cellStyle name="Input 7" xfId="1005"/>
    <cellStyle name="Input 8" xfId="1006"/>
    <cellStyle name="Input 9" xfId="1007"/>
    <cellStyle name="Input Titles" xfId="13828"/>
    <cellStyle name="Input%" xfId="13829"/>
    <cellStyle name="Input,1d" xfId="13830"/>
    <cellStyle name="InputBlueFont" xfId="1008"/>
    <cellStyle name="InputDate" xfId="13831"/>
    <cellStyle name="InputDecimal" xfId="13832"/>
    <cellStyle name="InputDescriptions" xfId="13833"/>
    <cellStyle name="InputHeading1" xfId="13834"/>
    <cellStyle name="InputValue" xfId="13835"/>
    <cellStyle name="Integer" xfId="1009"/>
    <cellStyle name="Italic" xfId="13836"/>
    <cellStyle name="Item" xfId="13837"/>
    <cellStyle name="ItemTypeClass" xfId="13838"/>
    <cellStyle name="KP_Normal" xfId="1010"/>
    <cellStyle name="Link Currency (0)" xfId="13839"/>
    <cellStyle name="Link Currency (2)" xfId="13840"/>
    <cellStyle name="Link Units (0)" xfId="13841"/>
    <cellStyle name="Link Units (1)" xfId="13842"/>
    <cellStyle name="Link Units (2)" xfId="13843"/>
    <cellStyle name="Linked Cell" xfId="1011" builtinId="24" customBuiltin="1"/>
    <cellStyle name="Linked Cell 2" xfId="1012"/>
    <cellStyle name="Linked Cell 3" xfId="1013"/>
    <cellStyle name="Message" xfId="13844"/>
    <cellStyle name="MetricLabel" xfId="1014"/>
    <cellStyle name="MetricLabel 2" xfId="1015"/>
    <cellStyle name="MetricLabelBlue" xfId="1016"/>
    <cellStyle name="MetricLabelBlue 2" xfId="1017"/>
    <cellStyle name="MetricValue" xfId="1018"/>
    <cellStyle name="MetricValue 2" xfId="1019"/>
    <cellStyle name="MonthYears" xfId="1020"/>
    <cellStyle name="MonthYears 2" xfId="1021"/>
    <cellStyle name="MonthYears 3" xfId="1022"/>
    <cellStyle name="Multiple" xfId="13845"/>
    <cellStyle name="Multiple [0]" xfId="13846"/>
    <cellStyle name="Multiple_Monthly Shipment" xfId="13847"/>
    <cellStyle name="MW" xfId="1023"/>
    <cellStyle name="Neutral" xfId="1024" builtinId="28" customBuiltin="1"/>
    <cellStyle name="Neutral 2" xfId="1025"/>
    <cellStyle name="Neutral 3" xfId="1026"/>
    <cellStyle name="no dec" xfId="1027"/>
    <cellStyle name="Normal" xfId="0" builtinId="0"/>
    <cellStyle name="Normal - Style1" xfId="1028"/>
    <cellStyle name="Normal 1" xfId="1029"/>
    <cellStyle name="Normal 1 2" xfId="1030"/>
    <cellStyle name="Normal 10" xfId="1031"/>
    <cellStyle name="Normal 10 2" xfId="1032"/>
    <cellStyle name="Normal 10 2 2" xfId="1033"/>
    <cellStyle name="Normal 10 2 2 2" xfId="2760"/>
    <cellStyle name="Normal 10 2 3" xfId="1034"/>
    <cellStyle name="Normal 10 2 3 10" xfId="6598"/>
    <cellStyle name="Normal 10 2 3 10 2" xfId="17318"/>
    <cellStyle name="Normal 10 2 3 11" xfId="9930"/>
    <cellStyle name="Normal 10 2 3 11 2" xfId="20646"/>
    <cellStyle name="Normal 10 2 3 12" xfId="13987"/>
    <cellStyle name="Normal 10 2 3 2" xfId="1035"/>
    <cellStyle name="Normal 10 2 3 2 10" xfId="9931"/>
    <cellStyle name="Normal 10 2 3 2 10 2" xfId="20647"/>
    <cellStyle name="Normal 10 2 3 2 11" xfId="13988"/>
    <cellStyle name="Normal 10 2 3 2 2" xfId="1036"/>
    <cellStyle name="Normal 10 2 3 2 2 10" xfId="13989"/>
    <cellStyle name="Normal 10 2 3 2 2 2" xfId="1037"/>
    <cellStyle name="Normal 10 2 3 2 2 2 2" xfId="1038"/>
    <cellStyle name="Normal 10 2 3 2 2 2 2 2" xfId="2765"/>
    <cellStyle name="Normal 10 2 3 2 2 2 2 2 2" xfId="3883"/>
    <cellStyle name="Normal 10 2 3 2 2 2 2 2 2 2" xfId="4723"/>
    <cellStyle name="Normal 10 2 3 2 2 2 2 2 2 2 2" xfId="6391"/>
    <cellStyle name="Normal 10 2 3 2 2 2 2 2 2 2 2 2" xfId="9726"/>
    <cellStyle name="Normal 10 2 3 2 2 2 2 2 2 2 2 2 2" xfId="20442"/>
    <cellStyle name="Normal 10 2 3 2 2 2 2 2 2 2 2 3" xfId="13054"/>
    <cellStyle name="Normal 10 2 3 2 2 2 2 2 2 2 2 3 2" xfId="23770"/>
    <cellStyle name="Normal 10 2 3 2 2 2 2 2 2 2 2 4" xfId="17114"/>
    <cellStyle name="Normal 10 2 3 2 2 2 2 2 2 2 3" xfId="8062"/>
    <cellStyle name="Normal 10 2 3 2 2 2 2 2 2 2 3 2" xfId="18778"/>
    <cellStyle name="Normal 10 2 3 2 2 2 2 2 2 2 4" xfId="11390"/>
    <cellStyle name="Normal 10 2 3 2 2 2 2 2 2 2 4 2" xfId="22106"/>
    <cellStyle name="Normal 10 2 3 2 2 2 2 2 2 2 5" xfId="15450"/>
    <cellStyle name="Normal 10 2 3 2 2 2 2 2 2 3" xfId="5559"/>
    <cellStyle name="Normal 10 2 3 2 2 2 2 2 2 3 2" xfId="8894"/>
    <cellStyle name="Normal 10 2 3 2 2 2 2 2 2 3 2 2" xfId="19610"/>
    <cellStyle name="Normal 10 2 3 2 2 2 2 2 2 3 3" xfId="12222"/>
    <cellStyle name="Normal 10 2 3 2 2 2 2 2 2 3 3 2" xfId="22938"/>
    <cellStyle name="Normal 10 2 3 2 2 2 2 2 2 3 4" xfId="16282"/>
    <cellStyle name="Normal 10 2 3 2 2 2 2 2 2 4" xfId="7230"/>
    <cellStyle name="Normal 10 2 3 2 2 2 2 2 2 4 2" xfId="17946"/>
    <cellStyle name="Normal 10 2 3 2 2 2 2 2 2 5" xfId="10558"/>
    <cellStyle name="Normal 10 2 3 2 2 2 2 2 2 5 2" xfId="21274"/>
    <cellStyle name="Normal 10 2 3 2 2 2 2 2 2 6" xfId="14618"/>
    <cellStyle name="Normal 10 2 3 2 2 2 2 2 3" xfId="4307"/>
    <cellStyle name="Normal 10 2 3 2 2 2 2 2 3 2" xfId="5975"/>
    <cellStyle name="Normal 10 2 3 2 2 2 2 2 3 2 2" xfId="9310"/>
    <cellStyle name="Normal 10 2 3 2 2 2 2 2 3 2 2 2" xfId="20026"/>
    <cellStyle name="Normal 10 2 3 2 2 2 2 2 3 2 3" xfId="12638"/>
    <cellStyle name="Normal 10 2 3 2 2 2 2 2 3 2 3 2" xfId="23354"/>
    <cellStyle name="Normal 10 2 3 2 2 2 2 2 3 2 4" xfId="16698"/>
    <cellStyle name="Normal 10 2 3 2 2 2 2 2 3 3" xfId="7646"/>
    <cellStyle name="Normal 10 2 3 2 2 2 2 2 3 3 2" xfId="18362"/>
    <cellStyle name="Normal 10 2 3 2 2 2 2 2 3 4" xfId="10974"/>
    <cellStyle name="Normal 10 2 3 2 2 2 2 2 3 4 2" xfId="21690"/>
    <cellStyle name="Normal 10 2 3 2 2 2 2 2 3 5" xfId="15034"/>
    <cellStyle name="Normal 10 2 3 2 2 2 2 2 4" xfId="5143"/>
    <cellStyle name="Normal 10 2 3 2 2 2 2 2 4 2" xfId="8478"/>
    <cellStyle name="Normal 10 2 3 2 2 2 2 2 4 2 2" xfId="19194"/>
    <cellStyle name="Normal 10 2 3 2 2 2 2 2 4 3" xfId="11806"/>
    <cellStyle name="Normal 10 2 3 2 2 2 2 2 4 3 2" xfId="22522"/>
    <cellStyle name="Normal 10 2 3 2 2 2 2 2 4 4" xfId="15866"/>
    <cellStyle name="Normal 10 2 3 2 2 2 2 2 5" xfId="6812"/>
    <cellStyle name="Normal 10 2 3 2 2 2 2 2 5 2" xfId="17530"/>
    <cellStyle name="Normal 10 2 3 2 2 2 2 2 6" xfId="10142"/>
    <cellStyle name="Normal 10 2 3 2 2 2 2 2 6 2" xfId="20858"/>
    <cellStyle name="Normal 10 2 3 2 2 2 2 2 7" xfId="14200"/>
    <cellStyle name="Normal 10 2 3 2 2 2 2 3" xfId="3659"/>
    <cellStyle name="Normal 10 2 3 2 2 2 2 3 2" xfId="4515"/>
    <cellStyle name="Normal 10 2 3 2 2 2 2 3 2 2" xfId="6183"/>
    <cellStyle name="Normal 10 2 3 2 2 2 2 3 2 2 2" xfId="9518"/>
    <cellStyle name="Normal 10 2 3 2 2 2 2 3 2 2 2 2" xfId="20234"/>
    <cellStyle name="Normal 10 2 3 2 2 2 2 3 2 2 3" xfId="12846"/>
    <cellStyle name="Normal 10 2 3 2 2 2 2 3 2 2 3 2" xfId="23562"/>
    <cellStyle name="Normal 10 2 3 2 2 2 2 3 2 2 4" xfId="16906"/>
    <cellStyle name="Normal 10 2 3 2 2 2 2 3 2 3" xfId="7854"/>
    <cellStyle name="Normal 10 2 3 2 2 2 2 3 2 3 2" xfId="18570"/>
    <cellStyle name="Normal 10 2 3 2 2 2 2 3 2 4" xfId="11182"/>
    <cellStyle name="Normal 10 2 3 2 2 2 2 3 2 4 2" xfId="21898"/>
    <cellStyle name="Normal 10 2 3 2 2 2 2 3 2 5" xfId="15242"/>
    <cellStyle name="Normal 10 2 3 2 2 2 2 3 3" xfId="5351"/>
    <cellStyle name="Normal 10 2 3 2 2 2 2 3 3 2" xfId="8686"/>
    <cellStyle name="Normal 10 2 3 2 2 2 2 3 3 2 2" xfId="19402"/>
    <cellStyle name="Normal 10 2 3 2 2 2 2 3 3 3" xfId="12014"/>
    <cellStyle name="Normal 10 2 3 2 2 2 2 3 3 3 2" xfId="22730"/>
    <cellStyle name="Normal 10 2 3 2 2 2 2 3 3 4" xfId="16074"/>
    <cellStyle name="Normal 10 2 3 2 2 2 2 3 4" xfId="7022"/>
    <cellStyle name="Normal 10 2 3 2 2 2 2 3 4 2" xfId="17738"/>
    <cellStyle name="Normal 10 2 3 2 2 2 2 3 5" xfId="10350"/>
    <cellStyle name="Normal 10 2 3 2 2 2 2 3 5 2" xfId="21066"/>
    <cellStyle name="Normal 10 2 3 2 2 2 2 3 6" xfId="14410"/>
    <cellStyle name="Normal 10 2 3 2 2 2 2 4" xfId="4097"/>
    <cellStyle name="Normal 10 2 3 2 2 2 2 4 2" xfId="5767"/>
    <cellStyle name="Normal 10 2 3 2 2 2 2 4 2 2" xfId="9102"/>
    <cellStyle name="Normal 10 2 3 2 2 2 2 4 2 2 2" xfId="19818"/>
    <cellStyle name="Normal 10 2 3 2 2 2 2 4 2 3" xfId="12430"/>
    <cellStyle name="Normal 10 2 3 2 2 2 2 4 2 3 2" xfId="23146"/>
    <cellStyle name="Normal 10 2 3 2 2 2 2 4 2 4" xfId="16490"/>
    <cellStyle name="Normal 10 2 3 2 2 2 2 4 3" xfId="7438"/>
    <cellStyle name="Normal 10 2 3 2 2 2 2 4 3 2" xfId="18154"/>
    <cellStyle name="Normal 10 2 3 2 2 2 2 4 4" xfId="10766"/>
    <cellStyle name="Normal 10 2 3 2 2 2 2 4 4 2" xfId="21482"/>
    <cellStyle name="Normal 10 2 3 2 2 2 2 4 5" xfId="14826"/>
    <cellStyle name="Normal 10 2 3 2 2 2 2 5" xfId="4932"/>
    <cellStyle name="Normal 10 2 3 2 2 2 2 5 2" xfId="8270"/>
    <cellStyle name="Normal 10 2 3 2 2 2 2 5 2 2" xfId="18986"/>
    <cellStyle name="Normal 10 2 3 2 2 2 2 5 3" xfId="11598"/>
    <cellStyle name="Normal 10 2 3 2 2 2 2 5 3 2" xfId="22314"/>
    <cellStyle name="Normal 10 2 3 2 2 2 2 5 4" xfId="15658"/>
    <cellStyle name="Normal 10 2 3 2 2 2 2 6" xfId="6602"/>
    <cellStyle name="Normal 10 2 3 2 2 2 2 6 2" xfId="17322"/>
    <cellStyle name="Normal 10 2 3 2 2 2 2 7" xfId="9934"/>
    <cellStyle name="Normal 10 2 3 2 2 2 2 7 2" xfId="20650"/>
    <cellStyle name="Normal 10 2 3 2 2 2 2 8" xfId="13991"/>
    <cellStyle name="Normal 10 2 3 2 2 2 3" xfId="2764"/>
    <cellStyle name="Normal 10 2 3 2 2 2 3 2" xfId="3882"/>
    <cellStyle name="Normal 10 2 3 2 2 2 3 2 2" xfId="4722"/>
    <cellStyle name="Normal 10 2 3 2 2 2 3 2 2 2" xfId="6390"/>
    <cellStyle name="Normal 10 2 3 2 2 2 3 2 2 2 2" xfId="9725"/>
    <cellStyle name="Normal 10 2 3 2 2 2 3 2 2 2 2 2" xfId="20441"/>
    <cellStyle name="Normal 10 2 3 2 2 2 3 2 2 2 3" xfId="13053"/>
    <cellStyle name="Normal 10 2 3 2 2 2 3 2 2 2 3 2" xfId="23769"/>
    <cellStyle name="Normal 10 2 3 2 2 2 3 2 2 2 4" xfId="17113"/>
    <cellStyle name="Normal 10 2 3 2 2 2 3 2 2 3" xfId="8061"/>
    <cellStyle name="Normal 10 2 3 2 2 2 3 2 2 3 2" xfId="18777"/>
    <cellStyle name="Normal 10 2 3 2 2 2 3 2 2 4" xfId="11389"/>
    <cellStyle name="Normal 10 2 3 2 2 2 3 2 2 4 2" xfId="22105"/>
    <cellStyle name="Normal 10 2 3 2 2 2 3 2 2 5" xfId="15449"/>
    <cellStyle name="Normal 10 2 3 2 2 2 3 2 3" xfId="5558"/>
    <cellStyle name="Normal 10 2 3 2 2 2 3 2 3 2" xfId="8893"/>
    <cellStyle name="Normal 10 2 3 2 2 2 3 2 3 2 2" xfId="19609"/>
    <cellStyle name="Normal 10 2 3 2 2 2 3 2 3 3" xfId="12221"/>
    <cellStyle name="Normal 10 2 3 2 2 2 3 2 3 3 2" xfId="22937"/>
    <cellStyle name="Normal 10 2 3 2 2 2 3 2 3 4" xfId="16281"/>
    <cellStyle name="Normal 10 2 3 2 2 2 3 2 4" xfId="7229"/>
    <cellStyle name="Normal 10 2 3 2 2 2 3 2 4 2" xfId="17945"/>
    <cellStyle name="Normal 10 2 3 2 2 2 3 2 5" xfId="10557"/>
    <cellStyle name="Normal 10 2 3 2 2 2 3 2 5 2" xfId="21273"/>
    <cellStyle name="Normal 10 2 3 2 2 2 3 2 6" xfId="14617"/>
    <cellStyle name="Normal 10 2 3 2 2 2 3 3" xfId="4306"/>
    <cellStyle name="Normal 10 2 3 2 2 2 3 3 2" xfId="5974"/>
    <cellStyle name="Normal 10 2 3 2 2 2 3 3 2 2" xfId="9309"/>
    <cellStyle name="Normal 10 2 3 2 2 2 3 3 2 2 2" xfId="20025"/>
    <cellStyle name="Normal 10 2 3 2 2 2 3 3 2 3" xfId="12637"/>
    <cellStyle name="Normal 10 2 3 2 2 2 3 3 2 3 2" xfId="23353"/>
    <cellStyle name="Normal 10 2 3 2 2 2 3 3 2 4" xfId="16697"/>
    <cellStyle name="Normal 10 2 3 2 2 2 3 3 3" xfId="7645"/>
    <cellStyle name="Normal 10 2 3 2 2 2 3 3 3 2" xfId="18361"/>
    <cellStyle name="Normal 10 2 3 2 2 2 3 3 4" xfId="10973"/>
    <cellStyle name="Normal 10 2 3 2 2 2 3 3 4 2" xfId="21689"/>
    <cellStyle name="Normal 10 2 3 2 2 2 3 3 5" xfId="15033"/>
    <cellStyle name="Normal 10 2 3 2 2 2 3 4" xfId="5142"/>
    <cellStyle name="Normal 10 2 3 2 2 2 3 4 2" xfId="8477"/>
    <cellStyle name="Normal 10 2 3 2 2 2 3 4 2 2" xfId="19193"/>
    <cellStyle name="Normal 10 2 3 2 2 2 3 4 3" xfId="11805"/>
    <cellStyle name="Normal 10 2 3 2 2 2 3 4 3 2" xfId="22521"/>
    <cellStyle name="Normal 10 2 3 2 2 2 3 4 4" xfId="15865"/>
    <cellStyle name="Normal 10 2 3 2 2 2 3 5" xfId="6811"/>
    <cellStyle name="Normal 10 2 3 2 2 2 3 5 2" xfId="17529"/>
    <cellStyle name="Normal 10 2 3 2 2 2 3 6" xfId="10141"/>
    <cellStyle name="Normal 10 2 3 2 2 2 3 6 2" xfId="20857"/>
    <cellStyle name="Normal 10 2 3 2 2 2 3 7" xfId="14199"/>
    <cellStyle name="Normal 10 2 3 2 2 2 4" xfId="3658"/>
    <cellStyle name="Normal 10 2 3 2 2 2 4 2" xfId="4514"/>
    <cellStyle name="Normal 10 2 3 2 2 2 4 2 2" xfId="6182"/>
    <cellStyle name="Normal 10 2 3 2 2 2 4 2 2 2" xfId="9517"/>
    <cellStyle name="Normal 10 2 3 2 2 2 4 2 2 2 2" xfId="20233"/>
    <cellStyle name="Normal 10 2 3 2 2 2 4 2 2 3" xfId="12845"/>
    <cellStyle name="Normal 10 2 3 2 2 2 4 2 2 3 2" xfId="23561"/>
    <cellStyle name="Normal 10 2 3 2 2 2 4 2 2 4" xfId="16905"/>
    <cellStyle name="Normal 10 2 3 2 2 2 4 2 3" xfId="7853"/>
    <cellStyle name="Normal 10 2 3 2 2 2 4 2 3 2" xfId="18569"/>
    <cellStyle name="Normal 10 2 3 2 2 2 4 2 4" xfId="11181"/>
    <cellStyle name="Normal 10 2 3 2 2 2 4 2 4 2" xfId="21897"/>
    <cellStyle name="Normal 10 2 3 2 2 2 4 2 5" xfId="15241"/>
    <cellStyle name="Normal 10 2 3 2 2 2 4 3" xfId="5350"/>
    <cellStyle name="Normal 10 2 3 2 2 2 4 3 2" xfId="8685"/>
    <cellStyle name="Normal 10 2 3 2 2 2 4 3 2 2" xfId="19401"/>
    <cellStyle name="Normal 10 2 3 2 2 2 4 3 3" xfId="12013"/>
    <cellStyle name="Normal 10 2 3 2 2 2 4 3 3 2" xfId="22729"/>
    <cellStyle name="Normal 10 2 3 2 2 2 4 3 4" xfId="16073"/>
    <cellStyle name="Normal 10 2 3 2 2 2 4 4" xfId="7021"/>
    <cellStyle name="Normal 10 2 3 2 2 2 4 4 2" xfId="17737"/>
    <cellStyle name="Normal 10 2 3 2 2 2 4 5" xfId="10349"/>
    <cellStyle name="Normal 10 2 3 2 2 2 4 5 2" xfId="21065"/>
    <cellStyle name="Normal 10 2 3 2 2 2 4 6" xfId="14409"/>
    <cellStyle name="Normal 10 2 3 2 2 2 5" xfId="4096"/>
    <cellStyle name="Normal 10 2 3 2 2 2 5 2" xfId="5766"/>
    <cellStyle name="Normal 10 2 3 2 2 2 5 2 2" xfId="9101"/>
    <cellStyle name="Normal 10 2 3 2 2 2 5 2 2 2" xfId="19817"/>
    <cellStyle name="Normal 10 2 3 2 2 2 5 2 3" xfId="12429"/>
    <cellStyle name="Normal 10 2 3 2 2 2 5 2 3 2" xfId="23145"/>
    <cellStyle name="Normal 10 2 3 2 2 2 5 2 4" xfId="16489"/>
    <cellStyle name="Normal 10 2 3 2 2 2 5 3" xfId="7437"/>
    <cellStyle name="Normal 10 2 3 2 2 2 5 3 2" xfId="18153"/>
    <cellStyle name="Normal 10 2 3 2 2 2 5 4" xfId="10765"/>
    <cellStyle name="Normal 10 2 3 2 2 2 5 4 2" xfId="21481"/>
    <cellStyle name="Normal 10 2 3 2 2 2 5 5" xfId="14825"/>
    <cellStyle name="Normal 10 2 3 2 2 2 6" xfId="4931"/>
    <cellStyle name="Normal 10 2 3 2 2 2 6 2" xfId="8269"/>
    <cellStyle name="Normal 10 2 3 2 2 2 6 2 2" xfId="18985"/>
    <cellStyle name="Normal 10 2 3 2 2 2 6 3" xfId="11597"/>
    <cellStyle name="Normal 10 2 3 2 2 2 6 3 2" xfId="22313"/>
    <cellStyle name="Normal 10 2 3 2 2 2 6 4" xfId="15657"/>
    <cellStyle name="Normal 10 2 3 2 2 2 7" xfId="6601"/>
    <cellStyle name="Normal 10 2 3 2 2 2 7 2" xfId="17321"/>
    <cellStyle name="Normal 10 2 3 2 2 2 8" xfId="9933"/>
    <cellStyle name="Normal 10 2 3 2 2 2 8 2" xfId="20649"/>
    <cellStyle name="Normal 10 2 3 2 2 2 9" xfId="13990"/>
    <cellStyle name="Normal 10 2 3 2 2 3" xfId="1039"/>
    <cellStyle name="Normal 10 2 3 2 2 3 2" xfId="2766"/>
    <cellStyle name="Normal 10 2 3 2 2 3 2 2" xfId="3884"/>
    <cellStyle name="Normal 10 2 3 2 2 3 2 2 2" xfId="4724"/>
    <cellStyle name="Normal 10 2 3 2 2 3 2 2 2 2" xfId="6392"/>
    <cellStyle name="Normal 10 2 3 2 2 3 2 2 2 2 2" xfId="9727"/>
    <cellStyle name="Normal 10 2 3 2 2 3 2 2 2 2 2 2" xfId="20443"/>
    <cellStyle name="Normal 10 2 3 2 2 3 2 2 2 2 3" xfId="13055"/>
    <cellStyle name="Normal 10 2 3 2 2 3 2 2 2 2 3 2" xfId="23771"/>
    <cellStyle name="Normal 10 2 3 2 2 3 2 2 2 2 4" xfId="17115"/>
    <cellStyle name="Normal 10 2 3 2 2 3 2 2 2 3" xfId="8063"/>
    <cellStyle name="Normal 10 2 3 2 2 3 2 2 2 3 2" xfId="18779"/>
    <cellStyle name="Normal 10 2 3 2 2 3 2 2 2 4" xfId="11391"/>
    <cellStyle name="Normal 10 2 3 2 2 3 2 2 2 4 2" xfId="22107"/>
    <cellStyle name="Normal 10 2 3 2 2 3 2 2 2 5" xfId="15451"/>
    <cellStyle name="Normal 10 2 3 2 2 3 2 2 3" xfId="5560"/>
    <cellStyle name="Normal 10 2 3 2 2 3 2 2 3 2" xfId="8895"/>
    <cellStyle name="Normal 10 2 3 2 2 3 2 2 3 2 2" xfId="19611"/>
    <cellStyle name="Normal 10 2 3 2 2 3 2 2 3 3" xfId="12223"/>
    <cellStyle name="Normal 10 2 3 2 2 3 2 2 3 3 2" xfId="22939"/>
    <cellStyle name="Normal 10 2 3 2 2 3 2 2 3 4" xfId="16283"/>
    <cellStyle name="Normal 10 2 3 2 2 3 2 2 4" xfId="7231"/>
    <cellStyle name="Normal 10 2 3 2 2 3 2 2 4 2" xfId="17947"/>
    <cellStyle name="Normal 10 2 3 2 2 3 2 2 5" xfId="10559"/>
    <cellStyle name="Normal 10 2 3 2 2 3 2 2 5 2" xfId="21275"/>
    <cellStyle name="Normal 10 2 3 2 2 3 2 2 6" xfId="14619"/>
    <cellStyle name="Normal 10 2 3 2 2 3 2 3" xfId="4308"/>
    <cellStyle name="Normal 10 2 3 2 2 3 2 3 2" xfId="5976"/>
    <cellStyle name="Normal 10 2 3 2 2 3 2 3 2 2" xfId="9311"/>
    <cellStyle name="Normal 10 2 3 2 2 3 2 3 2 2 2" xfId="20027"/>
    <cellStyle name="Normal 10 2 3 2 2 3 2 3 2 3" xfId="12639"/>
    <cellStyle name="Normal 10 2 3 2 2 3 2 3 2 3 2" xfId="23355"/>
    <cellStyle name="Normal 10 2 3 2 2 3 2 3 2 4" xfId="16699"/>
    <cellStyle name="Normal 10 2 3 2 2 3 2 3 3" xfId="7647"/>
    <cellStyle name="Normal 10 2 3 2 2 3 2 3 3 2" xfId="18363"/>
    <cellStyle name="Normal 10 2 3 2 2 3 2 3 4" xfId="10975"/>
    <cellStyle name="Normal 10 2 3 2 2 3 2 3 4 2" xfId="21691"/>
    <cellStyle name="Normal 10 2 3 2 2 3 2 3 5" xfId="15035"/>
    <cellStyle name="Normal 10 2 3 2 2 3 2 4" xfId="5144"/>
    <cellStyle name="Normal 10 2 3 2 2 3 2 4 2" xfId="8479"/>
    <cellStyle name="Normal 10 2 3 2 2 3 2 4 2 2" xfId="19195"/>
    <cellStyle name="Normal 10 2 3 2 2 3 2 4 3" xfId="11807"/>
    <cellStyle name="Normal 10 2 3 2 2 3 2 4 3 2" xfId="22523"/>
    <cellStyle name="Normal 10 2 3 2 2 3 2 4 4" xfId="15867"/>
    <cellStyle name="Normal 10 2 3 2 2 3 2 5" xfId="6813"/>
    <cellStyle name="Normal 10 2 3 2 2 3 2 5 2" xfId="17531"/>
    <cellStyle name="Normal 10 2 3 2 2 3 2 6" xfId="10143"/>
    <cellStyle name="Normal 10 2 3 2 2 3 2 6 2" xfId="20859"/>
    <cellStyle name="Normal 10 2 3 2 2 3 2 7" xfId="14201"/>
    <cellStyle name="Normal 10 2 3 2 2 3 3" xfId="3660"/>
    <cellStyle name="Normal 10 2 3 2 2 3 3 2" xfId="4516"/>
    <cellStyle name="Normal 10 2 3 2 2 3 3 2 2" xfId="6184"/>
    <cellStyle name="Normal 10 2 3 2 2 3 3 2 2 2" xfId="9519"/>
    <cellStyle name="Normal 10 2 3 2 2 3 3 2 2 2 2" xfId="20235"/>
    <cellStyle name="Normal 10 2 3 2 2 3 3 2 2 3" xfId="12847"/>
    <cellStyle name="Normal 10 2 3 2 2 3 3 2 2 3 2" xfId="23563"/>
    <cellStyle name="Normal 10 2 3 2 2 3 3 2 2 4" xfId="16907"/>
    <cellStyle name="Normal 10 2 3 2 2 3 3 2 3" xfId="7855"/>
    <cellStyle name="Normal 10 2 3 2 2 3 3 2 3 2" xfId="18571"/>
    <cellStyle name="Normal 10 2 3 2 2 3 3 2 4" xfId="11183"/>
    <cellStyle name="Normal 10 2 3 2 2 3 3 2 4 2" xfId="21899"/>
    <cellStyle name="Normal 10 2 3 2 2 3 3 2 5" xfId="15243"/>
    <cellStyle name="Normal 10 2 3 2 2 3 3 3" xfId="5352"/>
    <cellStyle name="Normal 10 2 3 2 2 3 3 3 2" xfId="8687"/>
    <cellStyle name="Normal 10 2 3 2 2 3 3 3 2 2" xfId="19403"/>
    <cellStyle name="Normal 10 2 3 2 2 3 3 3 3" xfId="12015"/>
    <cellStyle name="Normal 10 2 3 2 2 3 3 3 3 2" xfId="22731"/>
    <cellStyle name="Normal 10 2 3 2 2 3 3 3 4" xfId="16075"/>
    <cellStyle name="Normal 10 2 3 2 2 3 3 4" xfId="7023"/>
    <cellStyle name="Normal 10 2 3 2 2 3 3 4 2" xfId="17739"/>
    <cellStyle name="Normal 10 2 3 2 2 3 3 5" xfId="10351"/>
    <cellStyle name="Normal 10 2 3 2 2 3 3 5 2" xfId="21067"/>
    <cellStyle name="Normal 10 2 3 2 2 3 3 6" xfId="14411"/>
    <cellStyle name="Normal 10 2 3 2 2 3 4" xfId="4098"/>
    <cellStyle name="Normal 10 2 3 2 2 3 4 2" xfId="5768"/>
    <cellStyle name="Normal 10 2 3 2 2 3 4 2 2" xfId="9103"/>
    <cellStyle name="Normal 10 2 3 2 2 3 4 2 2 2" xfId="19819"/>
    <cellStyle name="Normal 10 2 3 2 2 3 4 2 3" xfId="12431"/>
    <cellStyle name="Normal 10 2 3 2 2 3 4 2 3 2" xfId="23147"/>
    <cellStyle name="Normal 10 2 3 2 2 3 4 2 4" xfId="16491"/>
    <cellStyle name="Normal 10 2 3 2 2 3 4 3" xfId="7439"/>
    <cellStyle name="Normal 10 2 3 2 2 3 4 3 2" xfId="18155"/>
    <cellStyle name="Normal 10 2 3 2 2 3 4 4" xfId="10767"/>
    <cellStyle name="Normal 10 2 3 2 2 3 4 4 2" xfId="21483"/>
    <cellStyle name="Normal 10 2 3 2 2 3 4 5" xfId="14827"/>
    <cellStyle name="Normal 10 2 3 2 2 3 5" xfId="4933"/>
    <cellStyle name="Normal 10 2 3 2 2 3 5 2" xfId="8271"/>
    <cellStyle name="Normal 10 2 3 2 2 3 5 2 2" xfId="18987"/>
    <cellStyle name="Normal 10 2 3 2 2 3 5 3" xfId="11599"/>
    <cellStyle name="Normal 10 2 3 2 2 3 5 3 2" xfId="22315"/>
    <cellStyle name="Normal 10 2 3 2 2 3 5 4" xfId="15659"/>
    <cellStyle name="Normal 10 2 3 2 2 3 6" xfId="6603"/>
    <cellStyle name="Normal 10 2 3 2 2 3 6 2" xfId="17323"/>
    <cellStyle name="Normal 10 2 3 2 2 3 7" xfId="9935"/>
    <cellStyle name="Normal 10 2 3 2 2 3 7 2" xfId="20651"/>
    <cellStyle name="Normal 10 2 3 2 2 3 8" xfId="13992"/>
    <cellStyle name="Normal 10 2 3 2 2 4" xfId="2763"/>
    <cellStyle name="Normal 10 2 3 2 2 4 2" xfId="3881"/>
    <cellStyle name="Normal 10 2 3 2 2 4 2 2" xfId="4721"/>
    <cellStyle name="Normal 10 2 3 2 2 4 2 2 2" xfId="6389"/>
    <cellStyle name="Normal 10 2 3 2 2 4 2 2 2 2" xfId="9724"/>
    <cellStyle name="Normal 10 2 3 2 2 4 2 2 2 2 2" xfId="20440"/>
    <cellStyle name="Normal 10 2 3 2 2 4 2 2 2 3" xfId="13052"/>
    <cellStyle name="Normal 10 2 3 2 2 4 2 2 2 3 2" xfId="23768"/>
    <cellStyle name="Normal 10 2 3 2 2 4 2 2 2 4" xfId="17112"/>
    <cellStyle name="Normal 10 2 3 2 2 4 2 2 3" xfId="8060"/>
    <cellStyle name="Normal 10 2 3 2 2 4 2 2 3 2" xfId="18776"/>
    <cellStyle name="Normal 10 2 3 2 2 4 2 2 4" xfId="11388"/>
    <cellStyle name="Normal 10 2 3 2 2 4 2 2 4 2" xfId="22104"/>
    <cellStyle name="Normal 10 2 3 2 2 4 2 2 5" xfId="15448"/>
    <cellStyle name="Normal 10 2 3 2 2 4 2 3" xfId="5557"/>
    <cellStyle name="Normal 10 2 3 2 2 4 2 3 2" xfId="8892"/>
    <cellStyle name="Normal 10 2 3 2 2 4 2 3 2 2" xfId="19608"/>
    <cellStyle name="Normal 10 2 3 2 2 4 2 3 3" xfId="12220"/>
    <cellStyle name="Normal 10 2 3 2 2 4 2 3 3 2" xfId="22936"/>
    <cellStyle name="Normal 10 2 3 2 2 4 2 3 4" xfId="16280"/>
    <cellStyle name="Normal 10 2 3 2 2 4 2 4" xfId="7228"/>
    <cellStyle name="Normal 10 2 3 2 2 4 2 4 2" xfId="17944"/>
    <cellStyle name="Normal 10 2 3 2 2 4 2 5" xfId="10556"/>
    <cellStyle name="Normal 10 2 3 2 2 4 2 5 2" xfId="21272"/>
    <cellStyle name="Normal 10 2 3 2 2 4 2 6" xfId="14616"/>
    <cellStyle name="Normal 10 2 3 2 2 4 3" xfId="4305"/>
    <cellStyle name="Normal 10 2 3 2 2 4 3 2" xfId="5973"/>
    <cellStyle name="Normal 10 2 3 2 2 4 3 2 2" xfId="9308"/>
    <cellStyle name="Normal 10 2 3 2 2 4 3 2 2 2" xfId="20024"/>
    <cellStyle name="Normal 10 2 3 2 2 4 3 2 3" xfId="12636"/>
    <cellStyle name="Normal 10 2 3 2 2 4 3 2 3 2" xfId="23352"/>
    <cellStyle name="Normal 10 2 3 2 2 4 3 2 4" xfId="16696"/>
    <cellStyle name="Normal 10 2 3 2 2 4 3 3" xfId="7644"/>
    <cellStyle name="Normal 10 2 3 2 2 4 3 3 2" xfId="18360"/>
    <cellStyle name="Normal 10 2 3 2 2 4 3 4" xfId="10972"/>
    <cellStyle name="Normal 10 2 3 2 2 4 3 4 2" xfId="21688"/>
    <cellStyle name="Normal 10 2 3 2 2 4 3 5" xfId="15032"/>
    <cellStyle name="Normal 10 2 3 2 2 4 4" xfId="5141"/>
    <cellStyle name="Normal 10 2 3 2 2 4 4 2" xfId="8476"/>
    <cellStyle name="Normal 10 2 3 2 2 4 4 2 2" xfId="19192"/>
    <cellStyle name="Normal 10 2 3 2 2 4 4 3" xfId="11804"/>
    <cellStyle name="Normal 10 2 3 2 2 4 4 3 2" xfId="22520"/>
    <cellStyle name="Normal 10 2 3 2 2 4 4 4" xfId="15864"/>
    <cellStyle name="Normal 10 2 3 2 2 4 5" xfId="6810"/>
    <cellStyle name="Normal 10 2 3 2 2 4 5 2" xfId="17528"/>
    <cellStyle name="Normal 10 2 3 2 2 4 6" xfId="10140"/>
    <cellStyle name="Normal 10 2 3 2 2 4 6 2" xfId="20856"/>
    <cellStyle name="Normal 10 2 3 2 2 4 7" xfId="14198"/>
    <cellStyle name="Normal 10 2 3 2 2 5" xfId="3657"/>
    <cellStyle name="Normal 10 2 3 2 2 5 2" xfId="4513"/>
    <cellStyle name="Normal 10 2 3 2 2 5 2 2" xfId="6181"/>
    <cellStyle name="Normal 10 2 3 2 2 5 2 2 2" xfId="9516"/>
    <cellStyle name="Normal 10 2 3 2 2 5 2 2 2 2" xfId="20232"/>
    <cellStyle name="Normal 10 2 3 2 2 5 2 2 3" xfId="12844"/>
    <cellStyle name="Normal 10 2 3 2 2 5 2 2 3 2" xfId="23560"/>
    <cellStyle name="Normal 10 2 3 2 2 5 2 2 4" xfId="16904"/>
    <cellStyle name="Normal 10 2 3 2 2 5 2 3" xfId="7852"/>
    <cellStyle name="Normal 10 2 3 2 2 5 2 3 2" xfId="18568"/>
    <cellStyle name="Normal 10 2 3 2 2 5 2 4" xfId="11180"/>
    <cellStyle name="Normal 10 2 3 2 2 5 2 4 2" xfId="21896"/>
    <cellStyle name="Normal 10 2 3 2 2 5 2 5" xfId="15240"/>
    <cellStyle name="Normal 10 2 3 2 2 5 3" xfId="5349"/>
    <cellStyle name="Normal 10 2 3 2 2 5 3 2" xfId="8684"/>
    <cellStyle name="Normal 10 2 3 2 2 5 3 2 2" xfId="19400"/>
    <cellStyle name="Normal 10 2 3 2 2 5 3 3" xfId="12012"/>
    <cellStyle name="Normal 10 2 3 2 2 5 3 3 2" xfId="22728"/>
    <cellStyle name="Normal 10 2 3 2 2 5 3 4" xfId="16072"/>
    <cellStyle name="Normal 10 2 3 2 2 5 4" xfId="7020"/>
    <cellStyle name="Normal 10 2 3 2 2 5 4 2" xfId="17736"/>
    <cellStyle name="Normal 10 2 3 2 2 5 5" xfId="10348"/>
    <cellStyle name="Normal 10 2 3 2 2 5 5 2" xfId="21064"/>
    <cellStyle name="Normal 10 2 3 2 2 5 6" xfId="14408"/>
    <cellStyle name="Normal 10 2 3 2 2 6" xfId="4095"/>
    <cellStyle name="Normal 10 2 3 2 2 6 2" xfId="5765"/>
    <cellStyle name="Normal 10 2 3 2 2 6 2 2" xfId="9100"/>
    <cellStyle name="Normal 10 2 3 2 2 6 2 2 2" xfId="19816"/>
    <cellStyle name="Normal 10 2 3 2 2 6 2 3" xfId="12428"/>
    <cellStyle name="Normal 10 2 3 2 2 6 2 3 2" xfId="23144"/>
    <cellStyle name="Normal 10 2 3 2 2 6 2 4" xfId="16488"/>
    <cellStyle name="Normal 10 2 3 2 2 6 3" xfId="7436"/>
    <cellStyle name="Normal 10 2 3 2 2 6 3 2" xfId="18152"/>
    <cellStyle name="Normal 10 2 3 2 2 6 4" xfId="10764"/>
    <cellStyle name="Normal 10 2 3 2 2 6 4 2" xfId="21480"/>
    <cellStyle name="Normal 10 2 3 2 2 6 5" xfId="14824"/>
    <cellStyle name="Normal 10 2 3 2 2 7" xfId="4930"/>
    <cellStyle name="Normal 10 2 3 2 2 7 2" xfId="8268"/>
    <cellStyle name="Normal 10 2 3 2 2 7 2 2" xfId="18984"/>
    <cellStyle name="Normal 10 2 3 2 2 7 3" xfId="11596"/>
    <cellStyle name="Normal 10 2 3 2 2 7 3 2" xfId="22312"/>
    <cellStyle name="Normal 10 2 3 2 2 7 4" xfId="15656"/>
    <cellStyle name="Normal 10 2 3 2 2 8" xfId="6600"/>
    <cellStyle name="Normal 10 2 3 2 2 8 2" xfId="17320"/>
    <cellStyle name="Normal 10 2 3 2 2 9" xfId="9932"/>
    <cellStyle name="Normal 10 2 3 2 2 9 2" xfId="20648"/>
    <cellStyle name="Normal 10 2 3 2 3" xfId="1040"/>
    <cellStyle name="Normal 10 2 3 2 3 2" xfId="1041"/>
    <cellStyle name="Normal 10 2 3 2 3 2 2" xfId="2768"/>
    <cellStyle name="Normal 10 2 3 2 3 2 2 2" xfId="3886"/>
    <cellStyle name="Normal 10 2 3 2 3 2 2 2 2" xfId="4726"/>
    <cellStyle name="Normal 10 2 3 2 3 2 2 2 2 2" xfId="6394"/>
    <cellStyle name="Normal 10 2 3 2 3 2 2 2 2 2 2" xfId="9729"/>
    <cellStyle name="Normal 10 2 3 2 3 2 2 2 2 2 2 2" xfId="20445"/>
    <cellStyle name="Normal 10 2 3 2 3 2 2 2 2 2 3" xfId="13057"/>
    <cellStyle name="Normal 10 2 3 2 3 2 2 2 2 2 3 2" xfId="23773"/>
    <cellStyle name="Normal 10 2 3 2 3 2 2 2 2 2 4" xfId="17117"/>
    <cellStyle name="Normal 10 2 3 2 3 2 2 2 2 3" xfId="8065"/>
    <cellStyle name="Normal 10 2 3 2 3 2 2 2 2 3 2" xfId="18781"/>
    <cellStyle name="Normal 10 2 3 2 3 2 2 2 2 4" xfId="11393"/>
    <cellStyle name="Normal 10 2 3 2 3 2 2 2 2 4 2" xfId="22109"/>
    <cellStyle name="Normal 10 2 3 2 3 2 2 2 2 5" xfId="15453"/>
    <cellStyle name="Normal 10 2 3 2 3 2 2 2 3" xfId="5562"/>
    <cellStyle name="Normal 10 2 3 2 3 2 2 2 3 2" xfId="8897"/>
    <cellStyle name="Normal 10 2 3 2 3 2 2 2 3 2 2" xfId="19613"/>
    <cellStyle name="Normal 10 2 3 2 3 2 2 2 3 3" xfId="12225"/>
    <cellStyle name="Normal 10 2 3 2 3 2 2 2 3 3 2" xfId="22941"/>
    <cellStyle name="Normal 10 2 3 2 3 2 2 2 3 4" xfId="16285"/>
    <cellStyle name="Normal 10 2 3 2 3 2 2 2 4" xfId="7233"/>
    <cellStyle name="Normal 10 2 3 2 3 2 2 2 4 2" xfId="17949"/>
    <cellStyle name="Normal 10 2 3 2 3 2 2 2 5" xfId="10561"/>
    <cellStyle name="Normal 10 2 3 2 3 2 2 2 5 2" xfId="21277"/>
    <cellStyle name="Normal 10 2 3 2 3 2 2 2 6" xfId="14621"/>
    <cellStyle name="Normal 10 2 3 2 3 2 2 3" xfId="4310"/>
    <cellStyle name="Normal 10 2 3 2 3 2 2 3 2" xfId="5978"/>
    <cellStyle name="Normal 10 2 3 2 3 2 2 3 2 2" xfId="9313"/>
    <cellStyle name="Normal 10 2 3 2 3 2 2 3 2 2 2" xfId="20029"/>
    <cellStyle name="Normal 10 2 3 2 3 2 2 3 2 3" xfId="12641"/>
    <cellStyle name="Normal 10 2 3 2 3 2 2 3 2 3 2" xfId="23357"/>
    <cellStyle name="Normal 10 2 3 2 3 2 2 3 2 4" xfId="16701"/>
    <cellStyle name="Normal 10 2 3 2 3 2 2 3 3" xfId="7649"/>
    <cellStyle name="Normal 10 2 3 2 3 2 2 3 3 2" xfId="18365"/>
    <cellStyle name="Normal 10 2 3 2 3 2 2 3 4" xfId="10977"/>
    <cellStyle name="Normal 10 2 3 2 3 2 2 3 4 2" xfId="21693"/>
    <cellStyle name="Normal 10 2 3 2 3 2 2 3 5" xfId="15037"/>
    <cellStyle name="Normal 10 2 3 2 3 2 2 4" xfId="5146"/>
    <cellStyle name="Normal 10 2 3 2 3 2 2 4 2" xfId="8481"/>
    <cellStyle name="Normal 10 2 3 2 3 2 2 4 2 2" xfId="19197"/>
    <cellStyle name="Normal 10 2 3 2 3 2 2 4 3" xfId="11809"/>
    <cellStyle name="Normal 10 2 3 2 3 2 2 4 3 2" xfId="22525"/>
    <cellStyle name="Normal 10 2 3 2 3 2 2 4 4" xfId="15869"/>
    <cellStyle name="Normal 10 2 3 2 3 2 2 5" xfId="6815"/>
    <cellStyle name="Normal 10 2 3 2 3 2 2 5 2" xfId="17533"/>
    <cellStyle name="Normal 10 2 3 2 3 2 2 6" xfId="10145"/>
    <cellStyle name="Normal 10 2 3 2 3 2 2 6 2" xfId="20861"/>
    <cellStyle name="Normal 10 2 3 2 3 2 2 7" xfId="14203"/>
    <cellStyle name="Normal 10 2 3 2 3 2 3" xfId="3662"/>
    <cellStyle name="Normal 10 2 3 2 3 2 3 2" xfId="4518"/>
    <cellStyle name="Normal 10 2 3 2 3 2 3 2 2" xfId="6186"/>
    <cellStyle name="Normal 10 2 3 2 3 2 3 2 2 2" xfId="9521"/>
    <cellStyle name="Normal 10 2 3 2 3 2 3 2 2 2 2" xfId="20237"/>
    <cellStyle name="Normal 10 2 3 2 3 2 3 2 2 3" xfId="12849"/>
    <cellStyle name="Normal 10 2 3 2 3 2 3 2 2 3 2" xfId="23565"/>
    <cellStyle name="Normal 10 2 3 2 3 2 3 2 2 4" xfId="16909"/>
    <cellStyle name="Normal 10 2 3 2 3 2 3 2 3" xfId="7857"/>
    <cellStyle name="Normal 10 2 3 2 3 2 3 2 3 2" xfId="18573"/>
    <cellStyle name="Normal 10 2 3 2 3 2 3 2 4" xfId="11185"/>
    <cellStyle name="Normal 10 2 3 2 3 2 3 2 4 2" xfId="21901"/>
    <cellStyle name="Normal 10 2 3 2 3 2 3 2 5" xfId="15245"/>
    <cellStyle name="Normal 10 2 3 2 3 2 3 3" xfId="5354"/>
    <cellStyle name="Normal 10 2 3 2 3 2 3 3 2" xfId="8689"/>
    <cellStyle name="Normal 10 2 3 2 3 2 3 3 2 2" xfId="19405"/>
    <cellStyle name="Normal 10 2 3 2 3 2 3 3 3" xfId="12017"/>
    <cellStyle name="Normal 10 2 3 2 3 2 3 3 3 2" xfId="22733"/>
    <cellStyle name="Normal 10 2 3 2 3 2 3 3 4" xfId="16077"/>
    <cellStyle name="Normal 10 2 3 2 3 2 3 4" xfId="7025"/>
    <cellStyle name="Normal 10 2 3 2 3 2 3 4 2" xfId="17741"/>
    <cellStyle name="Normal 10 2 3 2 3 2 3 5" xfId="10353"/>
    <cellStyle name="Normal 10 2 3 2 3 2 3 5 2" xfId="21069"/>
    <cellStyle name="Normal 10 2 3 2 3 2 3 6" xfId="14413"/>
    <cellStyle name="Normal 10 2 3 2 3 2 4" xfId="4100"/>
    <cellStyle name="Normal 10 2 3 2 3 2 4 2" xfId="5770"/>
    <cellStyle name="Normal 10 2 3 2 3 2 4 2 2" xfId="9105"/>
    <cellStyle name="Normal 10 2 3 2 3 2 4 2 2 2" xfId="19821"/>
    <cellStyle name="Normal 10 2 3 2 3 2 4 2 3" xfId="12433"/>
    <cellStyle name="Normal 10 2 3 2 3 2 4 2 3 2" xfId="23149"/>
    <cellStyle name="Normal 10 2 3 2 3 2 4 2 4" xfId="16493"/>
    <cellStyle name="Normal 10 2 3 2 3 2 4 3" xfId="7441"/>
    <cellStyle name="Normal 10 2 3 2 3 2 4 3 2" xfId="18157"/>
    <cellStyle name="Normal 10 2 3 2 3 2 4 4" xfId="10769"/>
    <cellStyle name="Normal 10 2 3 2 3 2 4 4 2" xfId="21485"/>
    <cellStyle name="Normal 10 2 3 2 3 2 4 5" xfId="14829"/>
    <cellStyle name="Normal 10 2 3 2 3 2 5" xfId="4935"/>
    <cellStyle name="Normal 10 2 3 2 3 2 5 2" xfId="8273"/>
    <cellStyle name="Normal 10 2 3 2 3 2 5 2 2" xfId="18989"/>
    <cellStyle name="Normal 10 2 3 2 3 2 5 3" xfId="11601"/>
    <cellStyle name="Normal 10 2 3 2 3 2 5 3 2" xfId="22317"/>
    <cellStyle name="Normal 10 2 3 2 3 2 5 4" xfId="15661"/>
    <cellStyle name="Normal 10 2 3 2 3 2 6" xfId="6605"/>
    <cellStyle name="Normal 10 2 3 2 3 2 6 2" xfId="17325"/>
    <cellStyle name="Normal 10 2 3 2 3 2 7" xfId="9937"/>
    <cellStyle name="Normal 10 2 3 2 3 2 7 2" xfId="20653"/>
    <cellStyle name="Normal 10 2 3 2 3 2 8" xfId="13994"/>
    <cellStyle name="Normal 10 2 3 2 3 3" xfId="2767"/>
    <cellStyle name="Normal 10 2 3 2 3 3 2" xfId="3885"/>
    <cellStyle name="Normal 10 2 3 2 3 3 2 2" xfId="4725"/>
    <cellStyle name="Normal 10 2 3 2 3 3 2 2 2" xfId="6393"/>
    <cellStyle name="Normal 10 2 3 2 3 3 2 2 2 2" xfId="9728"/>
    <cellStyle name="Normal 10 2 3 2 3 3 2 2 2 2 2" xfId="20444"/>
    <cellStyle name="Normal 10 2 3 2 3 3 2 2 2 3" xfId="13056"/>
    <cellStyle name="Normal 10 2 3 2 3 3 2 2 2 3 2" xfId="23772"/>
    <cellStyle name="Normal 10 2 3 2 3 3 2 2 2 4" xfId="17116"/>
    <cellStyle name="Normal 10 2 3 2 3 3 2 2 3" xfId="8064"/>
    <cellStyle name="Normal 10 2 3 2 3 3 2 2 3 2" xfId="18780"/>
    <cellStyle name="Normal 10 2 3 2 3 3 2 2 4" xfId="11392"/>
    <cellStyle name="Normal 10 2 3 2 3 3 2 2 4 2" xfId="22108"/>
    <cellStyle name="Normal 10 2 3 2 3 3 2 2 5" xfId="15452"/>
    <cellStyle name="Normal 10 2 3 2 3 3 2 3" xfId="5561"/>
    <cellStyle name="Normal 10 2 3 2 3 3 2 3 2" xfId="8896"/>
    <cellStyle name="Normal 10 2 3 2 3 3 2 3 2 2" xfId="19612"/>
    <cellStyle name="Normal 10 2 3 2 3 3 2 3 3" xfId="12224"/>
    <cellStyle name="Normal 10 2 3 2 3 3 2 3 3 2" xfId="22940"/>
    <cellStyle name="Normal 10 2 3 2 3 3 2 3 4" xfId="16284"/>
    <cellStyle name="Normal 10 2 3 2 3 3 2 4" xfId="7232"/>
    <cellStyle name="Normal 10 2 3 2 3 3 2 4 2" xfId="17948"/>
    <cellStyle name="Normal 10 2 3 2 3 3 2 5" xfId="10560"/>
    <cellStyle name="Normal 10 2 3 2 3 3 2 5 2" xfId="21276"/>
    <cellStyle name="Normal 10 2 3 2 3 3 2 6" xfId="14620"/>
    <cellStyle name="Normal 10 2 3 2 3 3 3" xfId="4309"/>
    <cellStyle name="Normal 10 2 3 2 3 3 3 2" xfId="5977"/>
    <cellStyle name="Normal 10 2 3 2 3 3 3 2 2" xfId="9312"/>
    <cellStyle name="Normal 10 2 3 2 3 3 3 2 2 2" xfId="20028"/>
    <cellStyle name="Normal 10 2 3 2 3 3 3 2 3" xfId="12640"/>
    <cellStyle name="Normal 10 2 3 2 3 3 3 2 3 2" xfId="23356"/>
    <cellStyle name="Normal 10 2 3 2 3 3 3 2 4" xfId="16700"/>
    <cellStyle name="Normal 10 2 3 2 3 3 3 3" xfId="7648"/>
    <cellStyle name="Normal 10 2 3 2 3 3 3 3 2" xfId="18364"/>
    <cellStyle name="Normal 10 2 3 2 3 3 3 4" xfId="10976"/>
    <cellStyle name="Normal 10 2 3 2 3 3 3 4 2" xfId="21692"/>
    <cellStyle name="Normal 10 2 3 2 3 3 3 5" xfId="15036"/>
    <cellStyle name="Normal 10 2 3 2 3 3 4" xfId="5145"/>
    <cellStyle name="Normal 10 2 3 2 3 3 4 2" xfId="8480"/>
    <cellStyle name="Normal 10 2 3 2 3 3 4 2 2" xfId="19196"/>
    <cellStyle name="Normal 10 2 3 2 3 3 4 3" xfId="11808"/>
    <cellStyle name="Normal 10 2 3 2 3 3 4 3 2" xfId="22524"/>
    <cellStyle name="Normal 10 2 3 2 3 3 4 4" xfId="15868"/>
    <cellStyle name="Normal 10 2 3 2 3 3 5" xfId="6814"/>
    <cellStyle name="Normal 10 2 3 2 3 3 5 2" xfId="17532"/>
    <cellStyle name="Normal 10 2 3 2 3 3 6" xfId="10144"/>
    <cellStyle name="Normal 10 2 3 2 3 3 6 2" xfId="20860"/>
    <cellStyle name="Normal 10 2 3 2 3 3 7" xfId="14202"/>
    <cellStyle name="Normal 10 2 3 2 3 4" xfId="3661"/>
    <cellStyle name="Normal 10 2 3 2 3 4 2" xfId="4517"/>
    <cellStyle name="Normal 10 2 3 2 3 4 2 2" xfId="6185"/>
    <cellStyle name="Normal 10 2 3 2 3 4 2 2 2" xfId="9520"/>
    <cellStyle name="Normal 10 2 3 2 3 4 2 2 2 2" xfId="20236"/>
    <cellStyle name="Normal 10 2 3 2 3 4 2 2 3" xfId="12848"/>
    <cellStyle name="Normal 10 2 3 2 3 4 2 2 3 2" xfId="23564"/>
    <cellStyle name="Normal 10 2 3 2 3 4 2 2 4" xfId="16908"/>
    <cellStyle name="Normal 10 2 3 2 3 4 2 3" xfId="7856"/>
    <cellStyle name="Normal 10 2 3 2 3 4 2 3 2" xfId="18572"/>
    <cellStyle name="Normal 10 2 3 2 3 4 2 4" xfId="11184"/>
    <cellStyle name="Normal 10 2 3 2 3 4 2 4 2" xfId="21900"/>
    <cellStyle name="Normal 10 2 3 2 3 4 2 5" xfId="15244"/>
    <cellStyle name="Normal 10 2 3 2 3 4 3" xfId="5353"/>
    <cellStyle name="Normal 10 2 3 2 3 4 3 2" xfId="8688"/>
    <cellStyle name="Normal 10 2 3 2 3 4 3 2 2" xfId="19404"/>
    <cellStyle name="Normal 10 2 3 2 3 4 3 3" xfId="12016"/>
    <cellStyle name="Normal 10 2 3 2 3 4 3 3 2" xfId="22732"/>
    <cellStyle name="Normal 10 2 3 2 3 4 3 4" xfId="16076"/>
    <cellStyle name="Normal 10 2 3 2 3 4 4" xfId="7024"/>
    <cellStyle name="Normal 10 2 3 2 3 4 4 2" xfId="17740"/>
    <cellStyle name="Normal 10 2 3 2 3 4 5" xfId="10352"/>
    <cellStyle name="Normal 10 2 3 2 3 4 5 2" xfId="21068"/>
    <cellStyle name="Normal 10 2 3 2 3 4 6" xfId="14412"/>
    <cellStyle name="Normal 10 2 3 2 3 5" xfId="4099"/>
    <cellStyle name="Normal 10 2 3 2 3 5 2" xfId="5769"/>
    <cellStyle name="Normal 10 2 3 2 3 5 2 2" xfId="9104"/>
    <cellStyle name="Normal 10 2 3 2 3 5 2 2 2" xfId="19820"/>
    <cellStyle name="Normal 10 2 3 2 3 5 2 3" xfId="12432"/>
    <cellStyle name="Normal 10 2 3 2 3 5 2 3 2" xfId="23148"/>
    <cellStyle name="Normal 10 2 3 2 3 5 2 4" xfId="16492"/>
    <cellStyle name="Normal 10 2 3 2 3 5 3" xfId="7440"/>
    <cellStyle name="Normal 10 2 3 2 3 5 3 2" xfId="18156"/>
    <cellStyle name="Normal 10 2 3 2 3 5 4" xfId="10768"/>
    <cellStyle name="Normal 10 2 3 2 3 5 4 2" xfId="21484"/>
    <cellStyle name="Normal 10 2 3 2 3 5 5" xfId="14828"/>
    <cellStyle name="Normal 10 2 3 2 3 6" xfId="4934"/>
    <cellStyle name="Normal 10 2 3 2 3 6 2" xfId="8272"/>
    <cellStyle name="Normal 10 2 3 2 3 6 2 2" xfId="18988"/>
    <cellStyle name="Normal 10 2 3 2 3 6 3" xfId="11600"/>
    <cellStyle name="Normal 10 2 3 2 3 6 3 2" xfId="22316"/>
    <cellStyle name="Normal 10 2 3 2 3 6 4" xfId="15660"/>
    <cellStyle name="Normal 10 2 3 2 3 7" xfId="6604"/>
    <cellStyle name="Normal 10 2 3 2 3 7 2" xfId="17324"/>
    <cellStyle name="Normal 10 2 3 2 3 8" xfId="9936"/>
    <cellStyle name="Normal 10 2 3 2 3 8 2" xfId="20652"/>
    <cellStyle name="Normal 10 2 3 2 3 9" xfId="13993"/>
    <cellStyle name="Normal 10 2 3 2 4" xfId="1042"/>
    <cellStyle name="Normal 10 2 3 2 4 2" xfId="2769"/>
    <cellStyle name="Normal 10 2 3 2 4 2 2" xfId="3887"/>
    <cellStyle name="Normal 10 2 3 2 4 2 2 2" xfId="4727"/>
    <cellStyle name="Normal 10 2 3 2 4 2 2 2 2" xfId="6395"/>
    <cellStyle name="Normal 10 2 3 2 4 2 2 2 2 2" xfId="9730"/>
    <cellStyle name="Normal 10 2 3 2 4 2 2 2 2 2 2" xfId="20446"/>
    <cellStyle name="Normal 10 2 3 2 4 2 2 2 2 3" xfId="13058"/>
    <cellStyle name="Normal 10 2 3 2 4 2 2 2 2 3 2" xfId="23774"/>
    <cellStyle name="Normal 10 2 3 2 4 2 2 2 2 4" xfId="17118"/>
    <cellStyle name="Normal 10 2 3 2 4 2 2 2 3" xfId="8066"/>
    <cellStyle name="Normal 10 2 3 2 4 2 2 2 3 2" xfId="18782"/>
    <cellStyle name="Normal 10 2 3 2 4 2 2 2 4" xfId="11394"/>
    <cellStyle name="Normal 10 2 3 2 4 2 2 2 4 2" xfId="22110"/>
    <cellStyle name="Normal 10 2 3 2 4 2 2 2 5" xfId="15454"/>
    <cellStyle name="Normal 10 2 3 2 4 2 2 3" xfId="5563"/>
    <cellStyle name="Normal 10 2 3 2 4 2 2 3 2" xfId="8898"/>
    <cellStyle name="Normal 10 2 3 2 4 2 2 3 2 2" xfId="19614"/>
    <cellStyle name="Normal 10 2 3 2 4 2 2 3 3" xfId="12226"/>
    <cellStyle name="Normal 10 2 3 2 4 2 2 3 3 2" xfId="22942"/>
    <cellStyle name="Normal 10 2 3 2 4 2 2 3 4" xfId="16286"/>
    <cellStyle name="Normal 10 2 3 2 4 2 2 4" xfId="7234"/>
    <cellStyle name="Normal 10 2 3 2 4 2 2 4 2" xfId="17950"/>
    <cellStyle name="Normal 10 2 3 2 4 2 2 5" xfId="10562"/>
    <cellStyle name="Normal 10 2 3 2 4 2 2 5 2" xfId="21278"/>
    <cellStyle name="Normal 10 2 3 2 4 2 2 6" xfId="14622"/>
    <cellStyle name="Normal 10 2 3 2 4 2 3" xfId="4311"/>
    <cellStyle name="Normal 10 2 3 2 4 2 3 2" xfId="5979"/>
    <cellStyle name="Normal 10 2 3 2 4 2 3 2 2" xfId="9314"/>
    <cellStyle name="Normal 10 2 3 2 4 2 3 2 2 2" xfId="20030"/>
    <cellStyle name="Normal 10 2 3 2 4 2 3 2 3" xfId="12642"/>
    <cellStyle name="Normal 10 2 3 2 4 2 3 2 3 2" xfId="23358"/>
    <cellStyle name="Normal 10 2 3 2 4 2 3 2 4" xfId="16702"/>
    <cellStyle name="Normal 10 2 3 2 4 2 3 3" xfId="7650"/>
    <cellStyle name="Normal 10 2 3 2 4 2 3 3 2" xfId="18366"/>
    <cellStyle name="Normal 10 2 3 2 4 2 3 4" xfId="10978"/>
    <cellStyle name="Normal 10 2 3 2 4 2 3 4 2" xfId="21694"/>
    <cellStyle name="Normal 10 2 3 2 4 2 3 5" xfId="15038"/>
    <cellStyle name="Normal 10 2 3 2 4 2 4" xfId="5147"/>
    <cellStyle name="Normal 10 2 3 2 4 2 4 2" xfId="8482"/>
    <cellStyle name="Normal 10 2 3 2 4 2 4 2 2" xfId="19198"/>
    <cellStyle name="Normal 10 2 3 2 4 2 4 3" xfId="11810"/>
    <cellStyle name="Normal 10 2 3 2 4 2 4 3 2" xfId="22526"/>
    <cellStyle name="Normal 10 2 3 2 4 2 4 4" xfId="15870"/>
    <cellStyle name="Normal 10 2 3 2 4 2 5" xfId="6816"/>
    <cellStyle name="Normal 10 2 3 2 4 2 5 2" xfId="17534"/>
    <cellStyle name="Normal 10 2 3 2 4 2 6" xfId="10146"/>
    <cellStyle name="Normal 10 2 3 2 4 2 6 2" xfId="20862"/>
    <cellStyle name="Normal 10 2 3 2 4 2 7" xfId="14204"/>
    <cellStyle name="Normal 10 2 3 2 4 3" xfId="3663"/>
    <cellStyle name="Normal 10 2 3 2 4 3 2" xfId="4519"/>
    <cellStyle name="Normal 10 2 3 2 4 3 2 2" xfId="6187"/>
    <cellStyle name="Normal 10 2 3 2 4 3 2 2 2" xfId="9522"/>
    <cellStyle name="Normal 10 2 3 2 4 3 2 2 2 2" xfId="20238"/>
    <cellStyle name="Normal 10 2 3 2 4 3 2 2 3" xfId="12850"/>
    <cellStyle name="Normal 10 2 3 2 4 3 2 2 3 2" xfId="23566"/>
    <cellStyle name="Normal 10 2 3 2 4 3 2 2 4" xfId="16910"/>
    <cellStyle name="Normal 10 2 3 2 4 3 2 3" xfId="7858"/>
    <cellStyle name="Normal 10 2 3 2 4 3 2 3 2" xfId="18574"/>
    <cellStyle name="Normal 10 2 3 2 4 3 2 4" xfId="11186"/>
    <cellStyle name="Normal 10 2 3 2 4 3 2 4 2" xfId="21902"/>
    <cellStyle name="Normal 10 2 3 2 4 3 2 5" xfId="15246"/>
    <cellStyle name="Normal 10 2 3 2 4 3 3" xfId="5355"/>
    <cellStyle name="Normal 10 2 3 2 4 3 3 2" xfId="8690"/>
    <cellStyle name="Normal 10 2 3 2 4 3 3 2 2" xfId="19406"/>
    <cellStyle name="Normal 10 2 3 2 4 3 3 3" xfId="12018"/>
    <cellStyle name="Normal 10 2 3 2 4 3 3 3 2" xfId="22734"/>
    <cellStyle name="Normal 10 2 3 2 4 3 3 4" xfId="16078"/>
    <cellStyle name="Normal 10 2 3 2 4 3 4" xfId="7026"/>
    <cellStyle name="Normal 10 2 3 2 4 3 4 2" xfId="17742"/>
    <cellStyle name="Normal 10 2 3 2 4 3 5" xfId="10354"/>
    <cellStyle name="Normal 10 2 3 2 4 3 5 2" xfId="21070"/>
    <cellStyle name="Normal 10 2 3 2 4 3 6" xfId="14414"/>
    <cellStyle name="Normal 10 2 3 2 4 4" xfId="4101"/>
    <cellStyle name="Normal 10 2 3 2 4 4 2" xfId="5771"/>
    <cellStyle name="Normal 10 2 3 2 4 4 2 2" xfId="9106"/>
    <cellStyle name="Normal 10 2 3 2 4 4 2 2 2" xfId="19822"/>
    <cellStyle name="Normal 10 2 3 2 4 4 2 3" xfId="12434"/>
    <cellStyle name="Normal 10 2 3 2 4 4 2 3 2" xfId="23150"/>
    <cellStyle name="Normal 10 2 3 2 4 4 2 4" xfId="16494"/>
    <cellStyle name="Normal 10 2 3 2 4 4 3" xfId="7442"/>
    <cellStyle name="Normal 10 2 3 2 4 4 3 2" xfId="18158"/>
    <cellStyle name="Normal 10 2 3 2 4 4 4" xfId="10770"/>
    <cellStyle name="Normal 10 2 3 2 4 4 4 2" xfId="21486"/>
    <cellStyle name="Normal 10 2 3 2 4 4 5" xfId="14830"/>
    <cellStyle name="Normal 10 2 3 2 4 5" xfId="4936"/>
    <cellStyle name="Normal 10 2 3 2 4 5 2" xfId="8274"/>
    <cellStyle name="Normal 10 2 3 2 4 5 2 2" xfId="18990"/>
    <cellStyle name="Normal 10 2 3 2 4 5 3" xfId="11602"/>
    <cellStyle name="Normal 10 2 3 2 4 5 3 2" xfId="22318"/>
    <cellStyle name="Normal 10 2 3 2 4 5 4" xfId="15662"/>
    <cellStyle name="Normal 10 2 3 2 4 6" xfId="6606"/>
    <cellStyle name="Normal 10 2 3 2 4 6 2" xfId="17326"/>
    <cellStyle name="Normal 10 2 3 2 4 7" xfId="9938"/>
    <cellStyle name="Normal 10 2 3 2 4 7 2" xfId="20654"/>
    <cellStyle name="Normal 10 2 3 2 4 8" xfId="13995"/>
    <cellStyle name="Normal 10 2 3 2 5" xfId="2762"/>
    <cellStyle name="Normal 10 2 3 2 5 2" xfId="3880"/>
    <cellStyle name="Normal 10 2 3 2 5 2 2" xfId="4720"/>
    <cellStyle name="Normal 10 2 3 2 5 2 2 2" xfId="6388"/>
    <cellStyle name="Normal 10 2 3 2 5 2 2 2 2" xfId="9723"/>
    <cellStyle name="Normal 10 2 3 2 5 2 2 2 2 2" xfId="20439"/>
    <cellStyle name="Normal 10 2 3 2 5 2 2 2 3" xfId="13051"/>
    <cellStyle name="Normal 10 2 3 2 5 2 2 2 3 2" xfId="23767"/>
    <cellStyle name="Normal 10 2 3 2 5 2 2 2 4" xfId="17111"/>
    <cellStyle name="Normal 10 2 3 2 5 2 2 3" xfId="8059"/>
    <cellStyle name="Normal 10 2 3 2 5 2 2 3 2" xfId="18775"/>
    <cellStyle name="Normal 10 2 3 2 5 2 2 4" xfId="11387"/>
    <cellStyle name="Normal 10 2 3 2 5 2 2 4 2" xfId="22103"/>
    <cellStyle name="Normal 10 2 3 2 5 2 2 5" xfId="15447"/>
    <cellStyle name="Normal 10 2 3 2 5 2 3" xfId="5556"/>
    <cellStyle name="Normal 10 2 3 2 5 2 3 2" xfId="8891"/>
    <cellStyle name="Normal 10 2 3 2 5 2 3 2 2" xfId="19607"/>
    <cellStyle name="Normal 10 2 3 2 5 2 3 3" xfId="12219"/>
    <cellStyle name="Normal 10 2 3 2 5 2 3 3 2" xfId="22935"/>
    <cellStyle name="Normal 10 2 3 2 5 2 3 4" xfId="16279"/>
    <cellStyle name="Normal 10 2 3 2 5 2 4" xfId="7227"/>
    <cellStyle name="Normal 10 2 3 2 5 2 4 2" xfId="17943"/>
    <cellStyle name="Normal 10 2 3 2 5 2 5" xfId="10555"/>
    <cellStyle name="Normal 10 2 3 2 5 2 5 2" xfId="21271"/>
    <cellStyle name="Normal 10 2 3 2 5 2 6" xfId="14615"/>
    <cellStyle name="Normal 10 2 3 2 5 3" xfId="4304"/>
    <cellStyle name="Normal 10 2 3 2 5 3 2" xfId="5972"/>
    <cellStyle name="Normal 10 2 3 2 5 3 2 2" xfId="9307"/>
    <cellStyle name="Normal 10 2 3 2 5 3 2 2 2" xfId="20023"/>
    <cellStyle name="Normal 10 2 3 2 5 3 2 3" xfId="12635"/>
    <cellStyle name="Normal 10 2 3 2 5 3 2 3 2" xfId="23351"/>
    <cellStyle name="Normal 10 2 3 2 5 3 2 4" xfId="16695"/>
    <cellStyle name="Normal 10 2 3 2 5 3 3" xfId="7643"/>
    <cellStyle name="Normal 10 2 3 2 5 3 3 2" xfId="18359"/>
    <cellStyle name="Normal 10 2 3 2 5 3 4" xfId="10971"/>
    <cellStyle name="Normal 10 2 3 2 5 3 4 2" xfId="21687"/>
    <cellStyle name="Normal 10 2 3 2 5 3 5" xfId="15031"/>
    <cellStyle name="Normal 10 2 3 2 5 4" xfId="5140"/>
    <cellStyle name="Normal 10 2 3 2 5 4 2" xfId="8475"/>
    <cellStyle name="Normal 10 2 3 2 5 4 2 2" xfId="19191"/>
    <cellStyle name="Normal 10 2 3 2 5 4 3" xfId="11803"/>
    <cellStyle name="Normal 10 2 3 2 5 4 3 2" xfId="22519"/>
    <cellStyle name="Normal 10 2 3 2 5 4 4" xfId="15863"/>
    <cellStyle name="Normal 10 2 3 2 5 5" xfId="6809"/>
    <cellStyle name="Normal 10 2 3 2 5 5 2" xfId="17527"/>
    <cellStyle name="Normal 10 2 3 2 5 6" xfId="10139"/>
    <cellStyle name="Normal 10 2 3 2 5 6 2" xfId="20855"/>
    <cellStyle name="Normal 10 2 3 2 5 7" xfId="14197"/>
    <cellStyle name="Normal 10 2 3 2 6" xfId="3656"/>
    <cellStyle name="Normal 10 2 3 2 6 2" xfId="4512"/>
    <cellStyle name="Normal 10 2 3 2 6 2 2" xfId="6180"/>
    <cellStyle name="Normal 10 2 3 2 6 2 2 2" xfId="9515"/>
    <cellStyle name="Normal 10 2 3 2 6 2 2 2 2" xfId="20231"/>
    <cellStyle name="Normal 10 2 3 2 6 2 2 3" xfId="12843"/>
    <cellStyle name="Normal 10 2 3 2 6 2 2 3 2" xfId="23559"/>
    <cellStyle name="Normal 10 2 3 2 6 2 2 4" xfId="16903"/>
    <cellStyle name="Normal 10 2 3 2 6 2 3" xfId="7851"/>
    <cellStyle name="Normal 10 2 3 2 6 2 3 2" xfId="18567"/>
    <cellStyle name="Normal 10 2 3 2 6 2 4" xfId="11179"/>
    <cellStyle name="Normal 10 2 3 2 6 2 4 2" xfId="21895"/>
    <cellStyle name="Normal 10 2 3 2 6 2 5" xfId="15239"/>
    <cellStyle name="Normal 10 2 3 2 6 3" xfId="5348"/>
    <cellStyle name="Normal 10 2 3 2 6 3 2" xfId="8683"/>
    <cellStyle name="Normal 10 2 3 2 6 3 2 2" xfId="19399"/>
    <cellStyle name="Normal 10 2 3 2 6 3 3" xfId="12011"/>
    <cellStyle name="Normal 10 2 3 2 6 3 3 2" xfId="22727"/>
    <cellStyle name="Normal 10 2 3 2 6 3 4" xfId="16071"/>
    <cellStyle name="Normal 10 2 3 2 6 4" xfId="7019"/>
    <cellStyle name="Normal 10 2 3 2 6 4 2" xfId="17735"/>
    <cellStyle name="Normal 10 2 3 2 6 5" xfId="10347"/>
    <cellStyle name="Normal 10 2 3 2 6 5 2" xfId="21063"/>
    <cellStyle name="Normal 10 2 3 2 6 6" xfId="14407"/>
    <cellStyle name="Normal 10 2 3 2 7" xfId="4094"/>
    <cellStyle name="Normal 10 2 3 2 7 2" xfId="5764"/>
    <cellStyle name="Normal 10 2 3 2 7 2 2" xfId="9099"/>
    <cellStyle name="Normal 10 2 3 2 7 2 2 2" xfId="19815"/>
    <cellStyle name="Normal 10 2 3 2 7 2 3" xfId="12427"/>
    <cellStyle name="Normal 10 2 3 2 7 2 3 2" xfId="23143"/>
    <cellStyle name="Normal 10 2 3 2 7 2 4" xfId="16487"/>
    <cellStyle name="Normal 10 2 3 2 7 3" xfId="7435"/>
    <cellStyle name="Normal 10 2 3 2 7 3 2" xfId="18151"/>
    <cellStyle name="Normal 10 2 3 2 7 4" xfId="10763"/>
    <cellStyle name="Normal 10 2 3 2 7 4 2" xfId="21479"/>
    <cellStyle name="Normal 10 2 3 2 7 5" xfId="14823"/>
    <cellStyle name="Normal 10 2 3 2 8" xfId="4929"/>
    <cellStyle name="Normal 10 2 3 2 8 2" xfId="8267"/>
    <cellStyle name="Normal 10 2 3 2 8 2 2" xfId="18983"/>
    <cellStyle name="Normal 10 2 3 2 8 3" xfId="11595"/>
    <cellStyle name="Normal 10 2 3 2 8 3 2" xfId="22311"/>
    <cellStyle name="Normal 10 2 3 2 8 4" xfId="15655"/>
    <cellStyle name="Normal 10 2 3 2 9" xfId="6599"/>
    <cellStyle name="Normal 10 2 3 2 9 2" xfId="17319"/>
    <cellStyle name="Normal 10 2 3 3" xfId="1043"/>
    <cellStyle name="Normal 10 2 3 3 10" xfId="13996"/>
    <cellStyle name="Normal 10 2 3 3 2" xfId="1044"/>
    <cellStyle name="Normal 10 2 3 3 2 2" xfId="1045"/>
    <cellStyle name="Normal 10 2 3 3 2 2 2" xfId="2772"/>
    <cellStyle name="Normal 10 2 3 3 2 2 2 2" xfId="3890"/>
    <cellStyle name="Normal 10 2 3 3 2 2 2 2 2" xfId="4730"/>
    <cellStyle name="Normal 10 2 3 3 2 2 2 2 2 2" xfId="6398"/>
    <cellStyle name="Normal 10 2 3 3 2 2 2 2 2 2 2" xfId="9733"/>
    <cellStyle name="Normal 10 2 3 3 2 2 2 2 2 2 2 2" xfId="20449"/>
    <cellStyle name="Normal 10 2 3 3 2 2 2 2 2 2 3" xfId="13061"/>
    <cellStyle name="Normal 10 2 3 3 2 2 2 2 2 2 3 2" xfId="23777"/>
    <cellStyle name="Normal 10 2 3 3 2 2 2 2 2 2 4" xfId="17121"/>
    <cellStyle name="Normal 10 2 3 3 2 2 2 2 2 3" xfId="8069"/>
    <cellStyle name="Normal 10 2 3 3 2 2 2 2 2 3 2" xfId="18785"/>
    <cellStyle name="Normal 10 2 3 3 2 2 2 2 2 4" xfId="11397"/>
    <cellStyle name="Normal 10 2 3 3 2 2 2 2 2 4 2" xfId="22113"/>
    <cellStyle name="Normal 10 2 3 3 2 2 2 2 2 5" xfId="15457"/>
    <cellStyle name="Normal 10 2 3 3 2 2 2 2 3" xfId="5566"/>
    <cellStyle name="Normal 10 2 3 3 2 2 2 2 3 2" xfId="8901"/>
    <cellStyle name="Normal 10 2 3 3 2 2 2 2 3 2 2" xfId="19617"/>
    <cellStyle name="Normal 10 2 3 3 2 2 2 2 3 3" xfId="12229"/>
    <cellStyle name="Normal 10 2 3 3 2 2 2 2 3 3 2" xfId="22945"/>
    <cellStyle name="Normal 10 2 3 3 2 2 2 2 3 4" xfId="16289"/>
    <cellStyle name="Normal 10 2 3 3 2 2 2 2 4" xfId="7237"/>
    <cellStyle name="Normal 10 2 3 3 2 2 2 2 4 2" xfId="17953"/>
    <cellStyle name="Normal 10 2 3 3 2 2 2 2 5" xfId="10565"/>
    <cellStyle name="Normal 10 2 3 3 2 2 2 2 5 2" xfId="21281"/>
    <cellStyle name="Normal 10 2 3 3 2 2 2 2 6" xfId="14625"/>
    <cellStyle name="Normal 10 2 3 3 2 2 2 3" xfId="4314"/>
    <cellStyle name="Normal 10 2 3 3 2 2 2 3 2" xfId="5982"/>
    <cellStyle name="Normal 10 2 3 3 2 2 2 3 2 2" xfId="9317"/>
    <cellStyle name="Normal 10 2 3 3 2 2 2 3 2 2 2" xfId="20033"/>
    <cellStyle name="Normal 10 2 3 3 2 2 2 3 2 3" xfId="12645"/>
    <cellStyle name="Normal 10 2 3 3 2 2 2 3 2 3 2" xfId="23361"/>
    <cellStyle name="Normal 10 2 3 3 2 2 2 3 2 4" xfId="16705"/>
    <cellStyle name="Normal 10 2 3 3 2 2 2 3 3" xfId="7653"/>
    <cellStyle name="Normal 10 2 3 3 2 2 2 3 3 2" xfId="18369"/>
    <cellStyle name="Normal 10 2 3 3 2 2 2 3 4" xfId="10981"/>
    <cellStyle name="Normal 10 2 3 3 2 2 2 3 4 2" xfId="21697"/>
    <cellStyle name="Normal 10 2 3 3 2 2 2 3 5" xfId="15041"/>
    <cellStyle name="Normal 10 2 3 3 2 2 2 4" xfId="5150"/>
    <cellStyle name="Normal 10 2 3 3 2 2 2 4 2" xfId="8485"/>
    <cellStyle name="Normal 10 2 3 3 2 2 2 4 2 2" xfId="19201"/>
    <cellStyle name="Normal 10 2 3 3 2 2 2 4 3" xfId="11813"/>
    <cellStyle name="Normal 10 2 3 3 2 2 2 4 3 2" xfId="22529"/>
    <cellStyle name="Normal 10 2 3 3 2 2 2 4 4" xfId="15873"/>
    <cellStyle name="Normal 10 2 3 3 2 2 2 5" xfId="6819"/>
    <cellStyle name="Normal 10 2 3 3 2 2 2 5 2" xfId="17537"/>
    <cellStyle name="Normal 10 2 3 3 2 2 2 6" xfId="10149"/>
    <cellStyle name="Normal 10 2 3 3 2 2 2 6 2" xfId="20865"/>
    <cellStyle name="Normal 10 2 3 3 2 2 2 7" xfId="14207"/>
    <cellStyle name="Normal 10 2 3 3 2 2 3" xfId="3666"/>
    <cellStyle name="Normal 10 2 3 3 2 2 3 2" xfId="4522"/>
    <cellStyle name="Normal 10 2 3 3 2 2 3 2 2" xfId="6190"/>
    <cellStyle name="Normal 10 2 3 3 2 2 3 2 2 2" xfId="9525"/>
    <cellStyle name="Normal 10 2 3 3 2 2 3 2 2 2 2" xfId="20241"/>
    <cellStyle name="Normal 10 2 3 3 2 2 3 2 2 3" xfId="12853"/>
    <cellStyle name="Normal 10 2 3 3 2 2 3 2 2 3 2" xfId="23569"/>
    <cellStyle name="Normal 10 2 3 3 2 2 3 2 2 4" xfId="16913"/>
    <cellStyle name="Normal 10 2 3 3 2 2 3 2 3" xfId="7861"/>
    <cellStyle name="Normal 10 2 3 3 2 2 3 2 3 2" xfId="18577"/>
    <cellStyle name="Normal 10 2 3 3 2 2 3 2 4" xfId="11189"/>
    <cellStyle name="Normal 10 2 3 3 2 2 3 2 4 2" xfId="21905"/>
    <cellStyle name="Normal 10 2 3 3 2 2 3 2 5" xfId="15249"/>
    <cellStyle name="Normal 10 2 3 3 2 2 3 3" xfId="5358"/>
    <cellStyle name="Normal 10 2 3 3 2 2 3 3 2" xfId="8693"/>
    <cellStyle name="Normal 10 2 3 3 2 2 3 3 2 2" xfId="19409"/>
    <cellStyle name="Normal 10 2 3 3 2 2 3 3 3" xfId="12021"/>
    <cellStyle name="Normal 10 2 3 3 2 2 3 3 3 2" xfId="22737"/>
    <cellStyle name="Normal 10 2 3 3 2 2 3 3 4" xfId="16081"/>
    <cellStyle name="Normal 10 2 3 3 2 2 3 4" xfId="7029"/>
    <cellStyle name="Normal 10 2 3 3 2 2 3 4 2" xfId="17745"/>
    <cellStyle name="Normal 10 2 3 3 2 2 3 5" xfId="10357"/>
    <cellStyle name="Normal 10 2 3 3 2 2 3 5 2" xfId="21073"/>
    <cellStyle name="Normal 10 2 3 3 2 2 3 6" xfId="14417"/>
    <cellStyle name="Normal 10 2 3 3 2 2 4" xfId="4104"/>
    <cellStyle name="Normal 10 2 3 3 2 2 4 2" xfId="5774"/>
    <cellStyle name="Normal 10 2 3 3 2 2 4 2 2" xfId="9109"/>
    <cellStyle name="Normal 10 2 3 3 2 2 4 2 2 2" xfId="19825"/>
    <cellStyle name="Normal 10 2 3 3 2 2 4 2 3" xfId="12437"/>
    <cellStyle name="Normal 10 2 3 3 2 2 4 2 3 2" xfId="23153"/>
    <cellStyle name="Normal 10 2 3 3 2 2 4 2 4" xfId="16497"/>
    <cellStyle name="Normal 10 2 3 3 2 2 4 3" xfId="7445"/>
    <cellStyle name="Normal 10 2 3 3 2 2 4 3 2" xfId="18161"/>
    <cellStyle name="Normal 10 2 3 3 2 2 4 4" xfId="10773"/>
    <cellStyle name="Normal 10 2 3 3 2 2 4 4 2" xfId="21489"/>
    <cellStyle name="Normal 10 2 3 3 2 2 4 5" xfId="14833"/>
    <cellStyle name="Normal 10 2 3 3 2 2 5" xfId="4939"/>
    <cellStyle name="Normal 10 2 3 3 2 2 5 2" xfId="8277"/>
    <cellStyle name="Normal 10 2 3 3 2 2 5 2 2" xfId="18993"/>
    <cellStyle name="Normal 10 2 3 3 2 2 5 3" xfId="11605"/>
    <cellStyle name="Normal 10 2 3 3 2 2 5 3 2" xfId="22321"/>
    <cellStyle name="Normal 10 2 3 3 2 2 5 4" xfId="15665"/>
    <cellStyle name="Normal 10 2 3 3 2 2 6" xfId="6609"/>
    <cellStyle name="Normal 10 2 3 3 2 2 6 2" xfId="17329"/>
    <cellStyle name="Normal 10 2 3 3 2 2 7" xfId="9941"/>
    <cellStyle name="Normal 10 2 3 3 2 2 7 2" xfId="20657"/>
    <cellStyle name="Normal 10 2 3 3 2 2 8" xfId="13998"/>
    <cellStyle name="Normal 10 2 3 3 2 3" xfId="2771"/>
    <cellStyle name="Normal 10 2 3 3 2 3 2" xfId="3889"/>
    <cellStyle name="Normal 10 2 3 3 2 3 2 2" xfId="4729"/>
    <cellStyle name="Normal 10 2 3 3 2 3 2 2 2" xfId="6397"/>
    <cellStyle name="Normal 10 2 3 3 2 3 2 2 2 2" xfId="9732"/>
    <cellStyle name="Normal 10 2 3 3 2 3 2 2 2 2 2" xfId="20448"/>
    <cellStyle name="Normal 10 2 3 3 2 3 2 2 2 3" xfId="13060"/>
    <cellStyle name="Normal 10 2 3 3 2 3 2 2 2 3 2" xfId="23776"/>
    <cellStyle name="Normal 10 2 3 3 2 3 2 2 2 4" xfId="17120"/>
    <cellStyle name="Normal 10 2 3 3 2 3 2 2 3" xfId="8068"/>
    <cellStyle name="Normal 10 2 3 3 2 3 2 2 3 2" xfId="18784"/>
    <cellStyle name="Normal 10 2 3 3 2 3 2 2 4" xfId="11396"/>
    <cellStyle name="Normal 10 2 3 3 2 3 2 2 4 2" xfId="22112"/>
    <cellStyle name="Normal 10 2 3 3 2 3 2 2 5" xfId="15456"/>
    <cellStyle name="Normal 10 2 3 3 2 3 2 3" xfId="5565"/>
    <cellStyle name="Normal 10 2 3 3 2 3 2 3 2" xfId="8900"/>
    <cellStyle name="Normal 10 2 3 3 2 3 2 3 2 2" xfId="19616"/>
    <cellStyle name="Normal 10 2 3 3 2 3 2 3 3" xfId="12228"/>
    <cellStyle name="Normal 10 2 3 3 2 3 2 3 3 2" xfId="22944"/>
    <cellStyle name="Normal 10 2 3 3 2 3 2 3 4" xfId="16288"/>
    <cellStyle name="Normal 10 2 3 3 2 3 2 4" xfId="7236"/>
    <cellStyle name="Normal 10 2 3 3 2 3 2 4 2" xfId="17952"/>
    <cellStyle name="Normal 10 2 3 3 2 3 2 5" xfId="10564"/>
    <cellStyle name="Normal 10 2 3 3 2 3 2 5 2" xfId="21280"/>
    <cellStyle name="Normal 10 2 3 3 2 3 2 6" xfId="14624"/>
    <cellStyle name="Normal 10 2 3 3 2 3 3" xfId="4313"/>
    <cellStyle name="Normal 10 2 3 3 2 3 3 2" xfId="5981"/>
    <cellStyle name="Normal 10 2 3 3 2 3 3 2 2" xfId="9316"/>
    <cellStyle name="Normal 10 2 3 3 2 3 3 2 2 2" xfId="20032"/>
    <cellStyle name="Normal 10 2 3 3 2 3 3 2 3" xfId="12644"/>
    <cellStyle name="Normal 10 2 3 3 2 3 3 2 3 2" xfId="23360"/>
    <cellStyle name="Normal 10 2 3 3 2 3 3 2 4" xfId="16704"/>
    <cellStyle name="Normal 10 2 3 3 2 3 3 3" xfId="7652"/>
    <cellStyle name="Normal 10 2 3 3 2 3 3 3 2" xfId="18368"/>
    <cellStyle name="Normal 10 2 3 3 2 3 3 4" xfId="10980"/>
    <cellStyle name="Normal 10 2 3 3 2 3 3 4 2" xfId="21696"/>
    <cellStyle name="Normal 10 2 3 3 2 3 3 5" xfId="15040"/>
    <cellStyle name="Normal 10 2 3 3 2 3 4" xfId="5149"/>
    <cellStyle name="Normal 10 2 3 3 2 3 4 2" xfId="8484"/>
    <cellStyle name="Normal 10 2 3 3 2 3 4 2 2" xfId="19200"/>
    <cellStyle name="Normal 10 2 3 3 2 3 4 3" xfId="11812"/>
    <cellStyle name="Normal 10 2 3 3 2 3 4 3 2" xfId="22528"/>
    <cellStyle name="Normal 10 2 3 3 2 3 4 4" xfId="15872"/>
    <cellStyle name="Normal 10 2 3 3 2 3 5" xfId="6818"/>
    <cellStyle name="Normal 10 2 3 3 2 3 5 2" xfId="17536"/>
    <cellStyle name="Normal 10 2 3 3 2 3 6" xfId="10148"/>
    <cellStyle name="Normal 10 2 3 3 2 3 6 2" xfId="20864"/>
    <cellStyle name="Normal 10 2 3 3 2 3 7" xfId="14206"/>
    <cellStyle name="Normal 10 2 3 3 2 4" xfId="3665"/>
    <cellStyle name="Normal 10 2 3 3 2 4 2" xfId="4521"/>
    <cellStyle name="Normal 10 2 3 3 2 4 2 2" xfId="6189"/>
    <cellStyle name="Normal 10 2 3 3 2 4 2 2 2" xfId="9524"/>
    <cellStyle name="Normal 10 2 3 3 2 4 2 2 2 2" xfId="20240"/>
    <cellStyle name="Normal 10 2 3 3 2 4 2 2 3" xfId="12852"/>
    <cellStyle name="Normal 10 2 3 3 2 4 2 2 3 2" xfId="23568"/>
    <cellStyle name="Normal 10 2 3 3 2 4 2 2 4" xfId="16912"/>
    <cellStyle name="Normal 10 2 3 3 2 4 2 3" xfId="7860"/>
    <cellStyle name="Normal 10 2 3 3 2 4 2 3 2" xfId="18576"/>
    <cellStyle name="Normal 10 2 3 3 2 4 2 4" xfId="11188"/>
    <cellStyle name="Normal 10 2 3 3 2 4 2 4 2" xfId="21904"/>
    <cellStyle name="Normal 10 2 3 3 2 4 2 5" xfId="15248"/>
    <cellStyle name="Normal 10 2 3 3 2 4 3" xfId="5357"/>
    <cellStyle name="Normal 10 2 3 3 2 4 3 2" xfId="8692"/>
    <cellStyle name="Normal 10 2 3 3 2 4 3 2 2" xfId="19408"/>
    <cellStyle name="Normal 10 2 3 3 2 4 3 3" xfId="12020"/>
    <cellStyle name="Normal 10 2 3 3 2 4 3 3 2" xfId="22736"/>
    <cellStyle name="Normal 10 2 3 3 2 4 3 4" xfId="16080"/>
    <cellStyle name="Normal 10 2 3 3 2 4 4" xfId="7028"/>
    <cellStyle name="Normal 10 2 3 3 2 4 4 2" xfId="17744"/>
    <cellStyle name="Normal 10 2 3 3 2 4 5" xfId="10356"/>
    <cellStyle name="Normal 10 2 3 3 2 4 5 2" xfId="21072"/>
    <cellStyle name="Normal 10 2 3 3 2 4 6" xfId="14416"/>
    <cellStyle name="Normal 10 2 3 3 2 5" xfId="4103"/>
    <cellStyle name="Normal 10 2 3 3 2 5 2" xfId="5773"/>
    <cellStyle name="Normal 10 2 3 3 2 5 2 2" xfId="9108"/>
    <cellStyle name="Normal 10 2 3 3 2 5 2 2 2" xfId="19824"/>
    <cellStyle name="Normal 10 2 3 3 2 5 2 3" xfId="12436"/>
    <cellStyle name="Normal 10 2 3 3 2 5 2 3 2" xfId="23152"/>
    <cellStyle name="Normal 10 2 3 3 2 5 2 4" xfId="16496"/>
    <cellStyle name="Normal 10 2 3 3 2 5 3" xfId="7444"/>
    <cellStyle name="Normal 10 2 3 3 2 5 3 2" xfId="18160"/>
    <cellStyle name="Normal 10 2 3 3 2 5 4" xfId="10772"/>
    <cellStyle name="Normal 10 2 3 3 2 5 4 2" xfId="21488"/>
    <cellStyle name="Normal 10 2 3 3 2 5 5" xfId="14832"/>
    <cellStyle name="Normal 10 2 3 3 2 6" xfId="4938"/>
    <cellStyle name="Normal 10 2 3 3 2 6 2" xfId="8276"/>
    <cellStyle name="Normal 10 2 3 3 2 6 2 2" xfId="18992"/>
    <cellStyle name="Normal 10 2 3 3 2 6 3" xfId="11604"/>
    <cellStyle name="Normal 10 2 3 3 2 6 3 2" xfId="22320"/>
    <cellStyle name="Normal 10 2 3 3 2 6 4" xfId="15664"/>
    <cellStyle name="Normal 10 2 3 3 2 7" xfId="6608"/>
    <cellStyle name="Normal 10 2 3 3 2 7 2" xfId="17328"/>
    <cellStyle name="Normal 10 2 3 3 2 8" xfId="9940"/>
    <cellStyle name="Normal 10 2 3 3 2 8 2" xfId="20656"/>
    <cellStyle name="Normal 10 2 3 3 2 9" xfId="13997"/>
    <cellStyle name="Normal 10 2 3 3 3" xfId="1046"/>
    <cellStyle name="Normal 10 2 3 3 3 2" xfId="2773"/>
    <cellStyle name="Normal 10 2 3 3 3 2 2" xfId="3891"/>
    <cellStyle name="Normal 10 2 3 3 3 2 2 2" xfId="4731"/>
    <cellStyle name="Normal 10 2 3 3 3 2 2 2 2" xfId="6399"/>
    <cellStyle name="Normal 10 2 3 3 3 2 2 2 2 2" xfId="9734"/>
    <cellStyle name="Normal 10 2 3 3 3 2 2 2 2 2 2" xfId="20450"/>
    <cellStyle name="Normal 10 2 3 3 3 2 2 2 2 3" xfId="13062"/>
    <cellStyle name="Normal 10 2 3 3 3 2 2 2 2 3 2" xfId="23778"/>
    <cellStyle name="Normal 10 2 3 3 3 2 2 2 2 4" xfId="17122"/>
    <cellStyle name="Normal 10 2 3 3 3 2 2 2 3" xfId="8070"/>
    <cellStyle name="Normal 10 2 3 3 3 2 2 2 3 2" xfId="18786"/>
    <cellStyle name="Normal 10 2 3 3 3 2 2 2 4" xfId="11398"/>
    <cellStyle name="Normal 10 2 3 3 3 2 2 2 4 2" xfId="22114"/>
    <cellStyle name="Normal 10 2 3 3 3 2 2 2 5" xfId="15458"/>
    <cellStyle name="Normal 10 2 3 3 3 2 2 3" xfId="5567"/>
    <cellStyle name="Normal 10 2 3 3 3 2 2 3 2" xfId="8902"/>
    <cellStyle name="Normal 10 2 3 3 3 2 2 3 2 2" xfId="19618"/>
    <cellStyle name="Normal 10 2 3 3 3 2 2 3 3" xfId="12230"/>
    <cellStyle name="Normal 10 2 3 3 3 2 2 3 3 2" xfId="22946"/>
    <cellStyle name="Normal 10 2 3 3 3 2 2 3 4" xfId="16290"/>
    <cellStyle name="Normal 10 2 3 3 3 2 2 4" xfId="7238"/>
    <cellStyle name="Normal 10 2 3 3 3 2 2 4 2" xfId="17954"/>
    <cellStyle name="Normal 10 2 3 3 3 2 2 5" xfId="10566"/>
    <cellStyle name="Normal 10 2 3 3 3 2 2 5 2" xfId="21282"/>
    <cellStyle name="Normal 10 2 3 3 3 2 2 6" xfId="14626"/>
    <cellStyle name="Normal 10 2 3 3 3 2 3" xfId="4315"/>
    <cellStyle name="Normal 10 2 3 3 3 2 3 2" xfId="5983"/>
    <cellStyle name="Normal 10 2 3 3 3 2 3 2 2" xfId="9318"/>
    <cellStyle name="Normal 10 2 3 3 3 2 3 2 2 2" xfId="20034"/>
    <cellStyle name="Normal 10 2 3 3 3 2 3 2 3" xfId="12646"/>
    <cellStyle name="Normal 10 2 3 3 3 2 3 2 3 2" xfId="23362"/>
    <cellStyle name="Normal 10 2 3 3 3 2 3 2 4" xfId="16706"/>
    <cellStyle name="Normal 10 2 3 3 3 2 3 3" xfId="7654"/>
    <cellStyle name="Normal 10 2 3 3 3 2 3 3 2" xfId="18370"/>
    <cellStyle name="Normal 10 2 3 3 3 2 3 4" xfId="10982"/>
    <cellStyle name="Normal 10 2 3 3 3 2 3 4 2" xfId="21698"/>
    <cellStyle name="Normal 10 2 3 3 3 2 3 5" xfId="15042"/>
    <cellStyle name="Normal 10 2 3 3 3 2 4" xfId="5151"/>
    <cellStyle name="Normal 10 2 3 3 3 2 4 2" xfId="8486"/>
    <cellStyle name="Normal 10 2 3 3 3 2 4 2 2" xfId="19202"/>
    <cellStyle name="Normal 10 2 3 3 3 2 4 3" xfId="11814"/>
    <cellStyle name="Normal 10 2 3 3 3 2 4 3 2" xfId="22530"/>
    <cellStyle name="Normal 10 2 3 3 3 2 4 4" xfId="15874"/>
    <cellStyle name="Normal 10 2 3 3 3 2 5" xfId="6820"/>
    <cellStyle name="Normal 10 2 3 3 3 2 5 2" xfId="17538"/>
    <cellStyle name="Normal 10 2 3 3 3 2 6" xfId="10150"/>
    <cellStyle name="Normal 10 2 3 3 3 2 6 2" xfId="20866"/>
    <cellStyle name="Normal 10 2 3 3 3 2 7" xfId="14208"/>
    <cellStyle name="Normal 10 2 3 3 3 3" xfId="3667"/>
    <cellStyle name="Normal 10 2 3 3 3 3 2" xfId="4523"/>
    <cellStyle name="Normal 10 2 3 3 3 3 2 2" xfId="6191"/>
    <cellStyle name="Normal 10 2 3 3 3 3 2 2 2" xfId="9526"/>
    <cellStyle name="Normal 10 2 3 3 3 3 2 2 2 2" xfId="20242"/>
    <cellStyle name="Normal 10 2 3 3 3 3 2 2 3" xfId="12854"/>
    <cellStyle name="Normal 10 2 3 3 3 3 2 2 3 2" xfId="23570"/>
    <cellStyle name="Normal 10 2 3 3 3 3 2 2 4" xfId="16914"/>
    <cellStyle name="Normal 10 2 3 3 3 3 2 3" xfId="7862"/>
    <cellStyle name="Normal 10 2 3 3 3 3 2 3 2" xfId="18578"/>
    <cellStyle name="Normal 10 2 3 3 3 3 2 4" xfId="11190"/>
    <cellStyle name="Normal 10 2 3 3 3 3 2 4 2" xfId="21906"/>
    <cellStyle name="Normal 10 2 3 3 3 3 2 5" xfId="15250"/>
    <cellStyle name="Normal 10 2 3 3 3 3 3" xfId="5359"/>
    <cellStyle name="Normal 10 2 3 3 3 3 3 2" xfId="8694"/>
    <cellStyle name="Normal 10 2 3 3 3 3 3 2 2" xfId="19410"/>
    <cellStyle name="Normal 10 2 3 3 3 3 3 3" xfId="12022"/>
    <cellStyle name="Normal 10 2 3 3 3 3 3 3 2" xfId="22738"/>
    <cellStyle name="Normal 10 2 3 3 3 3 3 4" xfId="16082"/>
    <cellStyle name="Normal 10 2 3 3 3 3 4" xfId="7030"/>
    <cellStyle name="Normal 10 2 3 3 3 3 4 2" xfId="17746"/>
    <cellStyle name="Normal 10 2 3 3 3 3 5" xfId="10358"/>
    <cellStyle name="Normal 10 2 3 3 3 3 5 2" xfId="21074"/>
    <cellStyle name="Normal 10 2 3 3 3 3 6" xfId="14418"/>
    <cellStyle name="Normal 10 2 3 3 3 4" xfId="4105"/>
    <cellStyle name="Normal 10 2 3 3 3 4 2" xfId="5775"/>
    <cellStyle name="Normal 10 2 3 3 3 4 2 2" xfId="9110"/>
    <cellStyle name="Normal 10 2 3 3 3 4 2 2 2" xfId="19826"/>
    <cellStyle name="Normal 10 2 3 3 3 4 2 3" xfId="12438"/>
    <cellStyle name="Normal 10 2 3 3 3 4 2 3 2" xfId="23154"/>
    <cellStyle name="Normal 10 2 3 3 3 4 2 4" xfId="16498"/>
    <cellStyle name="Normal 10 2 3 3 3 4 3" xfId="7446"/>
    <cellStyle name="Normal 10 2 3 3 3 4 3 2" xfId="18162"/>
    <cellStyle name="Normal 10 2 3 3 3 4 4" xfId="10774"/>
    <cellStyle name="Normal 10 2 3 3 3 4 4 2" xfId="21490"/>
    <cellStyle name="Normal 10 2 3 3 3 4 5" xfId="14834"/>
    <cellStyle name="Normal 10 2 3 3 3 5" xfId="4940"/>
    <cellStyle name="Normal 10 2 3 3 3 5 2" xfId="8278"/>
    <cellStyle name="Normal 10 2 3 3 3 5 2 2" xfId="18994"/>
    <cellStyle name="Normal 10 2 3 3 3 5 3" xfId="11606"/>
    <cellStyle name="Normal 10 2 3 3 3 5 3 2" xfId="22322"/>
    <cellStyle name="Normal 10 2 3 3 3 5 4" xfId="15666"/>
    <cellStyle name="Normal 10 2 3 3 3 6" xfId="6610"/>
    <cellStyle name="Normal 10 2 3 3 3 6 2" xfId="17330"/>
    <cellStyle name="Normal 10 2 3 3 3 7" xfId="9942"/>
    <cellStyle name="Normal 10 2 3 3 3 7 2" xfId="20658"/>
    <cellStyle name="Normal 10 2 3 3 3 8" xfId="13999"/>
    <cellStyle name="Normal 10 2 3 3 4" xfId="2770"/>
    <cellStyle name="Normal 10 2 3 3 4 2" xfId="3888"/>
    <cellStyle name="Normal 10 2 3 3 4 2 2" xfId="4728"/>
    <cellStyle name="Normal 10 2 3 3 4 2 2 2" xfId="6396"/>
    <cellStyle name="Normal 10 2 3 3 4 2 2 2 2" xfId="9731"/>
    <cellStyle name="Normal 10 2 3 3 4 2 2 2 2 2" xfId="20447"/>
    <cellStyle name="Normal 10 2 3 3 4 2 2 2 3" xfId="13059"/>
    <cellStyle name="Normal 10 2 3 3 4 2 2 2 3 2" xfId="23775"/>
    <cellStyle name="Normal 10 2 3 3 4 2 2 2 4" xfId="17119"/>
    <cellStyle name="Normal 10 2 3 3 4 2 2 3" xfId="8067"/>
    <cellStyle name="Normal 10 2 3 3 4 2 2 3 2" xfId="18783"/>
    <cellStyle name="Normal 10 2 3 3 4 2 2 4" xfId="11395"/>
    <cellStyle name="Normal 10 2 3 3 4 2 2 4 2" xfId="22111"/>
    <cellStyle name="Normal 10 2 3 3 4 2 2 5" xfId="15455"/>
    <cellStyle name="Normal 10 2 3 3 4 2 3" xfId="5564"/>
    <cellStyle name="Normal 10 2 3 3 4 2 3 2" xfId="8899"/>
    <cellStyle name="Normal 10 2 3 3 4 2 3 2 2" xfId="19615"/>
    <cellStyle name="Normal 10 2 3 3 4 2 3 3" xfId="12227"/>
    <cellStyle name="Normal 10 2 3 3 4 2 3 3 2" xfId="22943"/>
    <cellStyle name="Normal 10 2 3 3 4 2 3 4" xfId="16287"/>
    <cellStyle name="Normal 10 2 3 3 4 2 4" xfId="7235"/>
    <cellStyle name="Normal 10 2 3 3 4 2 4 2" xfId="17951"/>
    <cellStyle name="Normal 10 2 3 3 4 2 5" xfId="10563"/>
    <cellStyle name="Normal 10 2 3 3 4 2 5 2" xfId="21279"/>
    <cellStyle name="Normal 10 2 3 3 4 2 6" xfId="14623"/>
    <cellStyle name="Normal 10 2 3 3 4 3" xfId="4312"/>
    <cellStyle name="Normal 10 2 3 3 4 3 2" xfId="5980"/>
    <cellStyle name="Normal 10 2 3 3 4 3 2 2" xfId="9315"/>
    <cellStyle name="Normal 10 2 3 3 4 3 2 2 2" xfId="20031"/>
    <cellStyle name="Normal 10 2 3 3 4 3 2 3" xfId="12643"/>
    <cellStyle name="Normal 10 2 3 3 4 3 2 3 2" xfId="23359"/>
    <cellStyle name="Normal 10 2 3 3 4 3 2 4" xfId="16703"/>
    <cellStyle name="Normal 10 2 3 3 4 3 3" xfId="7651"/>
    <cellStyle name="Normal 10 2 3 3 4 3 3 2" xfId="18367"/>
    <cellStyle name="Normal 10 2 3 3 4 3 4" xfId="10979"/>
    <cellStyle name="Normal 10 2 3 3 4 3 4 2" xfId="21695"/>
    <cellStyle name="Normal 10 2 3 3 4 3 5" xfId="15039"/>
    <cellStyle name="Normal 10 2 3 3 4 4" xfId="5148"/>
    <cellStyle name="Normal 10 2 3 3 4 4 2" xfId="8483"/>
    <cellStyle name="Normal 10 2 3 3 4 4 2 2" xfId="19199"/>
    <cellStyle name="Normal 10 2 3 3 4 4 3" xfId="11811"/>
    <cellStyle name="Normal 10 2 3 3 4 4 3 2" xfId="22527"/>
    <cellStyle name="Normal 10 2 3 3 4 4 4" xfId="15871"/>
    <cellStyle name="Normal 10 2 3 3 4 5" xfId="6817"/>
    <cellStyle name="Normal 10 2 3 3 4 5 2" xfId="17535"/>
    <cellStyle name="Normal 10 2 3 3 4 6" xfId="10147"/>
    <cellStyle name="Normal 10 2 3 3 4 6 2" xfId="20863"/>
    <cellStyle name="Normal 10 2 3 3 4 7" xfId="14205"/>
    <cellStyle name="Normal 10 2 3 3 5" xfId="3664"/>
    <cellStyle name="Normal 10 2 3 3 5 2" xfId="4520"/>
    <cellStyle name="Normal 10 2 3 3 5 2 2" xfId="6188"/>
    <cellStyle name="Normal 10 2 3 3 5 2 2 2" xfId="9523"/>
    <cellStyle name="Normal 10 2 3 3 5 2 2 2 2" xfId="20239"/>
    <cellStyle name="Normal 10 2 3 3 5 2 2 3" xfId="12851"/>
    <cellStyle name="Normal 10 2 3 3 5 2 2 3 2" xfId="23567"/>
    <cellStyle name="Normal 10 2 3 3 5 2 2 4" xfId="16911"/>
    <cellStyle name="Normal 10 2 3 3 5 2 3" xfId="7859"/>
    <cellStyle name="Normal 10 2 3 3 5 2 3 2" xfId="18575"/>
    <cellStyle name="Normal 10 2 3 3 5 2 4" xfId="11187"/>
    <cellStyle name="Normal 10 2 3 3 5 2 4 2" xfId="21903"/>
    <cellStyle name="Normal 10 2 3 3 5 2 5" xfId="15247"/>
    <cellStyle name="Normal 10 2 3 3 5 3" xfId="5356"/>
    <cellStyle name="Normal 10 2 3 3 5 3 2" xfId="8691"/>
    <cellStyle name="Normal 10 2 3 3 5 3 2 2" xfId="19407"/>
    <cellStyle name="Normal 10 2 3 3 5 3 3" xfId="12019"/>
    <cellStyle name="Normal 10 2 3 3 5 3 3 2" xfId="22735"/>
    <cellStyle name="Normal 10 2 3 3 5 3 4" xfId="16079"/>
    <cellStyle name="Normal 10 2 3 3 5 4" xfId="7027"/>
    <cellStyle name="Normal 10 2 3 3 5 4 2" xfId="17743"/>
    <cellStyle name="Normal 10 2 3 3 5 5" xfId="10355"/>
    <cellStyle name="Normal 10 2 3 3 5 5 2" xfId="21071"/>
    <cellStyle name="Normal 10 2 3 3 5 6" xfId="14415"/>
    <cellStyle name="Normal 10 2 3 3 6" xfId="4102"/>
    <cellStyle name="Normal 10 2 3 3 6 2" xfId="5772"/>
    <cellStyle name="Normal 10 2 3 3 6 2 2" xfId="9107"/>
    <cellStyle name="Normal 10 2 3 3 6 2 2 2" xfId="19823"/>
    <cellStyle name="Normal 10 2 3 3 6 2 3" xfId="12435"/>
    <cellStyle name="Normal 10 2 3 3 6 2 3 2" xfId="23151"/>
    <cellStyle name="Normal 10 2 3 3 6 2 4" xfId="16495"/>
    <cellStyle name="Normal 10 2 3 3 6 3" xfId="7443"/>
    <cellStyle name="Normal 10 2 3 3 6 3 2" xfId="18159"/>
    <cellStyle name="Normal 10 2 3 3 6 4" xfId="10771"/>
    <cellStyle name="Normal 10 2 3 3 6 4 2" xfId="21487"/>
    <cellStyle name="Normal 10 2 3 3 6 5" xfId="14831"/>
    <cellStyle name="Normal 10 2 3 3 7" xfId="4937"/>
    <cellStyle name="Normal 10 2 3 3 7 2" xfId="8275"/>
    <cellStyle name="Normal 10 2 3 3 7 2 2" xfId="18991"/>
    <cellStyle name="Normal 10 2 3 3 7 3" xfId="11603"/>
    <cellStyle name="Normal 10 2 3 3 7 3 2" xfId="22319"/>
    <cellStyle name="Normal 10 2 3 3 7 4" xfId="15663"/>
    <cellStyle name="Normal 10 2 3 3 8" xfId="6607"/>
    <cellStyle name="Normal 10 2 3 3 8 2" xfId="17327"/>
    <cellStyle name="Normal 10 2 3 3 9" xfId="9939"/>
    <cellStyle name="Normal 10 2 3 3 9 2" xfId="20655"/>
    <cellStyle name="Normal 10 2 3 4" xfId="1047"/>
    <cellStyle name="Normal 10 2 3 4 2" xfId="1048"/>
    <cellStyle name="Normal 10 2 3 4 2 2" xfId="2775"/>
    <cellStyle name="Normal 10 2 3 4 2 2 2" xfId="3893"/>
    <cellStyle name="Normal 10 2 3 4 2 2 2 2" xfId="4733"/>
    <cellStyle name="Normal 10 2 3 4 2 2 2 2 2" xfId="6401"/>
    <cellStyle name="Normal 10 2 3 4 2 2 2 2 2 2" xfId="9736"/>
    <cellStyle name="Normal 10 2 3 4 2 2 2 2 2 2 2" xfId="20452"/>
    <cellStyle name="Normal 10 2 3 4 2 2 2 2 2 3" xfId="13064"/>
    <cellStyle name="Normal 10 2 3 4 2 2 2 2 2 3 2" xfId="23780"/>
    <cellStyle name="Normal 10 2 3 4 2 2 2 2 2 4" xfId="17124"/>
    <cellStyle name="Normal 10 2 3 4 2 2 2 2 3" xfId="8072"/>
    <cellStyle name="Normal 10 2 3 4 2 2 2 2 3 2" xfId="18788"/>
    <cellStyle name="Normal 10 2 3 4 2 2 2 2 4" xfId="11400"/>
    <cellStyle name="Normal 10 2 3 4 2 2 2 2 4 2" xfId="22116"/>
    <cellStyle name="Normal 10 2 3 4 2 2 2 2 5" xfId="15460"/>
    <cellStyle name="Normal 10 2 3 4 2 2 2 3" xfId="5569"/>
    <cellStyle name="Normal 10 2 3 4 2 2 2 3 2" xfId="8904"/>
    <cellStyle name="Normal 10 2 3 4 2 2 2 3 2 2" xfId="19620"/>
    <cellStyle name="Normal 10 2 3 4 2 2 2 3 3" xfId="12232"/>
    <cellStyle name="Normal 10 2 3 4 2 2 2 3 3 2" xfId="22948"/>
    <cellStyle name="Normal 10 2 3 4 2 2 2 3 4" xfId="16292"/>
    <cellStyle name="Normal 10 2 3 4 2 2 2 4" xfId="7240"/>
    <cellStyle name="Normal 10 2 3 4 2 2 2 4 2" xfId="17956"/>
    <cellStyle name="Normal 10 2 3 4 2 2 2 5" xfId="10568"/>
    <cellStyle name="Normal 10 2 3 4 2 2 2 5 2" xfId="21284"/>
    <cellStyle name="Normal 10 2 3 4 2 2 2 6" xfId="14628"/>
    <cellStyle name="Normal 10 2 3 4 2 2 3" xfId="4317"/>
    <cellStyle name="Normal 10 2 3 4 2 2 3 2" xfId="5985"/>
    <cellStyle name="Normal 10 2 3 4 2 2 3 2 2" xfId="9320"/>
    <cellStyle name="Normal 10 2 3 4 2 2 3 2 2 2" xfId="20036"/>
    <cellStyle name="Normal 10 2 3 4 2 2 3 2 3" xfId="12648"/>
    <cellStyle name="Normal 10 2 3 4 2 2 3 2 3 2" xfId="23364"/>
    <cellStyle name="Normal 10 2 3 4 2 2 3 2 4" xfId="16708"/>
    <cellStyle name="Normal 10 2 3 4 2 2 3 3" xfId="7656"/>
    <cellStyle name="Normal 10 2 3 4 2 2 3 3 2" xfId="18372"/>
    <cellStyle name="Normal 10 2 3 4 2 2 3 4" xfId="10984"/>
    <cellStyle name="Normal 10 2 3 4 2 2 3 4 2" xfId="21700"/>
    <cellStyle name="Normal 10 2 3 4 2 2 3 5" xfId="15044"/>
    <cellStyle name="Normal 10 2 3 4 2 2 4" xfId="5153"/>
    <cellStyle name="Normal 10 2 3 4 2 2 4 2" xfId="8488"/>
    <cellStyle name="Normal 10 2 3 4 2 2 4 2 2" xfId="19204"/>
    <cellStyle name="Normal 10 2 3 4 2 2 4 3" xfId="11816"/>
    <cellStyle name="Normal 10 2 3 4 2 2 4 3 2" xfId="22532"/>
    <cellStyle name="Normal 10 2 3 4 2 2 4 4" xfId="15876"/>
    <cellStyle name="Normal 10 2 3 4 2 2 5" xfId="6822"/>
    <cellStyle name="Normal 10 2 3 4 2 2 5 2" xfId="17540"/>
    <cellStyle name="Normal 10 2 3 4 2 2 6" xfId="10152"/>
    <cellStyle name="Normal 10 2 3 4 2 2 6 2" xfId="20868"/>
    <cellStyle name="Normal 10 2 3 4 2 2 7" xfId="14210"/>
    <cellStyle name="Normal 10 2 3 4 2 3" xfId="3669"/>
    <cellStyle name="Normal 10 2 3 4 2 3 2" xfId="4525"/>
    <cellStyle name="Normal 10 2 3 4 2 3 2 2" xfId="6193"/>
    <cellStyle name="Normal 10 2 3 4 2 3 2 2 2" xfId="9528"/>
    <cellStyle name="Normal 10 2 3 4 2 3 2 2 2 2" xfId="20244"/>
    <cellStyle name="Normal 10 2 3 4 2 3 2 2 3" xfId="12856"/>
    <cellStyle name="Normal 10 2 3 4 2 3 2 2 3 2" xfId="23572"/>
    <cellStyle name="Normal 10 2 3 4 2 3 2 2 4" xfId="16916"/>
    <cellStyle name="Normal 10 2 3 4 2 3 2 3" xfId="7864"/>
    <cellStyle name="Normal 10 2 3 4 2 3 2 3 2" xfId="18580"/>
    <cellStyle name="Normal 10 2 3 4 2 3 2 4" xfId="11192"/>
    <cellStyle name="Normal 10 2 3 4 2 3 2 4 2" xfId="21908"/>
    <cellStyle name="Normal 10 2 3 4 2 3 2 5" xfId="15252"/>
    <cellStyle name="Normal 10 2 3 4 2 3 3" xfId="5361"/>
    <cellStyle name="Normal 10 2 3 4 2 3 3 2" xfId="8696"/>
    <cellStyle name="Normal 10 2 3 4 2 3 3 2 2" xfId="19412"/>
    <cellStyle name="Normal 10 2 3 4 2 3 3 3" xfId="12024"/>
    <cellStyle name="Normal 10 2 3 4 2 3 3 3 2" xfId="22740"/>
    <cellStyle name="Normal 10 2 3 4 2 3 3 4" xfId="16084"/>
    <cellStyle name="Normal 10 2 3 4 2 3 4" xfId="7032"/>
    <cellStyle name="Normal 10 2 3 4 2 3 4 2" xfId="17748"/>
    <cellStyle name="Normal 10 2 3 4 2 3 5" xfId="10360"/>
    <cellStyle name="Normal 10 2 3 4 2 3 5 2" xfId="21076"/>
    <cellStyle name="Normal 10 2 3 4 2 3 6" xfId="14420"/>
    <cellStyle name="Normal 10 2 3 4 2 4" xfId="4107"/>
    <cellStyle name="Normal 10 2 3 4 2 4 2" xfId="5777"/>
    <cellStyle name="Normal 10 2 3 4 2 4 2 2" xfId="9112"/>
    <cellStyle name="Normal 10 2 3 4 2 4 2 2 2" xfId="19828"/>
    <cellStyle name="Normal 10 2 3 4 2 4 2 3" xfId="12440"/>
    <cellStyle name="Normal 10 2 3 4 2 4 2 3 2" xfId="23156"/>
    <cellStyle name="Normal 10 2 3 4 2 4 2 4" xfId="16500"/>
    <cellStyle name="Normal 10 2 3 4 2 4 3" xfId="7448"/>
    <cellStyle name="Normal 10 2 3 4 2 4 3 2" xfId="18164"/>
    <cellStyle name="Normal 10 2 3 4 2 4 4" xfId="10776"/>
    <cellStyle name="Normal 10 2 3 4 2 4 4 2" xfId="21492"/>
    <cellStyle name="Normal 10 2 3 4 2 4 5" xfId="14836"/>
    <cellStyle name="Normal 10 2 3 4 2 5" xfId="4942"/>
    <cellStyle name="Normal 10 2 3 4 2 5 2" xfId="8280"/>
    <cellStyle name="Normal 10 2 3 4 2 5 2 2" xfId="18996"/>
    <cellStyle name="Normal 10 2 3 4 2 5 3" xfId="11608"/>
    <cellStyle name="Normal 10 2 3 4 2 5 3 2" xfId="22324"/>
    <cellStyle name="Normal 10 2 3 4 2 5 4" xfId="15668"/>
    <cellStyle name="Normal 10 2 3 4 2 6" xfId="6612"/>
    <cellStyle name="Normal 10 2 3 4 2 6 2" xfId="17332"/>
    <cellStyle name="Normal 10 2 3 4 2 7" xfId="9944"/>
    <cellStyle name="Normal 10 2 3 4 2 7 2" xfId="20660"/>
    <cellStyle name="Normal 10 2 3 4 2 8" xfId="14001"/>
    <cellStyle name="Normal 10 2 3 4 3" xfId="2774"/>
    <cellStyle name="Normal 10 2 3 4 3 2" xfId="3892"/>
    <cellStyle name="Normal 10 2 3 4 3 2 2" xfId="4732"/>
    <cellStyle name="Normal 10 2 3 4 3 2 2 2" xfId="6400"/>
    <cellStyle name="Normal 10 2 3 4 3 2 2 2 2" xfId="9735"/>
    <cellStyle name="Normal 10 2 3 4 3 2 2 2 2 2" xfId="20451"/>
    <cellStyle name="Normal 10 2 3 4 3 2 2 2 3" xfId="13063"/>
    <cellStyle name="Normal 10 2 3 4 3 2 2 2 3 2" xfId="23779"/>
    <cellStyle name="Normal 10 2 3 4 3 2 2 2 4" xfId="17123"/>
    <cellStyle name="Normal 10 2 3 4 3 2 2 3" xfId="8071"/>
    <cellStyle name="Normal 10 2 3 4 3 2 2 3 2" xfId="18787"/>
    <cellStyle name="Normal 10 2 3 4 3 2 2 4" xfId="11399"/>
    <cellStyle name="Normal 10 2 3 4 3 2 2 4 2" xfId="22115"/>
    <cellStyle name="Normal 10 2 3 4 3 2 2 5" xfId="15459"/>
    <cellStyle name="Normal 10 2 3 4 3 2 3" xfId="5568"/>
    <cellStyle name="Normal 10 2 3 4 3 2 3 2" xfId="8903"/>
    <cellStyle name="Normal 10 2 3 4 3 2 3 2 2" xfId="19619"/>
    <cellStyle name="Normal 10 2 3 4 3 2 3 3" xfId="12231"/>
    <cellStyle name="Normal 10 2 3 4 3 2 3 3 2" xfId="22947"/>
    <cellStyle name="Normal 10 2 3 4 3 2 3 4" xfId="16291"/>
    <cellStyle name="Normal 10 2 3 4 3 2 4" xfId="7239"/>
    <cellStyle name="Normal 10 2 3 4 3 2 4 2" xfId="17955"/>
    <cellStyle name="Normal 10 2 3 4 3 2 5" xfId="10567"/>
    <cellStyle name="Normal 10 2 3 4 3 2 5 2" xfId="21283"/>
    <cellStyle name="Normal 10 2 3 4 3 2 6" xfId="14627"/>
    <cellStyle name="Normal 10 2 3 4 3 3" xfId="4316"/>
    <cellStyle name="Normal 10 2 3 4 3 3 2" xfId="5984"/>
    <cellStyle name="Normal 10 2 3 4 3 3 2 2" xfId="9319"/>
    <cellStyle name="Normal 10 2 3 4 3 3 2 2 2" xfId="20035"/>
    <cellStyle name="Normal 10 2 3 4 3 3 2 3" xfId="12647"/>
    <cellStyle name="Normal 10 2 3 4 3 3 2 3 2" xfId="23363"/>
    <cellStyle name="Normal 10 2 3 4 3 3 2 4" xfId="16707"/>
    <cellStyle name="Normal 10 2 3 4 3 3 3" xfId="7655"/>
    <cellStyle name="Normal 10 2 3 4 3 3 3 2" xfId="18371"/>
    <cellStyle name="Normal 10 2 3 4 3 3 4" xfId="10983"/>
    <cellStyle name="Normal 10 2 3 4 3 3 4 2" xfId="21699"/>
    <cellStyle name="Normal 10 2 3 4 3 3 5" xfId="15043"/>
    <cellStyle name="Normal 10 2 3 4 3 4" xfId="5152"/>
    <cellStyle name="Normal 10 2 3 4 3 4 2" xfId="8487"/>
    <cellStyle name="Normal 10 2 3 4 3 4 2 2" xfId="19203"/>
    <cellStyle name="Normal 10 2 3 4 3 4 3" xfId="11815"/>
    <cellStyle name="Normal 10 2 3 4 3 4 3 2" xfId="22531"/>
    <cellStyle name="Normal 10 2 3 4 3 4 4" xfId="15875"/>
    <cellStyle name="Normal 10 2 3 4 3 5" xfId="6821"/>
    <cellStyle name="Normal 10 2 3 4 3 5 2" xfId="17539"/>
    <cellStyle name="Normal 10 2 3 4 3 6" xfId="10151"/>
    <cellStyle name="Normal 10 2 3 4 3 6 2" xfId="20867"/>
    <cellStyle name="Normal 10 2 3 4 3 7" xfId="14209"/>
    <cellStyle name="Normal 10 2 3 4 4" xfId="3668"/>
    <cellStyle name="Normal 10 2 3 4 4 2" xfId="4524"/>
    <cellStyle name="Normal 10 2 3 4 4 2 2" xfId="6192"/>
    <cellStyle name="Normal 10 2 3 4 4 2 2 2" xfId="9527"/>
    <cellStyle name="Normal 10 2 3 4 4 2 2 2 2" xfId="20243"/>
    <cellStyle name="Normal 10 2 3 4 4 2 2 3" xfId="12855"/>
    <cellStyle name="Normal 10 2 3 4 4 2 2 3 2" xfId="23571"/>
    <cellStyle name="Normal 10 2 3 4 4 2 2 4" xfId="16915"/>
    <cellStyle name="Normal 10 2 3 4 4 2 3" xfId="7863"/>
    <cellStyle name="Normal 10 2 3 4 4 2 3 2" xfId="18579"/>
    <cellStyle name="Normal 10 2 3 4 4 2 4" xfId="11191"/>
    <cellStyle name="Normal 10 2 3 4 4 2 4 2" xfId="21907"/>
    <cellStyle name="Normal 10 2 3 4 4 2 5" xfId="15251"/>
    <cellStyle name="Normal 10 2 3 4 4 3" xfId="5360"/>
    <cellStyle name="Normal 10 2 3 4 4 3 2" xfId="8695"/>
    <cellStyle name="Normal 10 2 3 4 4 3 2 2" xfId="19411"/>
    <cellStyle name="Normal 10 2 3 4 4 3 3" xfId="12023"/>
    <cellStyle name="Normal 10 2 3 4 4 3 3 2" xfId="22739"/>
    <cellStyle name="Normal 10 2 3 4 4 3 4" xfId="16083"/>
    <cellStyle name="Normal 10 2 3 4 4 4" xfId="7031"/>
    <cellStyle name="Normal 10 2 3 4 4 4 2" xfId="17747"/>
    <cellStyle name="Normal 10 2 3 4 4 5" xfId="10359"/>
    <cellStyle name="Normal 10 2 3 4 4 5 2" xfId="21075"/>
    <cellStyle name="Normal 10 2 3 4 4 6" xfId="14419"/>
    <cellStyle name="Normal 10 2 3 4 5" xfId="4106"/>
    <cellStyle name="Normal 10 2 3 4 5 2" xfId="5776"/>
    <cellStyle name="Normal 10 2 3 4 5 2 2" xfId="9111"/>
    <cellStyle name="Normal 10 2 3 4 5 2 2 2" xfId="19827"/>
    <cellStyle name="Normal 10 2 3 4 5 2 3" xfId="12439"/>
    <cellStyle name="Normal 10 2 3 4 5 2 3 2" xfId="23155"/>
    <cellStyle name="Normal 10 2 3 4 5 2 4" xfId="16499"/>
    <cellStyle name="Normal 10 2 3 4 5 3" xfId="7447"/>
    <cellStyle name="Normal 10 2 3 4 5 3 2" xfId="18163"/>
    <cellStyle name="Normal 10 2 3 4 5 4" xfId="10775"/>
    <cellStyle name="Normal 10 2 3 4 5 4 2" xfId="21491"/>
    <cellStyle name="Normal 10 2 3 4 5 5" xfId="14835"/>
    <cellStyle name="Normal 10 2 3 4 6" xfId="4941"/>
    <cellStyle name="Normal 10 2 3 4 6 2" xfId="8279"/>
    <cellStyle name="Normal 10 2 3 4 6 2 2" xfId="18995"/>
    <cellStyle name="Normal 10 2 3 4 6 3" xfId="11607"/>
    <cellStyle name="Normal 10 2 3 4 6 3 2" xfId="22323"/>
    <cellStyle name="Normal 10 2 3 4 6 4" xfId="15667"/>
    <cellStyle name="Normal 10 2 3 4 7" xfId="6611"/>
    <cellStyle name="Normal 10 2 3 4 7 2" xfId="17331"/>
    <cellStyle name="Normal 10 2 3 4 8" xfId="9943"/>
    <cellStyle name="Normal 10 2 3 4 8 2" xfId="20659"/>
    <cellStyle name="Normal 10 2 3 4 9" xfId="14000"/>
    <cellStyle name="Normal 10 2 3 5" xfId="1049"/>
    <cellStyle name="Normal 10 2 3 5 2" xfId="2776"/>
    <cellStyle name="Normal 10 2 3 5 2 2" xfId="3894"/>
    <cellStyle name="Normal 10 2 3 5 2 2 2" xfId="4734"/>
    <cellStyle name="Normal 10 2 3 5 2 2 2 2" xfId="6402"/>
    <cellStyle name="Normal 10 2 3 5 2 2 2 2 2" xfId="9737"/>
    <cellStyle name="Normal 10 2 3 5 2 2 2 2 2 2" xfId="20453"/>
    <cellStyle name="Normal 10 2 3 5 2 2 2 2 3" xfId="13065"/>
    <cellStyle name="Normal 10 2 3 5 2 2 2 2 3 2" xfId="23781"/>
    <cellStyle name="Normal 10 2 3 5 2 2 2 2 4" xfId="17125"/>
    <cellStyle name="Normal 10 2 3 5 2 2 2 3" xfId="8073"/>
    <cellStyle name="Normal 10 2 3 5 2 2 2 3 2" xfId="18789"/>
    <cellStyle name="Normal 10 2 3 5 2 2 2 4" xfId="11401"/>
    <cellStyle name="Normal 10 2 3 5 2 2 2 4 2" xfId="22117"/>
    <cellStyle name="Normal 10 2 3 5 2 2 2 5" xfId="15461"/>
    <cellStyle name="Normal 10 2 3 5 2 2 3" xfId="5570"/>
    <cellStyle name="Normal 10 2 3 5 2 2 3 2" xfId="8905"/>
    <cellStyle name="Normal 10 2 3 5 2 2 3 2 2" xfId="19621"/>
    <cellStyle name="Normal 10 2 3 5 2 2 3 3" xfId="12233"/>
    <cellStyle name="Normal 10 2 3 5 2 2 3 3 2" xfId="22949"/>
    <cellStyle name="Normal 10 2 3 5 2 2 3 4" xfId="16293"/>
    <cellStyle name="Normal 10 2 3 5 2 2 4" xfId="7241"/>
    <cellStyle name="Normal 10 2 3 5 2 2 4 2" xfId="17957"/>
    <cellStyle name="Normal 10 2 3 5 2 2 5" xfId="10569"/>
    <cellStyle name="Normal 10 2 3 5 2 2 5 2" xfId="21285"/>
    <cellStyle name="Normal 10 2 3 5 2 2 6" xfId="14629"/>
    <cellStyle name="Normal 10 2 3 5 2 3" xfId="4318"/>
    <cellStyle name="Normal 10 2 3 5 2 3 2" xfId="5986"/>
    <cellStyle name="Normal 10 2 3 5 2 3 2 2" xfId="9321"/>
    <cellStyle name="Normal 10 2 3 5 2 3 2 2 2" xfId="20037"/>
    <cellStyle name="Normal 10 2 3 5 2 3 2 3" xfId="12649"/>
    <cellStyle name="Normal 10 2 3 5 2 3 2 3 2" xfId="23365"/>
    <cellStyle name="Normal 10 2 3 5 2 3 2 4" xfId="16709"/>
    <cellStyle name="Normal 10 2 3 5 2 3 3" xfId="7657"/>
    <cellStyle name="Normal 10 2 3 5 2 3 3 2" xfId="18373"/>
    <cellStyle name="Normal 10 2 3 5 2 3 4" xfId="10985"/>
    <cellStyle name="Normal 10 2 3 5 2 3 4 2" xfId="21701"/>
    <cellStyle name="Normal 10 2 3 5 2 3 5" xfId="15045"/>
    <cellStyle name="Normal 10 2 3 5 2 4" xfId="5154"/>
    <cellStyle name="Normal 10 2 3 5 2 4 2" xfId="8489"/>
    <cellStyle name="Normal 10 2 3 5 2 4 2 2" xfId="19205"/>
    <cellStyle name="Normal 10 2 3 5 2 4 3" xfId="11817"/>
    <cellStyle name="Normal 10 2 3 5 2 4 3 2" xfId="22533"/>
    <cellStyle name="Normal 10 2 3 5 2 4 4" xfId="15877"/>
    <cellStyle name="Normal 10 2 3 5 2 5" xfId="6823"/>
    <cellStyle name="Normal 10 2 3 5 2 5 2" xfId="17541"/>
    <cellStyle name="Normal 10 2 3 5 2 6" xfId="10153"/>
    <cellStyle name="Normal 10 2 3 5 2 6 2" xfId="20869"/>
    <cellStyle name="Normal 10 2 3 5 2 7" xfId="14211"/>
    <cellStyle name="Normal 10 2 3 5 3" xfId="3670"/>
    <cellStyle name="Normal 10 2 3 5 3 2" xfId="4526"/>
    <cellStyle name="Normal 10 2 3 5 3 2 2" xfId="6194"/>
    <cellStyle name="Normal 10 2 3 5 3 2 2 2" xfId="9529"/>
    <cellStyle name="Normal 10 2 3 5 3 2 2 2 2" xfId="20245"/>
    <cellStyle name="Normal 10 2 3 5 3 2 2 3" xfId="12857"/>
    <cellStyle name="Normal 10 2 3 5 3 2 2 3 2" xfId="23573"/>
    <cellStyle name="Normal 10 2 3 5 3 2 2 4" xfId="16917"/>
    <cellStyle name="Normal 10 2 3 5 3 2 3" xfId="7865"/>
    <cellStyle name="Normal 10 2 3 5 3 2 3 2" xfId="18581"/>
    <cellStyle name="Normal 10 2 3 5 3 2 4" xfId="11193"/>
    <cellStyle name="Normal 10 2 3 5 3 2 4 2" xfId="21909"/>
    <cellStyle name="Normal 10 2 3 5 3 2 5" xfId="15253"/>
    <cellStyle name="Normal 10 2 3 5 3 3" xfId="5362"/>
    <cellStyle name="Normal 10 2 3 5 3 3 2" xfId="8697"/>
    <cellStyle name="Normal 10 2 3 5 3 3 2 2" xfId="19413"/>
    <cellStyle name="Normal 10 2 3 5 3 3 3" xfId="12025"/>
    <cellStyle name="Normal 10 2 3 5 3 3 3 2" xfId="22741"/>
    <cellStyle name="Normal 10 2 3 5 3 3 4" xfId="16085"/>
    <cellStyle name="Normal 10 2 3 5 3 4" xfId="7033"/>
    <cellStyle name="Normal 10 2 3 5 3 4 2" xfId="17749"/>
    <cellStyle name="Normal 10 2 3 5 3 5" xfId="10361"/>
    <cellStyle name="Normal 10 2 3 5 3 5 2" xfId="21077"/>
    <cellStyle name="Normal 10 2 3 5 3 6" xfId="14421"/>
    <cellStyle name="Normal 10 2 3 5 4" xfId="4108"/>
    <cellStyle name="Normal 10 2 3 5 4 2" xfId="5778"/>
    <cellStyle name="Normal 10 2 3 5 4 2 2" xfId="9113"/>
    <cellStyle name="Normal 10 2 3 5 4 2 2 2" xfId="19829"/>
    <cellStyle name="Normal 10 2 3 5 4 2 3" xfId="12441"/>
    <cellStyle name="Normal 10 2 3 5 4 2 3 2" xfId="23157"/>
    <cellStyle name="Normal 10 2 3 5 4 2 4" xfId="16501"/>
    <cellStyle name="Normal 10 2 3 5 4 3" xfId="7449"/>
    <cellStyle name="Normal 10 2 3 5 4 3 2" xfId="18165"/>
    <cellStyle name="Normal 10 2 3 5 4 4" xfId="10777"/>
    <cellStyle name="Normal 10 2 3 5 4 4 2" xfId="21493"/>
    <cellStyle name="Normal 10 2 3 5 4 5" xfId="14837"/>
    <cellStyle name="Normal 10 2 3 5 5" xfId="4943"/>
    <cellStyle name="Normal 10 2 3 5 5 2" xfId="8281"/>
    <cellStyle name="Normal 10 2 3 5 5 2 2" xfId="18997"/>
    <cellStyle name="Normal 10 2 3 5 5 3" xfId="11609"/>
    <cellStyle name="Normal 10 2 3 5 5 3 2" xfId="22325"/>
    <cellStyle name="Normal 10 2 3 5 5 4" xfId="15669"/>
    <cellStyle name="Normal 10 2 3 5 6" xfId="6613"/>
    <cellStyle name="Normal 10 2 3 5 6 2" xfId="17333"/>
    <cellStyle name="Normal 10 2 3 5 7" xfId="9945"/>
    <cellStyle name="Normal 10 2 3 5 7 2" xfId="20661"/>
    <cellStyle name="Normal 10 2 3 5 8" xfId="14002"/>
    <cellStyle name="Normal 10 2 3 6" xfId="2761"/>
    <cellStyle name="Normal 10 2 3 6 2" xfId="3879"/>
    <cellStyle name="Normal 10 2 3 6 2 2" xfId="4719"/>
    <cellStyle name="Normal 10 2 3 6 2 2 2" xfId="6387"/>
    <cellStyle name="Normal 10 2 3 6 2 2 2 2" xfId="9722"/>
    <cellStyle name="Normal 10 2 3 6 2 2 2 2 2" xfId="20438"/>
    <cellStyle name="Normal 10 2 3 6 2 2 2 3" xfId="13050"/>
    <cellStyle name="Normal 10 2 3 6 2 2 2 3 2" xfId="23766"/>
    <cellStyle name="Normal 10 2 3 6 2 2 2 4" xfId="17110"/>
    <cellStyle name="Normal 10 2 3 6 2 2 3" xfId="8058"/>
    <cellStyle name="Normal 10 2 3 6 2 2 3 2" xfId="18774"/>
    <cellStyle name="Normal 10 2 3 6 2 2 4" xfId="11386"/>
    <cellStyle name="Normal 10 2 3 6 2 2 4 2" xfId="22102"/>
    <cellStyle name="Normal 10 2 3 6 2 2 5" xfId="15446"/>
    <cellStyle name="Normal 10 2 3 6 2 3" xfId="5555"/>
    <cellStyle name="Normal 10 2 3 6 2 3 2" xfId="8890"/>
    <cellStyle name="Normal 10 2 3 6 2 3 2 2" xfId="19606"/>
    <cellStyle name="Normal 10 2 3 6 2 3 3" xfId="12218"/>
    <cellStyle name="Normal 10 2 3 6 2 3 3 2" xfId="22934"/>
    <cellStyle name="Normal 10 2 3 6 2 3 4" xfId="16278"/>
    <cellStyle name="Normal 10 2 3 6 2 4" xfId="7226"/>
    <cellStyle name="Normal 10 2 3 6 2 4 2" xfId="17942"/>
    <cellStyle name="Normal 10 2 3 6 2 5" xfId="10554"/>
    <cellStyle name="Normal 10 2 3 6 2 5 2" xfId="21270"/>
    <cellStyle name="Normal 10 2 3 6 2 6" xfId="14614"/>
    <cellStyle name="Normal 10 2 3 6 3" xfId="4303"/>
    <cellStyle name="Normal 10 2 3 6 3 2" xfId="5971"/>
    <cellStyle name="Normal 10 2 3 6 3 2 2" xfId="9306"/>
    <cellStyle name="Normal 10 2 3 6 3 2 2 2" xfId="20022"/>
    <cellStyle name="Normal 10 2 3 6 3 2 3" xfId="12634"/>
    <cellStyle name="Normal 10 2 3 6 3 2 3 2" xfId="23350"/>
    <cellStyle name="Normal 10 2 3 6 3 2 4" xfId="16694"/>
    <cellStyle name="Normal 10 2 3 6 3 3" xfId="7642"/>
    <cellStyle name="Normal 10 2 3 6 3 3 2" xfId="18358"/>
    <cellStyle name="Normal 10 2 3 6 3 4" xfId="10970"/>
    <cellStyle name="Normal 10 2 3 6 3 4 2" xfId="21686"/>
    <cellStyle name="Normal 10 2 3 6 3 5" xfId="15030"/>
    <cellStyle name="Normal 10 2 3 6 4" xfId="5139"/>
    <cellStyle name="Normal 10 2 3 6 4 2" xfId="8474"/>
    <cellStyle name="Normal 10 2 3 6 4 2 2" xfId="19190"/>
    <cellStyle name="Normal 10 2 3 6 4 3" xfId="11802"/>
    <cellStyle name="Normal 10 2 3 6 4 3 2" xfId="22518"/>
    <cellStyle name="Normal 10 2 3 6 4 4" xfId="15862"/>
    <cellStyle name="Normal 10 2 3 6 5" xfId="6808"/>
    <cellStyle name="Normal 10 2 3 6 5 2" xfId="17526"/>
    <cellStyle name="Normal 10 2 3 6 6" xfId="10138"/>
    <cellStyle name="Normal 10 2 3 6 6 2" xfId="20854"/>
    <cellStyle name="Normal 10 2 3 6 7" xfId="14196"/>
    <cellStyle name="Normal 10 2 3 7" xfId="3655"/>
    <cellStyle name="Normal 10 2 3 7 2" xfId="4511"/>
    <cellStyle name="Normal 10 2 3 7 2 2" xfId="6179"/>
    <cellStyle name="Normal 10 2 3 7 2 2 2" xfId="9514"/>
    <cellStyle name="Normal 10 2 3 7 2 2 2 2" xfId="20230"/>
    <cellStyle name="Normal 10 2 3 7 2 2 3" xfId="12842"/>
    <cellStyle name="Normal 10 2 3 7 2 2 3 2" xfId="23558"/>
    <cellStyle name="Normal 10 2 3 7 2 2 4" xfId="16902"/>
    <cellStyle name="Normal 10 2 3 7 2 3" xfId="7850"/>
    <cellStyle name="Normal 10 2 3 7 2 3 2" xfId="18566"/>
    <cellStyle name="Normal 10 2 3 7 2 4" xfId="11178"/>
    <cellStyle name="Normal 10 2 3 7 2 4 2" xfId="21894"/>
    <cellStyle name="Normal 10 2 3 7 2 5" xfId="15238"/>
    <cellStyle name="Normal 10 2 3 7 3" xfId="5347"/>
    <cellStyle name="Normal 10 2 3 7 3 2" xfId="8682"/>
    <cellStyle name="Normal 10 2 3 7 3 2 2" xfId="19398"/>
    <cellStyle name="Normal 10 2 3 7 3 3" xfId="12010"/>
    <cellStyle name="Normal 10 2 3 7 3 3 2" xfId="22726"/>
    <cellStyle name="Normal 10 2 3 7 3 4" xfId="16070"/>
    <cellStyle name="Normal 10 2 3 7 4" xfId="7018"/>
    <cellStyle name="Normal 10 2 3 7 4 2" xfId="17734"/>
    <cellStyle name="Normal 10 2 3 7 5" xfId="10346"/>
    <cellStyle name="Normal 10 2 3 7 5 2" xfId="21062"/>
    <cellStyle name="Normal 10 2 3 7 6" xfId="14406"/>
    <cellStyle name="Normal 10 2 3 8" xfId="4093"/>
    <cellStyle name="Normal 10 2 3 8 2" xfId="5763"/>
    <cellStyle name="Normal 10 2 3 8 2 2" xfId="9098"/>
    <cellStyle name="Normal 10 2 3 8 2 2 2" xfId="19814"/>
    <cellStyle name="Normal 10 2 3 8 2 3" xfId="12426"/>
    <cellStyle name="Normal 10 2 3 8 2 3 2" xfId="23142"/>
    <cellStyle name="Normal 10 2 3 8 2 4" xfId="16486"/>
    <cellStyle name="Normal 10 2 3 8 3" xfId="7434"/>
    <cellStyle name="Normal 10 2 3 8 3 2" xfId="18150"/>
    <cellStyle name="Normal 10 2 3 8 4" xfId="10762"/>
    <cellStyle name="Normal 10 2 3 8 4 2" xfId="21478"/>
    <cellStyle name="Normal 10 2 3 8 5" xfId="14822"/>
    <cellStyle name="Normal 10 2 3 9" xfId="4928"/>
    <cellStyle name="Normal 10 2 3 9 2" xfId="8266"/>
    <cellStyle name="Normal 10 2 3 9 2 2" xfId="18982"/>
    <cellStyle name="Normal 10 2 3 9 3" xfId="11594"/>
    <cellStyle name="Normal 10 2 3 9 3 2" xfId="22310"/>
    <cellStyle name="Normal 10 2 3 9 4" xfId="15654"/>
    <cellStyle name="Normal 10 2 4" xfId="1050"/>
    <cellStyle name="Normal 10 2 4 10" xfId="9946"/>
    <cellStyle name="Normal 10 2 4 10 2" xfId="20662"/>
    <cellStyle name="Normal 10 2 4 11" xfId="14003"/>
    <cellStyle name="Normal 10 2 4 2" xfId="1051"/>
    <cellStyle name="Normal 10 2 4 2 10" xfId="14004"/>
    <cellStyle name="Normal 10 2 4 2 2" xfId="1052"/>
    <cellStyle name="Normal 10 2 4 2 2 2" xfId="1053"/>
    <cellStyle name="Normal 10 2 4 2 2 2 2" xfId="2780"/>
    <cellStyle name="Normal 10 2 4 2 2 2 2 2" xfId="3898"/>
    <cellStyle name="Normal 10 2 4 2 2 2 2 2 2" xfId="4738"/>
    <cellStyle name="Normal 10 2 4 2 2 2 2 2 2 2" xfId="6406"/>
    <cellStyle name="Normal 10 2 4 2 2 2 2 2 2 2 2" xfId="9741"/>
    <cellStyle name="Normal 10 2 4 2 2 2 2 2 2 2 2 2" xfId="20457"/>
    <cellStyle name="Normal 10 2 4 2 2 2 2 2 2 2 3" xfId="13069"/>
    <cellStyle name="Normal 10 2 4 2 2 2 2 2 2 2 3 2" xfId="23785"/>
    <cellStyle name="Normal 10 2 4 2 2 2 2 2 2 2 4" xfId="17129"/>
    <cellStyle name="Normal 10 2 4 2 2 2 2 2 2 3" xfId="8077"/>
    <cellStyle name="Normal 10 2 4 2 2 2 2 2 2 3 2" xfId="18793"/>
    <cellStyle name="Normal 10 2 4 2 2 2 2 2 2 4" xfId="11405"/>
    <cellStyle name="Normal 10 2 4 2 2 2 2 2 2 4 2" xfId="22121"/>
    <cellStyle name="Normal 10 2 4 2 2 2 2 2 2 5" xfId="15465"/>
    <cellStyle name="Normal 10 2 4 2 2 2 2 2 3" xfId="5574"/>
    <cellStyle name="Normal 10 2 4 2 2 2 2 2 3 2" xfId="8909"/>
    <cellStyle name="Normal 10 2 4 2 2 2 2 2 3 2 2" xfId="19625"/>
    <cellStyle name="Normal 10 2 4 2 2 2 2 2 3 3" xfId="12237"/>
    <cellStyle name="Normal 10 2 4 2 2 2 2 2 3 3 2" xfId="22953"/>
    <cellStyle name="Normal 10 2 4 2 2 2 2 2 3 4" xfId="16297"/>
    <cellStyle name="Normal 10 2 4 2 2 2 2 2 4" xfId="7245"/>
    <cellStyle name="Normal 10 2 4 2 2 2 2 2 4 2" xfId="17961"/>
    <cellStyle name="Normal 10 2 4 2 2 2 2 2 5" xfId="10573"/>
    <cellStyle name="Normal 10 2 4 2 2 2 2 2 5 2" xfId="21289"/>
    <cellStyle name="Normal 10 2 4 2 2 2 2 2 6" xfId="14633"/>
    <cellStyle name="Normal 10 2 4 2 2 2 2 3" xfId="4322"/>
    <cellStyle name="Normal 10 2 4 2 2 2 2 3 2" xfId="5990"/>
    <cellStyle name="Normal 10 2 4 2 2 2 2 3 2 2" xfId="9325"/>
    <cellStyle name="Normal 10 2 4 2 2 2 2 3 2 2 2" xfId="20041"/>
    <cellStyle name="Normal 10 2 4 2 2 2 2 3 2 3" xfId="12653"/>
    <cellStyle name="Normal 10 2 4 2 2 2 2 3 2 3 2" xfId="23369"/>
    <cellStyle name="Normal 10 2 4 2 2 2 2 3 2 4" xfId="16713"/>
    <cellStyle name="Normal 10 2 4 2 2 2 2 3 3" xfId="7661"/>
    <cellStyle name="Normal 10 2 4 2 2 2 2 3 3 2" xfId="18377"/>
    <cellStyle name="Normal 10 2 4 2 2 2 2 3 4" xfId="10989"/>
    <cellStyle name="Normal 10 2 4 2 2 2 2 3 4 2" xfId="21705"/>
    <cellStyle name="Normal 10 2 4 2 2 2 2 3 5" xfId="15049"/>
    <cellStyle name="Normal 10 2 4 2 2 2 2 4" xfId="5158"/>
    <cellStyle name="Normal 10 2 4 2 2 2 2 4 2" xfId="8493"/>
    <cellStyle name="Normal 10 2 4 2 2 2 2 4 2 2" xfId="19209"/>
    <cellStyle name="Normal 10 2 4 2 2 2 2 4 3" xfId="11821"/>
    <cellStyle name="Normal 10 2 4 2 2 2 2 4 3 2" xfId="22537"/>
    <cellStyle name="Normal 10 2 4 2 2 2 2 4 4" xfId="15881"/>
    <cellStyle name="Normal 10 2 4 2 2 2 2 5" xfId="6827"/>
    <cellStyle name="Normal 10 2 4 2 2 2 2 5 2" xfId="17545"/>
    <cellStyle name="Normal 10 2 4 2 2 2 2 6" xfId="10157"/>
    <cellStyle name="Normal 10 2 4 2 2 2 2 6 2" xfId="20873"/>
    <cellStyle name="Normal 10 2 4 2 2 2 2 7" xfId="14215"/>
    <cellStyle name="Normal 10 2 4 2 2 2 3" xfId="3674"/>
    <cellStyle name="Normal 10 2 4 2 2 2 3 2" xfId="4530"/>
    <cellStyle name="Normal 10 2 4 2 2 2 3 2 2" xfId="6198"/>
    <cellStyle name="Normal 10 2 4 2 2 2 3 2 2 2" xfId="9533"/>
    <cellStyle name="Normal 10 2 4 2 2 2 3 2 2 2 2" xfId="20249"/>
    <cellStyle name="Normal 10 2 4 2 2 2 3 2 2 3" xfId="12861"/>
    <cellStyle name="Normal 10 2 4 2 2 2 3 2 2 3 2" xfId="23577"/>
    <cellStyle name="Normal 10 2 4 2 2 2 3 2 2 4" xfId="16921"/>
    <cellStyle name="Normal 10 2 4 2 2 2 3 2 3" xfId="7869"/>
    <cellStyle name="Normal 10 2 4 2 2 2 3 2 3 2" xfId="18585"/>
    <cellStyle name="Normal 10 2 4 2 2 2 3 2 4" xfId="11197"/>
    <cellStyle name="Normal 10 2 4 2 2 2 3 2 4 2" xfId="21913"/>
    <cellStyle name="Normal 10 2 4 2 2 2 3 2 5" xfId="15257"/>
    <cellStyle name="Normal 10 2 4 2 2 2 3 3" xfId="5366"/>
    <cellStyle name="Normal 10 2 4 2 2 2 3 3 2" xfId="8701"/>
    <cellStyle name="Normal 10 2 4 2 2 2 3 3 2 2" xfId="19417"/>
    <cellStyle name="Normal 10 2 4 2 2 2 3 3 3" xfId="12029"/>
    <cellStyle name="Normal 10 2 4 2 2 2 3 3 3 2" xfId="22745"/>
    <cellStyle name="Normal 10 2 4 2 2 2 3 3 4" xfId="16089"/>
    <cellStyle name="Normal 10 2 4 2 2 2 3 4" xfId="7037"/>
    <cellStyle name="Normal 10 2 4 2 2 2 3 4 2" xfId="17753"/>
    <cellStyle name="Normal 10 2 4 2 2 2 3 5" xfId="10365"/>
    <cellStyle name="Normal 10 2 4 2 2 2 3 5 2" xfId="21081"/>
    <cellStyle name="Normal 10 2 4 2 2 2 3 6" xfId="14425"/>
    <cellStyle name="Normal 10 2 4 2 2 2 4" xfId="4112"/>
    <cellStyle name="Normal 10 2 4 2 2 2 4 2" xfId="5782"/>
    <cellStyle name="Normal 10 2 4 2 2 2 4 2 2" xfId="9117"/>
    <cellStyle name="Normal 10 2 4 2 2 2 4 2 2 2" xfId="19833"/>
    <cellStyle name="Normal 10 2 4 2 2 2 4 2 3" xfId="12445"/>
    <cellStyle name="Normal 10 2 4 2 2 2 4 2 3 2" xfId="23161"/>
    <cellStyle name="Normal 10 2 4 2 2 2 4 2 4" xfId="16505"/>
    <cellStyle name="Normal 10 2 4 2 2 2 4 3" xfId="7453"/>
    <cellStyle name="Normal 10 2 4 2 2 2 4 3 2" xfId="18169"/>
    <cellStyle name="Normal 10 2 4 2 2 2 4 4" xfId="10781"/>
    <cellStyle name="Normal 10 2 4 2 2 2 4 4 2" xfId="21497"/>
    <cellStyle name="Normal 10 2 4 2 2 2 4 5" xfId="14841"/>
    <cellStyle name="Normal 10 2 4 2 2 2 5" xfId="4947"/>
    <cellStyle name="Normal 10 2 4 2 2 2 5 2" xfId="8285"/>
    <cellStyle name="Normal 10 2 4 2 2 2 5 2 2" xfId="19001"/>
    <cellStyle name="Normal 10 2 4 2 2 2 5 3" xfId="11613"/>
    <cellStyle name="Normal 10 2 4 2 2 2 5 3 2" xfId="22329"/>
    <cellStyle name="Normal 10 2 4 2 2 2 5 4" xfId="15673"/>
    <cellStyle name="Normal 10 2 4 2 2 2 6" xfId="6617"/>
    <cellStyle name="Normal 10 2 4 2 2 2 6 2" xfId="17337"/>
    <cellStyle name="Normal 10 2 4 2 2 2 7" xfId="9949"/>
    <cellStyle name="Normal 10 2 4 2 2 2 7 2" xfId="20665"/>
    <cellStyle name="Normal 10 2 4 2 2 2 8" xfId="14006"/>
    <cellStyle name="Normal 10 2 4 2 2 3" xfId="2779"/>
    <cellStyle name="Normal 10 2 4 2 2 3 2" xfId="3897"/>
    <cellStyle name="Normal 10 2 4 2 2 3 2 2" xfId="4737"/>
    <cellStyle name="Normal 10 2 4 2 2 3 2 2 2" xfId="6405"/>
    <cellStyle name="Normal 10 2 4 2 2 3 2 2 2 2" xfId="9740"/>
    <cellStyle name="Normal 10 2 4 2 2 3 2 2 2 2 2" xfId="20456"/>
    <cellStyle name="Normal 10 2 4 2 2 3 2 2 2 3" xfId="13068"/>
    <cellStyle name="Normal 10 2 4 2 2 3 2 2 2 3 2" xfId="23784"/>
    <cellStyle name="Normal 10 2 4 2 2 3 2 2 2 4" xfId="17128"/>
    <cellStyle name="Normal 10 2 4 2 2 3 2 2 3" xfId="8076"/>
    <cellStyle name="Normal 10 2 4 2 2 3 2 2 3 2" xfId="18792"/>
    <cellStyle name="Normal 10 2 4 2 2 3 2 2 4" xfId="11404"/>
    <cellStyle name="Normal 10 2 4 2 2 3 2 2 4 2" xfId="22120"/>
    <cellStyle name="Normal 10 2 4 2 2 3 2 2 5" xfId="15464"/>
    <cellStyle name="Normal 10 2 4 2 2 3 2 3" xfId="5573"/>
    <cellStyle name="Normal 10 2 4 2 2 3 2 3 2" xfId="8908"/>
    <cellStyle name="Normal 10 2 4 2 2 3 2 3 2 2" xfId="19624"/>
    <cellStyle name="Normal 10 2 4 2 2 3 2 3 3" xfId="12236"/>
    <cellStyle name="Normal 10 2 4 2 2 3 2 3 3 2" xfId="22952"/>
    <cellStyle name="Normal 10 2 4 2 2 3 2 3 4" xfId="16296"/>
    <cellStyle name="Normal 10 2 4 2 2 3 2 4" xfId="7244"/>
    <cellStyle name="Normal 10 2 4 2 2 3 2 4 2" xfId="17960"/>
    <cellStyle name="Normal 10 2 4 2 2 3 2 5" xfId="10572"/>
    <cellStyle name="Normal 10 2 4 2 2 3 2 5 2" xfId="21288"/>
    <cellStyle name="Normal 10 2 4 2 2 3 2 6" xfId="14632"/>
    <cellStyle name="Normal 10 2 4 2 2 3 3" xfId="4321"/>
    <cellStyle name="Normal 10 2 4 2 2 3 3 2" xfId="5989"/>
    <cellStyle name="Normal 10 2 4 2 2 3 3 2 2" xfId="9324"/>
    <cellStyle name="Normal 10 2 4 2 2 3 3 2 2 2" xfId="20040"/>
    <cellStyle name="Normal 10 2 4 2 2 3 3 2 3" xfId="12652"/>
    <cellStyle name="Normal 10 2 4 2 2 3 3 2 3 2" xfId="23368"/>
    <cellStyle name="Normal 10 2 4 2 2 3 3 2 4" xfId="16712"/>
    <cellStyle name="Normal 10 2 4 2 2 3 3 3" xfId="7660"/>
    <cellStyle name="Normal 10 2 4 2 2 3 3 3 2" xfId="18376"/>
    <cellStyle name="Normal 10 2 4 2 2 3 3 4" xfId="10988"/>
    <cellStyle name="Normal 10 2 4 2 2 3 3 4 2" xfId="21704"/>
    <cellStyle name="Normal 10 2 4 2 2 3 3 5" xfId="15048"/>
    <cellStyle name="Normal 10 2 4 2 2 3 4" xfId="5157"/>
    <cellStyle name="Normal 10 2 4 2 2 3 4 2" xfId="8492"/>
    <cellStyle name="Normal 10 2 4 2 2 3 4 2 2" xfId="19208"/>
    <cellStyle name="Normal 10 2 4 2 2 3 4 3" xfId="11820"/>
    <cellStyle name="Normal 10 2 4 2 2 3 4 3 2" xfId="22536"/>
    <cellStyle name="Normal 10 2 4 2 2 3 4 4" xfId="15880"/>
    <cellStyle name="Normal 10 2 4 2 2 3 5" xfId="6826"/>
    <cellStyle name="Normal 10 2 4 2 2 3 5 2" xfId="17544"/>
    <cellStyle name="Normal 10 2 4 2 2 3 6" xfId="10156"/>
    <cellStyle name="Normal 10 2 4 2 2 3 6 2" xfId="20872"/>
    <cellStyle name="Normal 10 2 4 2 2 3 7" xfId="14214"/>
    <cellStyle name="Normal 10 2 4 2 2 4" xfId="3673"/>
    <cellStyle name="Normal 10 2 4 2 2 4 2" xfId="4529"/>
    <cellStyle name="Normal 10 2 4 2 2 4 2 2" xfId="6197"/>
    <cellStyle name="Normal 10 2 4 2 2 4 2 2 2" xfId="9532"/>
    <cellStyle name="Normal 10 2 4 2 2 4 2 2 2 2" xfId="20248"/>
    <cellStyle name="Normal 10 2 4 2 2 4 2 2 3" xfId="12860"/>
    <cellStyle name="Normal 10 2 4 2 2 4 2 2 3 2" xfId="23576"/>
    <cellStyle name="Normal 10 2 4 2 2 4 2 2 4" xfId="16920"/>
    <cellStyle name="Normal 10 2 4 2 2 4 2 3" xfId="7868"/>
    <cellStyle name="Normal 10 2 4 2 2 4 2 3 2" xfId="18584"/>
    <cellStyle name="Normal 10 2 4 2 2 4 2 4" xfId="11196"/>
    <cellStyle name="Normal 10 2 4 2 2 4 2 4 2" xfId="21912"/>
    <cellStyle name="Normal 10 2 4 2 2 4 2 5" xfId="15256"/>
    <cellStyle name="Normal 10 2 4 2 2 4 3" xfId="5365"/>
    <cellStyle name="Normal 10 2 4 2 2 4 3 2" xfId="8700"/>
    <cellStyle name="Normal 10 2 4 2 2 4 3 2 2" xfId="19416"/>
    <cellStyle name="Normal 10 2 4 2 2 4 3 3" xfId="12028"/>
    <cellStyle name="Normal 10 2 4 2 2 4 3 3 2" xfId="22744"/>
    <cellStyle name="Normal 10 2 4 2 2 4 3 4" xfId="16088"/>
    <cellStyle name="Normal 10 2 4 2 2 4 4" xfId="7036"/>
    <cellStyle name="Normal 10 2 4 2 2 4 4 2" xfId="17752"/>
    <cellStyle name="Normal 10 2 4 2 2 4 5" xfId="10364"/>
    <cellStyle name="Normal 10 2 4 2 2 4 5 2" xfId="21080"/>
    <cellStyle name="Normal 10 2 4 2 2 4 6" xfId="14424"/>
    <cellStyle name="Normal 10 2 4 2 2 5" xfId="4111"/>
    <cellStyle name="Normal 10 2 4 2 2 5 2" xfId="5781"/>
    <cellStyle name="Normal 10 2 4 2 2 5 2 2" xfId="9116"/>
    <cellStyle name="Normal 10 2 4 2 2 5 2 2 2" xfId="19832"/>
    <cellStyle name="Normal 10 2 4 2 2 5 2 3" xfId="12444"/>
    <cellStyle name="Normal 10 2 4 2 2 5 2 3 2" xfId="23160"/>
    <cellStyle name="Normal 10 2 4 2 2 5 2 4" xfId="16504"/>
    <cellStyle name="Normal 10 2 4 2 2 5 3" xfId="7452"/>
    <cellStyle name="Normal 10 2 4 2 2 5 3 2" xfId="18168"/>
    <cellStyle name="Normal 10 2 4 2 2 5 4" xfId="10780"/>
    <cellStyle name="Normal 10 2 4 2 2 5 4 2" xfId="21496"/>
    <cellStyle name="Normal 10 2 4 2 2 5 5" xfId="14840"/>
    <cellStyle name="Normal 10 2 4 2 2 6" xfId="4946"/>
    <cellStyle name="Normal 10 2 4 2 2 6 2" xfId="8284"/>
    <cellStyle name="Normal 10 2 4 2 2 6 2 2" xfId="19000"/>
    <cellStyle name="Normal 10 2 4 2 2 6 3" xfId="11612"/>
    <cellStyle name="Normal 10 2 4 2 2 6 3 2" xfId="22328"/>
    <cellStyle name="Normal 10 2 4 2 2 6 4" xfId="15672"/>
    <cellStyle name="Normal 10 2 4 2 2 7" xfId="6616"/>
    <cellStyle name="Normal 10 2 4 2 2 7 2" xfId="17336"/>
    <cellStyle name="Normal 10 2 4 2 2 8" xfId="9948"/>
    <cellStyle name="Normal 10 2 4 2 2 8 2" xfId="20664"/>
    <cellStyle name="Normal 10 2 4 2 2 9" xfId="14005"/>
    <cellStyle name="Normal 10 2 4 2 3" xfId="1054"/>
    <cellStyle name="Normal 10 2 4 2 3 2" xfId="2781"/>
    <cellStyle name="Normal 10 2 4 2 3 2 2" xfId="3899"/>
    <cellStyle name="Normal 10 2 4 2 3 2 2 2" xfId="4739"/>
    <cellStyle name="Normal 10 2 4 2 3 2 2 2 2" xfId="6407"/>
    <cellStyle name="Normal 10 2 4 2 3 2 2 2 2 2" xfId="9742"/>
    <cellStyle name="Normal 10 2 4 2 3 2 2 2 2 2 2" xfId="20458"/>
    <cellStyle name="Normal 10 2 4 2 3 2 2 2 2 3" xfId="13070"/>
    <cellStyle name="Normal 10 2 4 2 3 2 2 2 2 3 2" xfId="23786"/>
    <cellStyle name="Normal 10 2 4 2 3 2 2 2 2 4" xfId="17130"/>
    <cellStyle name="Normal 10 2 4 2 3 2 2 2 3" xfId="8078"/>
    <cellStyle name="Normal 10 2 4 2 3 2 2 2 3 2" xfId="18794"/>
    <cellStyle name="Normal 10 2 4 2 3 2 2 2 4" xfId="11406"/>
    <cellStyle name="Normal 10 2 4 2 3 2 2 2 4 2" xfId="22122"/>
    <cellStyle name="Normal 10 2 4 2 3 2 2 2 5" xfId="15466"/>
    <cellStyle name="Normal 10 2 4 2 3 2 2 3" xfId="5575"/>
    <cellStyle name="Normal 10 2 4 2 3 2 2 3 2" xfId="8910"/>
    <cellStyle name="Normal 10 2 4 2 3 2 2 3 2 2" xfId="19626"/>
    <cellStyle name="Normal 10 2 4 2 3 2 2 3 3" xfId="12238"/>
    <cellStyle name="Normal 10 2 4 2 3 2 2 3 3 2" xfId="22954"/>
    <cellStyle name="Normal 10 2 4 2 3 2 2 3 4" xfId="16298"/>
    <cellStyle name="Normal 10 2 4 2 3 2 2 4" xfId="7246"/>
    <cellStyle name="Normal 10 2 4 2 3 2 2 4 2" xfId="17962"/>
    <cellStyle name="Normal 10 2 4 2 3 2 2 5" xfId="10574"/>
    <cellStyle name="Normal 10 2 4 2 3 2 2 5 2" xfId="21290"/>
    <cellStyle name="Normal 10 2 4 2 3 2 2 6" xfId="14634"/>
    <cellStyle name="Normal 10 2 4 2 3 2 3" xfId="4323"/>
    <cellStyle name="Normal 10 2 4 2 3 2 3 2" xfId="5991"/>
    <cellStyle name="Normal 10 2 4 2 3 2 3 2 2" xfId="9326"/>
    <cellStyle name="Normal 10 2 4 2 3 2 3 2 2 2" xfId="20042"/>
    <cellStyle name="Normal 10 2 4 2 3 2 3 2 3" xfId="12654"/>
    <cellStyle name="Normal 10 2 4 2 3 2 3 2 3 2" xfId="23370"/>
    <cellStyle name="Normal 10 2 4 2 3 2 3 2 4" xfId="16714"/>
    <cellStyle name="Normal 10 2 4 2 3 2 3 3" xfId="7662"/>
    <cellStyle name="Normal 10 2 4 2 3 2 3 3 2" xfId="18378"/>
    <cellStyle name="Normal 10 2 4 2 3 2 3 4" xfId="10990"/>
    <cellStyle name="Normal 10 2 4 2 3 2 3 4 2" xfId="21706"/>
    <cellStyle name="Normal 10 2 4 2 3 2 3 5" xfId="15050"/>
    <cellStyle name="Normal 10 2 4 2 3 2 4" xfId="5159"/>
    <cellStyle name="Normal 10 2 4 2 3 2 4 2" xfId="8494"/>
    <cellStyle name="Normal 10 2 4 2 3 2 4 2 2" xfId="19210"/>
    <cellStyle name="Normal 10 2 4 2 3 2 4 3" xfId="11822"/>
    <cellStyle name="Normal 10 2 4 2 3 2 4 3 2" xfId="22538"/>
    <cellStyle name="Normal 10 2 4 2 3 2 4 4" xfId="15882"/>
    <cellStyle name="Normal 10 2 4 2 3 2 5" xfId="6828"/>
    <cellStyle name="Normal 10 2 4 2 3 2 5 2" xfId="17546"/>
    <cellStyle name="Normal 10 2 4 2 3 2 6" xfId="10158"/>
    <cellStyle name="Normal 10 2 4 2 3 2 6 2" xfId="20874"/>
    <cellStyle name="Normal 10 2 4 2 3 2 7" xfId="14216"/>
    <cellStyle name="Normal 10 2 4 2 3 3" xfId="3675"/>
    <cellStyle name="Normal 10 2 4 2 3 3 2" xfId="4531"/>
    <cellStyle name="Normal 10 2 4 2 3 3 2 2" xfId="6199"/>
    <cellStyle name="Normal 10 2 4 2 3 3 2 2 2" xfId="9534"/>
    <cellStyle name="Normal 10 2 4 2 3 3 2 2 2 2" xfId="20250"/>
    <cellStyle name="Normal 10 2 4 2 3 3 2 2 3" xfId="12862"/>
    <cellStyle name="Normal 10 2 4 2 3 3 2 2 3 2" xfId="23578"/>
    <cellStyle name="Normal 10 2 4 2 3 3 2 2 4" xfId="16922"/>
    <cellStyle name="Normal 10 2 4 2 3 3 2 3" xfId="7870"/>
    <cellStyle name="Normal 10 2 4 2 3 3 2 3 2" xfId="18586"/>
    <cellStyle name="Normal 10 2 4 2 3 3 2 4" xfId="11198"/>
    <cellStyle name="Normal 10 2 4 2 3 3 2 4 2" xfId="21914"/>
    <cellStyle name="Normal 10 2 4 2 3 3 2 5" xfId="15258"/>
    <cellStyle name="Normal 10 2 4 2 3 3 3" xfId="5367"/>
    <cellStyle name="Normal 10 2 4 2 3 3 3 2" xfId="8702"/>
    <cellStyle name="Normal 10 2 4 2 3 3 3 2 2" xfId="19418"/>
    <cellStyle name="Normal 10 2 4 2 3 3 3 3" xfId="12030"/>
    <cellStyle name="Normal 10 2 4 2 3 3 3 3 2" xfId="22746"/>
    <cellStyle name="Normal 10 2 4 2 3 3 3 4" xfId="16090"/>
    <cellStyle name="Normal 10 2 4 2 3 3 4" xfId="7038"/>
    <cellStyle name="Normal 10 2 4 2 3 3 4 2" xfId="17754"/>
    <cellStyle name="Normal 10 2 4 2 3 3 5" xfId="10366"/>
    <cellStyle name="Normal 10 2 4 2 3 3 5 2" xfId="21082"/>
    <cellStyle name="Normal 10 2 4 2 3 3 6" xfId="14426"/>
    <cellStyle name="Normal 10 2 4 2 3 4" xfId="4113"/>
    <cellStyle name="Normal 10 2 4 2 3 4 2" xfId="5783"/>
    <cellStyle name="Normal 10 2 4 2 3 4 2 2" xfId="9118"/>
    <cellStyle name="Normal 10 2 4 2 3 4 2 2 2" xfId="19834"/>
    <cellStyle name="Normal 10 2 4 2 3 4 2 3" xfId="12446"/>
    <cellStyle name="Normal 10 2 4 2 3 4 2 3 2" xfId="23162"/>
    <cellStyle name="Normal 10 2 4 2 3 4 2 4" xfId="16506"/>
    <cellStyle name="Normal 10 2 4 2 3 4 3" xfId="7454"/>
    <cellStyle name="Normal 10 2 4 2 3 4 3 2" xfId="18170"/>
    <cellStyle name="Normal 10 2 4 2 3 4 4" xfId="10782"/>
    <cellStyle name="Normal 10 2 4 2 3 4 4 2" xfId="21498"/>
    <cellStyle name="Normal 10 2 4 2 3 4 5" xfId="14842"/>
    <cellStyle name="Normal 10 2 4 2 3 5" xfId="4948"/>
    <cellStyle name="Normal 10 2 4 2 3 5 2" xfId="8286"/>
    <cellStyle name="Normal 10 2 4 2 3 5 2 2" xfId="19002"/>
    <cellStyle name="Normal 10 2 4 2 3 5 3" xfId="11614"/>
    <cellStyle name="Normal 10 2 4 2 3 5 3 2" xfId="22330"/>
    <cellStyle name="Normal 10 2 4 2 3 5 4" xfId="15674"/>
    <cellStyle name="Normal 10 2 4 2 3 6" xfId="6618"/>
    <cellStyle name="Normal 10 2 4 2 3 6 2" xfId="17338"/>
    <cellStyle name="Normal 10 2 4 2 3 7" xfId="9950"/>
    <cellStyle name="Normal 10 2 4 2 3 7 2" xfId="20666"/>
    <cellStyle name="Normal 10 2 4 2 3 8" xfId="14007"/>
    <cellStyle name="Normal 10 2 4 2 4" xfId="2778"/>
    <cellStyle name="Normal 10 2 4 2 4 2" xfId="3896"/>
    <cellStyle name="Normal 10 2 4 2 4 2 2" xfId="4736"/>
    <cellStyle name="Normal 10 2 4 2 4 2 2 2" xfId="6404"/>
    <cellStyle name="Normal 10 2 4 2 4 2 2 2 2" xfId="9739"/>
    <cellStyle name="Normal 10 2 4 2 4 2 2 2 2 2" xfId="20455"/>
    <cellStyle name="Normal 10 2 4 2 4 2 2 2 3" xfId="13067"/>
    <cellStyle name="Normal 10 2 4 2 4 2 2 2 3 2" xfId="23783"/>
    <cellStyle name="Normal 10 2 4 2 4 2 2 2 4" xfId="17127"/>
    <cellStyle name="Normal 10 2 4 2 4 2 2 3" xfId="8075"/>
    <cellStyle name="Normal 10 2 4 2 4 2 2 3 2" xfId="18791"/>
    <cellStyle name="Normal 10 2 4 2 4 2 2 4" xfId="11403"/>
    <cellStyle name="Normal 10 2 4 2 4 2 2 4 2" xfId="22119"/>
    <cellStyle name="Normal 10 2 4 2 4 2 2 5" xfId="15463"/>
    <cellStyle name="Normal 10 2 4 2 4 2 3" xfId="5572"/>
    <cellStyle name="Normal 10 2 4 2 4 2 3 2" xfId="8907"/>
    <cellStyle name="Normal 10 2 4 2 4 2 3 2 2" xfId="19623"/>
    <cellStyle name="Normal 10 2 4 2 4 2 3 3" xfId="12235"/>
    <cellStyle name="Normal 10 2 4 2 4 2 3 3 2" xfId="22951"/>
    <cellStyle name="Normal 10 2 4 2 4 2 3 4" xfId="16295"/>
    <cellStyle name="Normal 10 2 4 2 4 2 4" xfId="7243"/>
    <cellStyle name="Normal 10 2 4 2 4 2 4 2" xfId="17959"/>
    <cellStyle name="Normal 10 2 4 2 4 2 5" xfId="10571"/>
    <cellStyle name="Normal 10 2 4 2 4 2 5 2" xfId="21287"/>
    <cellStyle name="Normal 10 2 4 2 4 2 6" xfId="14631"/>
    <cellStyle name="Normal 10 2 4 2 4 3" xfId="4320"/>
    <cellStyle name="Normal 10 2 4 2 4 3 2" xfId="5988"/>
    <cellStyle name="Normal 10 2 4 2 4 3 2 2" xfId="9323"/>
    <cellStyle name="Normal 10 2 4 2 4 3 2 2 2" xfId="20039"/>
    <cellStyle name="Normal 10 2 4 2 4 3 2 3" xfId="12651"/>
    <cellStyle name="Normal 10 2 4 2 4 3 2 3 2" xfId="23367"/>
    <cellStyle name="Normal 10 2 4 2 4 3 2 4" xfId="16711"/>
    <cellStyle name="Normal 10 2 4 2 4 3 3" xfId="7659"/>
    <cellStyle name="Normal 10 2 4 2 4 3 3 2" xfId="18375"/>
    <cellStyle name="Normal 10 2 4 2 4 3 4" xfId="10987"/>
    <cellStyle name="Normal 10 2 4 2 4 3 4 2" xfId="21703"/>
    <cellStyle name="Normal 10 2 4 2 4 3 5" xfId="15047"/>
    <cellStyle name="Normal 10 2 4 2 4 4" xfId="5156"/>
    <cellStyle name="Normal 10 2 4 2 4 4 2" xfId="8491"/>
    <cellStyle name="Normal 10 2 4 2 4 4 2 2" xfId="19207"/>
    <cellStyle name="Normal 10 2 4 2 4 4 3" xfId="11819"/>
    <cellStyle name="Normal 10 2 4 2 4 4 3 2" xfId="22535"/>
    <cellStyle name="Normal 10 2 4 2 4 4 4" xfId="15879"/>
    <cellStyle name="Normal 10 2 4 2 4 5" xfId="6825"/>
    <cellStyle name="Normal 10 2 4 2 4 5 2" xfId="17543"/>
    <cellStyle name="Normal 10 2 4 2 4 6" xfId="10155"/>
    <cellStyle name="Normal 10 2 4 2 4 6 2" xfId="20871"/>
    <cellStyle name="Normal 10 2 4 2 4 7" xfId="14213"/>
    <cellStyle name="Normal 10 2 4 2 5" xfId="3672"/>
    <cellStyle name="Normal 10 2 4 2 5 2" xfId="4528"/>
    <cellStyle name="Normal 10 2 4 2 5 2 2" xfId="6196"/>
    <cellStyle name="Normal 10 2 4 2 5 2 2 2" xfId="9531"/>
    <cellStyle name="Normal 10 2 4 2 5 2 2 2 2" xfId="20247"/>
    <cellStyle name="Normal 10 2 4 2 5 2 2 3" xfId="12859"/>
    <cellStyle name="Normal 10 2 4 2 5 2 2 3 2" xfId="23575"/>
    <cellStyle name="Normal 10 2 4 2 5 2 2 4" xfId="16919"/>
    <cellStyle name="Normal 10 2 4 2 5 2 3" xfId="7867"/>
    <cellStyle name="Normal 10 2 4 2 5 2 3 2" xfId="18583"/>
    <cellStyle name="Normal 10 2 4 2 5 2 4" xfId="11195"/>
    <cellStyle name="Normal 10 2 4 2 5 2 4 2" xfId="21911"/>
    <cellStyle name="Normal 10 2 4 2 5 2 5" xfId="15255"/>
    <cellStyle name="Normal 10 2 4 2 5 3" xfId="5364"/>
    <cellStyle name="Normal 10 2 4 2 5 3 2" xfId="8699"/>
    <cellStyle name="Normal 10 2 4 2 5 3 2 2" xfId="19415"/>
    <cellStyle name="Normal 10 2 4 2 5 3 3" xfId="12027"/>
    <cellStyle name="Normal 10 2 4 2 5 3 3 2" xfId="22743"/>
    <cellStyle name="Normal 10 2 4 2 5 3 4" xfId="16087"/>
    <cellStyle name="Normal 10 2 4 2 5 4" xfId="7035"/>
    <cellStyle name="Normal 10 2 4 2 5 4 2" xfId="17751"/>
    <cellStyle name="Normal 10 2 4 2 5 5" xfId="10363"/>
    <cellStyle name="Normal 10 2 4 2 5 5 2" xfId="21079"/>
    <cellStyle name="Normal 10 2 4 2 5 6" xfId="14423"/>
    <cellStyle name="Normal 10 2 4 2 6" xfId="4110"/>
    <cellStyle name="Normal 10 2 4 2 6 2" xfId="5780"/>
    <cellStyle name="Normal 10 2 4 2 6 2 2" xfId="9115"/>
    <cellStyle name="Normal 10 2 4 2 6 2 2 2" xfId="19831"/>
    <cellStyle name="Normal 10 2 4 2 6 2 3" xfId="12443"/>
    <cellStyle name="Normal 10 2 4 2 6 2 3 2" xfId="23159"/>
    <cellStyle name="Normal 10 2 4 2 6 2 4" xfId="16503"/>
    <cellStyle name="Normal 10 2 4 2 6 3" xfId="7451"/>
    <cellStyle name="Normal 10 2 4 2 6 3 2" xfId="18167"/>
    <cellStyle name="Normal 10 2 4 2 6 4" xfId="10779"/>
    <cellStyle name="Normal 10 2 4 2 6 4 2" xfId="21495"/>
    <cellStyle name="Normal 10 2 4 2 6 5" xfId="14839"/>
    <cellStyle name="Normal 10 2 4 2 7" xfId="4945"/>
    <cellStyle name="Normal 10 2 4 2 7 2" xfId="8283"/>
    <cellStyle name="Normal 10 2 4 2 7 2 2" xfId="18999"/>
    <cellStyle name="Normal 10 2 4 2 7 3" xfId="11611"/>
    <cellStyle name="Normal 10 2 4 2 7 3 2" xfId="22327"/>
    <cellStyle name="Normal 10 2 4 2 7 4" xfId="15671"/>
    <cellStyle name="Normal 10 2 4 2 8" xfId="6615"/>
    <cellStyle name="Normal 10 2 4 2 8 2" xfId="17335"/>
    <cellStyle name="Normal 10 2 4 2 9" xfId="9947"/>
    <cellStyle name="Normal 10 2 4 2 9 2" xfId="20663"/>
    <cellStyle name="Normal 10 2 4 3" xfId="1055"/>
    <cellStyle name="Normal 10 2 4 3 2" xfId="1056"/>
    <cellStyle name="Normal 10 2 4 3 2 2" xfId="2783"/>
    <cellStyle name="Normal 10 2 4 3 2 2 2" xfId="3901"/>
    <cellStyle name="Normal 10 2 4 3 2 2 2 2" xfId="4741"/>
    <cellStyle name="Normal 10 2 4 3 2 2 2 2 2" xfId="6409"/>
    <cellStyle name="Normal 10 2 4 3 2 2 2 2 2 2" xfId="9744"/>
    <cellStyle name="Normal 10 2 4 3 2 2 2 2 2 2 2" xfId="20460"/>
    <cellStyle name="Normal 10 2 4 3 2 2 2 2 2 3" xfId="13072"/>
    <cellStyle name="Normal 10 2 4 3 2 2 2 2 2 3 2" xfId="23788"/>
    <cellStyle name="Normal 10 2 4 3 2 2 2 2 2 4" xfId="17132"/>
    <cellStyle name="Normal 10 2 4 3 2 2 2 2 3" xfId="8080"/>
    <cellStyle name="Normal 10 2 4 3 2 2 2 2 3 2" xfId="18796"/>
    <cellStyle name="Normal 10 2 4 3 2 2 2 2 4" xfId="11408"/>
    <cellStyle name="Normal 10 2 4 3 2 2 2 2 4 2" xfId="22124"/>
    <cellStyle name="Normal 10 2 4 3 2 2 2 2 5" xfId="15468"/>
    <cellStyle name="Normal 10 2 4 3 2 2 2 3" xfId="5577"/>
    <cellStyle name="Normal 10 2 4 3 2 2 2 3 2" xfId="8912"/>
    <cellStyle name="Normal 10 2 4 3 2 2 2 3 2 2" xfId="19628"/>
    <cellStyle name="Normal 10 2 4 3 2 2 2 3 3" xfId="12240"/>
    <cellStyle name="Normal 10 2 4 3 2 2 2 3 3 2" xfId="22956"/>
    <cellStyle name="Normal 10 2 4 3 2 2 2 3 4" xfId="16300"/>
    <cellStyle name="Normal 10 2 4 3 2 2 2 4" xfId="7248"/>
    <cellStyle name="Normal 10 2 4 3 2 2 2 4 2" xfId="17964"/>
    <cellStyle name="Normal 10 2 4 3 2 2 2 5" xfId="10576"/>
    <cellStyle name="Normal 10 2 4 3 2 2 2 5 2" xfId="21292"/>
    <cellStyle name="Normal 10 2 4 3 2 2 2 6" xfId="14636"/>
    <cellStyle name="Normal 10 2 4 3 2 2 3" xfId="4325"/>
    <cellStyle name="Normal 10 2 4 3 2 2 3 2" xfId="5993"/>
    <cellStyle name="Normal 10 2 4 3 2 2 3 2 2" xfId="9328"/>
    <cellStyle name="Normal 10 2 4 3 2 2 3 2 2 2" xfId="20044"/>
    <cellStyle name="Normal 10 2 4 3 2 2 3 2 3" xfId="12656"/>
    <cellStyle name="Normal 10 2 4 3 2 2 3 2 3 2" xfId="23372"/>
    <cellStyle name="Normal 10 2 4 3 2 2 3 2 4" xfId="16716"/>
    <cellStyle name="Normal 10 2 4 3 2 2 3 3" xfId="7664"/>
    <cellStyle name="Normal 10 2 4 3 2 2 3 3 2" xfId="18380"/>
    <cellStyle name="Normal 10 2 4 3 2 2 3 4" xfId="10992"/>
    <cellStyle name="Normal 10 2 4 3 2 2 3 4 2" xfId="21708"/>
    <cellStyle name="Normal 10 2 4 3 2 2 3 5" xfId="15052"/>
    <cellStyle name="Normal 10 2 4 3 2 2 4" xfId="5161"/>
    <cellStyle name="Normal 10 2 4 3 2 2 4 2" xfId="8496"/>
    <cellStyle name="Normal 10 2 4 3 2 2 4 2 2" xfId="19212"/>
    <cellStyle name="Normal 10 2 4 3 2 2 4 3" xfId="11824"/>
    <cellStyle name="Normal 10 2 4 3 2 2 4 3 2" xfId="22540"/>
    <cellStyle name="Normal 10 2 4 3 2 2 4 4" xfId="15884"/>
    <cellStyle name="Normal 10 2 4 3 2 2 5" xfId="6830"/>
    <cellStyle name="Normal 10 2 4 3 2 2 5 2" xfId="17548"/>
    <cellStyle name="Normal 10 2 4 3 2 2 6" xfId="10160"/>
    <cellStyle name="Normal 10 2 4 3 2 2 6 2" xfId="20876"/>
    <cellStyle name="Normal 10 2 4 3 2 2 7" xfId="14218"/>
    <cellStyle name="Normal 10 2 4 3 2 3" xfId="3677"/>
    <cellStyle name="Normal 10 2 4 3 2 3 2" xfId="4533"/>
    <cellStyle name="Normal 10 2 4 3 2 3 2 2" xfId="6201"/>
    <cellStyle name="Normal 10 2 4 3 2 3 2 2 2" xfId="9536"/>
    <cellStyle name="Normal 10 2 4 3 2 3 2 2 2 2" xfId="20252"/>
    <cellStyle name="Normal 10 2 4 3 2 3 2 2 3" xfId="12864"/>
    <cellStyle name="Normal 10 2 4 3 2 3 2 2 3 2" xfId="23580"/>
    <cellStyle name="Normal 10 2 4 3 2 3 2 2 4" xfId="16924"/>
    <cellStyle name="Normal 10 2 4 3 2 3 2 3" xfId="7872"/>
    <cellStyle name="Normal 10 2 4 3 2 3 2 3 2" xfId="18588"/>
    <cellStyle name="Normal 10 2 4 3 2 3 2 4" xfId="11200"/>
    <cellStyle name="Normal 10 2 4 3 2 3 2 4 2" xfId="21916"/>
    <cellStyle name="Normal 10 2 4 3 2 3 2 5" xfId="15260"/>
    <cellStyle name="Normal 10 2 4 3 2 3 3" xfId="5369"/>
    <cellStyle name="Normal 10 2 4 3 2 3 3 2" xfId="8704"/>
    <cellStyle name="Normal 10 2 4 3 2 3 3 2 2" xfId="19420"/>
    <cellStyle name="Normal 10 2 4 3 2 3 3 3" xfId="12032"/>
    <cellStyle name="Normal 10 2 4 3 2 3 3 3 2" xfId="22748"/>
    <cellStyle name="Normal 10 2 4 3 2 3 3 4" xfId="16092"/>
    <cellStyle name="Normal 10 2 4 3 2 3 4" xfId="7040"/>
    <cellStyle name="Normal 10 2 4 3 2 3 4 2" xfId="17756"/>
    <cellStyle name="Normal 10 2 4 3 2 3 5" xfId="10368"/>
    <cellStyle name="Normal 10 2 4 3 2 3 5 2" xfId="21084"/>
    <cellStyle name="Normal 10 2 4 3 2 3 6" xfId="14428"/>
    <cellStyle name="Normal 10 2 4 3 2 4" xfId="4115"/>
    <cellStyle name="Normal 10 2 4 3 2 4 2" xfId="5785"/>
    <cellStyle name="Normal 10 2 4 3 2 4 2 2" xfId="9120"/>
    <cellStyle name="Normal 10 2 4 3 2 4 2 2 2" xfId="19836"/>
    <cellStyle name="Normal 10 2 4 3 2 4 2 3" xfId="12448"/>
    <cellStyle name="Normal 10 2 4 3 2 4 2 3 2" xfId="23164"/>
    <cellStyle name="Normal 10 2 4 3 2 4 2 4" xfId="16508"/>
    <cellStyle name="Normal 10 2 4 3 2 4 3" xfId="7456"/>
    <cellStyle name="Normal 10 2 4 3 2 4 3 2" xfId="18172"/>
    <cellStyle name="Normal 10 2 4 3 2 4 4" xfId="10784"/>
    <cellStyle name="Normal 10 2 4 3 2 4 4 2" xfId="21500"/>
    <cellStyle name="Normal 10 2 4 3 2 4 5" xfId="14844"/>
    <cellStyle name="Normal 10 2 4 3 2 5" xfId="4950"/>
    <cellStyle name="Normal 10 2 4 3 2 5 2" xfId="8288"/>
    <cellStyle name="Normal 10 2 4 3 2 5 2 2" xfId="19004"/>
    <cellStyle name="Normal 10 2 4 3 2 5 3" xfId="11616"/>
    <cellStyle name="Normal 10 2 4 3 2 5 3 2" xfId="22332"/>
    <cellStyle name="Normal 10 2 4 3 2 5 4" xfId="15676"/>
    <cellStyle name="Normal 10 2 4 3 2 6" xfId="6620"/>
    <cellStyle name="Normal 10 2 4 3 2 6 2" xfId="17340"/>
    <cellStyle name="Normal 10 2 4 3 2 7" xfId="9952"/>
    <cellStyle name="Normal 10 2 4 3 2 7 2" xfId="20668"/>
    <cellStyle name="Normal 10 2 4 3 2 8" xfId="14009"/>
    <cellStyle name="Normal 10 2 4 3 3" xfId="2782"/>
    <cellStyle name="Normal 10 2 4 3 3 2" xfId="3900"/>
    <cellStyle name="Normal 10 2 4 3 3 2 2" xfId="4740"/>
    <cellStyle name="Normal 10 2 4 3 3 2 2 2" xfId="6408"/>
    <cellStyle name="Normal 10 2 4 3 3 2 2 2 2" xfId="9743"/>
    <cellStyle name="Normal 10 2 4 3 3 2 2 2 2 2" xfId="20459"/>
    <cellStyle name="Normal 10 2 4 3 3 2 2 2 3" xfId="13071"/>
    <cellStyle name="Normal 10 2 4 3 3 2 2 2 3 2" xfId="23787"/>
    <cellStyle name="Normal 10 2 4 3 3 2 2 2 4" xfId="17131"/>
    <cellStyle name="Normal 10 2 4 3 3 2 2 3" xfId="8079"/>
    <cellStyle name="Normal 10 2 4 3 3 2 2 3 2" xfId="18795"/>
    <cellStyle name="Normal 10 2 4 3 3 2 2 4" xfId="11407"/>
    <cellStyle name="Normal 10 2 4 3 3 2 2 4 2" xfId="22123"/>
    <cellStyle name="Normal 10 2 4 3 3 2 2 5" xfId="15467"/>
    <cellStyle name="Normal 10 2 4 3 3 2 3" xfId="5576"/>
    <cellStyle name="Normal 10 2 4 3 3 2 3 2" xfId="8911"/>
    <cellStyle name="Normal 10 2 4 3 3 2 3 2 2" xfId="19627"/>
    <cellStyle name="Normal 10 2 4 3 3 2 3 3" xfId="12239"/>
    <cellStyle name="Normal 10 2 4 3 3 2 3 3 2" xfId="22955"/>
    <cellStyle name="Normal 10 2 4 3 3 2 3 4" xfId="16299"/>
    <cellStyle name="Normal 10 2 4 3 3 2 4" xfId="7247"/>
    <cellStyle name="Normal 10 2 4 3 3 2 4 2" xfId="17963"/>
    <cellStyle name="Normal 10 2 4 3 3 2 5" xfId="10575"/>
    <cellStyle name="Normal 10 2 4 3 3 2 5 2" xfId="21291"/>
    <cellStyle name="Normal 10 2 4 3 3 2 6" xfId="14635"/>
    <cellStyle name="Normal 10 2 4 3 3 3" xfId="4324"/>
    <cellStyle name="Normal 10 2 4 3 3 3 2" xfId="5992"/>
    <cellStyle name="Normal 10 2 4 3 3 3 2 2" xfId="9327"/>
    <cellStyle name="Normal 10 2 4 3 3 3 2 2 2" xfId="20043"/>
    <cellStyle name="Normal 10 2 4 3 3 3 2 3" xfId="12655"/>
    <cellStyle name="Normal 10 2 4 3 3 3 2 3 2" xfId="23371"/>
    <cellStyle name="Normal 10 2 4 3 3 3 2 4" xfId="16715"/>
    <cellStyle name="Normal 10 2 4 3 3 3 3" xfId="7663"/>
    <cellStyle name="Normal 10 2 4 3 3 3 3 2" xfId="18379"/>
    <cellStyle name="Normal 10 2 4 3 3 3 4" xfId="10991"/>
    <cellStyle name="Normal 10 2 4 3 3 3 4 2" xfId="21707"/>
    <cellStyle name="Normal 10 2 4 3 3 3 5" xfId="15051"/>
    <cellStyle name="Normal 10 2 4 3 3 4" xfId="5160"/>
    <cellStyle name="Normal 10 2 4 3 3 4 2" xfId="8495"/>
    <cellStyle name="Normal 10 2 4 3 3 4 2 2" xfId="19211"/>
    <cellStyle name="Normal 10 2 4 3 3 4 3" xfId="11823"/>
    <cellStyle name="Normal 10 2 4 3 3 4 3 2" xfId="22539"/>
    <cellStyle name="Normal 10 2 4 3 3 4 4" xfId="15883"/>
    <cellStyle name="Normal 10 2 4 3 3 5" xfId="6829"/>
    <cellStyle name="Normal 10 2 4 3 3 5 2" xfId="17547"/>
    <cellStyle name="Normal 10 2 4 3 3 6" xfId="10159"/>
    <cellStyle name="Normal 10 2 4 3 3 6 2" xfId="20875"/>
    <cellStyle name="Normal 10 2 4 3 3 7" xfId="14217"/>
    <cellStyle name="Normal 10 2 4 3 4" xfId="3676"/>
    <cellStyle name="Normal 10 2 4 3 4 2" xfId="4532"/>
    <cellStyle name="Normal 10 2 4 3 4 2 2" xfId="6200"/>
    <cellStyle name="Normal 10 2 4 3 4 2 2 2" xfId="9535"/>
    <cellStyle name="Normal 10 2 4 3 4 2 2 2 2" xfId="20251"/>
    <cellStyle name="Normal 10 2 4 3 4 2 2 3" xfId="12863"/>
    <cellStyle name="Normal 10 2 4 3 4 2 2 3 2" xfId="23579"/>
    <cellStyle name="Normal 10 2 4 3 4 2 2 4" xfId="16923"/>
    <cellStyle name="Normal 10 2 4 3 4 2 3" xfId="7871"/>
    <cellStyle name="Normal 10 2 4 3 4 2 3 2" xfId="18587"/>
    <cellStyle name="Normal 10 2 4 3 4 2 4" xfId="11199"/>
    <cellStyle name="Normal 10 2 4 3 4 2 4 2" xfId="21915"/>
    <cellStyle name="Normal 10 2 4 3 4 2 5" xfId="15259"/>
    <cellStyle name="Normal 10 2 4 3 4 3" xfId="5368"/>
    <cellStyle name="Normal 10 2 4 3 4 3 2" xfId="8703"/>
    <cellStyle name="Normal 10 2 4 3 4 3 2 2" xfId="19419"/>
    <cellStyle name="Normal 10 2 4 3 4 3 3" xfId="12031"/>
    <cellStyle name="Normal 10 2 4 3 4 3 3 2" xfId="22747"/>
    <cellStyle name="Normal 10 2 4 3 4 3 4" xfId="16091"/>
    <cellStyle name="Normal 10 2 4 3 4 4" xfId="7039"/>
    <cellStyle name="Normal 10 2 4 3 4 4 2" xfId="17755"/>
    <cellStyle name="Normal 10 2 4 3 4 5" xfId="10367"/>
    <cellStyle name="Normal 10 2 4 3 4 5 2" xfId="21083"/>
    <cellStyle name="Normal 10 2 4 3 4 6" xfId="14427"/>
    <cellStyle name="Normal 10 2 4 3 5" xfId="4114"/>
    <cellStyle name="Normal 10 2 4 3 5 2" xfId="5784"/>
    <cellStyle name="Normal 10 2 4 3 5 2 2" xfId="9119"/>
    <cellStyle name="Normal 10 2 4 3 5 2 2 2" xfId="19835"/>
    <cellStyle name="Normal 10 2 4 3 5 2 3" xfId="12447"/>
    <cellStyle name="Normal 10 2 4 3 5 2 3 2" xfId="23163"/>
    <cellStyle name="Normal 10 2 4 3 5 2 4" xfId="16507"/>
    <cellStyle name="Normal 10 2 4 3 5 3" xfId="7455"/>
    <cellStyle name="Normal 10 2 4 3 5 3 2" xfId="18171"/>
    <cellStyle name="Normal 10 2 4 3 5 4" xfId="10783"/>
    <cellStyle name="Normal 10 2 4 3 5 4 2" xfId="21499"/>
    <cellStyle name="Normal 10 2 4 3 5 5" xfId="14843"/>
    <cellStyle name="Normal 10 2 4 3 6" xfId="4949"/>
    <cellStyle name="Normal 10 2 4 3 6 2" xfId="8287"/>
    <cellStyle name="Normal 10 2 4 3 6 2 2" xfId="19003"/>
    <cellStyle name="Normal 10 2 4 3 6 3" xfId="11615"/>
    <cellStyle name="Normal 10 2 4 3 6 3 2" xfId="22331"/>
    <cellStyle name="Normal 10 2 4 3 6 4" xfId="15675"/>
    <cellStyle name="Normal 10 2 4 3 7" xfId="6619"/>
    <cellStyle name="Normal 10 2 4 3 7 2" xfId="17339"/>
    <cellStyle name="Normal 10 2 4 3 8" xfId="9951"/>
    <cellStyle name="Normal 10 2 4 3 8 2" xfId="20667"/>
    <cellStyle name="Normal 10 2 4 3 9" xfId="14008"/>
    <cellStyle name="Normal 10 2 4 4" xfId="1057"/>
    <cellStyle name="Normal 10 2 4 4 2" xfId="2784"/>
    <cellStyle name="Normal 10 2 4 4 2 2" xfId="3902"/>
    <cellStyle name="Normal 10 2 4 4 2 2 2" xfId="4742"/>
    <cellStyle name="Normal 10 2 4 4 2 2 2 2" xfId="6410"/>
    <cellStyle name="Normal 10 2 4 4 2 2 2 2 2" xfId="9745"/>
    <cellStyle name="Normal 10 2 4 4 2 2 2 2 2 2" xfId="20461"/>
    <cellStyle name="Normal 10 2 4 4 2 2 2 2 3" xfId="13073"/>
    <cellStyle name="Normal 10 2 4 4 2 2 2 2 3 2" xfId="23789"/>
    <cellStyle name="Normal 10 2 4 4 2 2 2 2 4" xfId="17133"/>
    <cellStyle name="Normal 10 2 4 4 2 2 2 3" xfId="8081"/>
    <cellStyle name="Normal 10 2 4 4 2 2 2 3 2" xfId="18797"/>
    <cellStyle name="Normal 10 2 4 4 2 2 2 4" xfId="11409"/>
    <cellStyle name="Normal 10 2 4 4 2 2 2 4 2" xfId="22125"/>
    <cellStyle name="Normal 10 2 4 4 2 2 2 5" xfId="15469"/>
    <cellStyle name="Normal 10 2 4 4 2 2 3" xfId="5578"/>
    <cellStyle name="Normal 10 2 4 4 2 2 3 2" xfId="8913"/>
    <cellStyle name="Normal 10 2 4 4 2 2 3 2 2" xfId="19629"/>
    <cellStyle name="Normal 10 2 4 4 2 2 3 3" xfId="12241"/>
    <cellStyle name="Normal 10 2 4 4 2 2 3 3 2" xfId="22957"/>
    <cellStyle name="Normal 10 2 4 4 2 2 3 4" xfId="16301"/>
    <cellStyle name="Normal 10 2 4 4 2 2 4" xfId="7249"/>
    <cellStyle name="Normal 10 2 4 4 2 2 4 2" xfId="17965"/>
    <cellStyle name="Normal 10 2 4 4 2 2 5" xfId="10577"/>
    <cellStyle name="Normal 10 2 4 4 2 2 5 2" xfId="21293"/>
    <cellStyle name="Normal 10 2 4 4 2 2 6" xfId="14637"/>
    <cellStyle name="Normal 10 2 4 4 2 3" xfId="4326"/>
    <cellStyle name="Normal 10 2 4 4 2 3 2" xfId="5994"/>
    <cellStyle name="Normal 10 2 4 4 2 3 2 2" xfId="9329"/>
    <cellStyle name="Normal 10 2 4 4 2 3 2 2 2" xfId="20045"/>
    <cellStyle name="Normal 10 2 4 4 2 3 2 3" xfId="12657"/>
    <cellStyle name="Normal 10 2 4 4 2 3 2 3 2" xfId="23373"/>
    <cellStyle name="Normal 10 2 4 4 2 3 2 4" xfId="16717"/>
    <cellStyle name="Normal 10 2 4 4 2 3 3" xfId="7665"/>
    <cellStyle name="Normal 10 2 4 4 2 3 3 2" xfId="18381"/>
    <cellStyle name="Normal 10 2 4 4 2 3 4" xfId="10993"/>
    <cellStyle name="Normal 10 2 4 4 2 3 4 2" xfId="21709"/>
    <cellStyle name="Normal 10 2 4 4 2 3 5" xfId="15053"/>
    <cellStyle name="Normal 10 2 4 4 2 4" xfId="5162"/>
    <cellStyle name="Normal 10 2 4 4 2 4 2" xfId="8497"/>
    <cellStyle name="Normal 10 2 4 4 2 4 2 2" xfId="19213"/>
    <cellStyle name="Normal 10 2 4 4 2 4 3" xfId="11825"/>
    <cellStyle name="Normal 10 2 4 4 2 4 3 2" xfId="22541"/>
    <cellStyle name="Normal 10 2 4 4 2 4 4" xfId="15885"/>
    <cellStyle name="Normal 10 2 4 4 2 5" xfId="6831"/>
    <cellStyle name="Normal 10 2 4 4 2 5 2" xfId="17549"/>
    <cellStyle name="Normal 10 2 4 4 2 6" xfId="10161"/>
    <cellStyle name="Normal 10 2 4 4 2 6 2" xfId="20877"/>
    <cellStyle name="Normal 10 2 4 4 2 7" xfId="14219"/>
    <cellStyle name="Normal 10 2 4 4 3" xfId="3678"/>
    <cellStyle name="Normal 10 2 4 4 3 2" xfId="4534"/>
    <cellStyle name="Normal 10 2 4 4 3 2 2" xfId="6202"/>
    <cellStyle name="Normal 10 2 4 4 3 2 2 2" xfId="9537"/>
    <cellStyle name="Normal 10 2 4 4 3 2 2 2 2" xfId="20253"/>
    <cellStyle name="Normal 10 2 4 4 3 2 2 3" xfId="12865"/>
    <cellStyle name="Normal 10 2 4 4 3 2 2 3 2" xfId="23581"/>
    <cellStyle name="Normal 10 2 4 4 3 2 2 4" xfId="16925"/>
    <cellStyle name="Normal 10 2 4 4 3 2 3" xfId="7873"/>
    <cellStyle name="Normal 10 2 4 4 3 2 3 2" xfId="18589"/>
    <cellStyle name="Normal 10 2 4 4 3 2 4" xfId="11201"/>
    <cellStyle name="Normal 10 2 4 4 3 2 4 2" xfId="21917"/>
    <cellStyle name="Normal 10 2 4 4 3 2 5" xfId="15261"/>
    <cellStyle name="Normal 10 2 4 4 3 3" xfId="5370"/>
    <cellStyle name="Normal 10 2 4 4 3 3 2" xfId="8705"/>
    <cellStyle name="Normal 10 2 4 4 3 3 2 2" xfId="19421"/>
    <cellStyle name="Normal 10 2 4 4 3 3 3" xfId="12033"/>
    <cellStyle name="Normal 10 2 4 4 3 3 3 2" xfId="22749"/>
    <cellStyle name="Normal 10 2 4 4 3 3 4" xfId="16093"/>
    <cellStyle name="Normal 10 2 4 4 3 4" xfId="7041"/>
    <cellStyle name="Normal 10 2 4 4 3 4 2" xfId="17757"/>
    <cellStyle name="Normal 10 2 4 4 3 5" xfId="10369"/>
    <cellStyle name="Normal 10 2 4 4 3 5 2" xfId="21085"/>
    <cellStyle name="Normal 10 2 4 4 3 6" xfId="14429"/>
    <cellStyle name="Normal 10 2 4 4 4" xfId="4116"/>
    <cellStyle name="Normal 10 2 4 4 4 2" xfId="5786"/>
    <cellStyle name="Normal 10 2 4 4 4 2 2" xfId="9121"/>
    <cellStyle name="Normal 10 2 4 4 4 2 2 2" xfId="19837"/>
    <cellStyle name="Normal 10 2 4 4 4 2 3" xfId="12449"/>
    <cellStyle name="Normal 10 2 4 4 4 2 3 2" xfId="23165"/>
    <cellStyle name="Normal 10 2 4 4 4 2 4" xfId="16509"/>
    <cellStyle name="Normal 10 2 4 4 4 3" xfId="7457"/>
    <cellStyle name="Normal 10 2 4 4 4 3 2" xfId="18173"/>
    <cellStyle name="Normal 10 2 4 4 4 4" xfId="10785"/>
    <cellStyle name="Normal 10 2 4 4 4 4 2" xfId="21501"/>
    <cellStyle name="Normal 10 2 4 4 4 5" xfId="14845"/>
    <cellStyle name="Normal 10 2 4 4 5" xfId="4951"/>
    <cellStyle name="Normal 10 2 4 4 5 2" xfId="8289"/>
    <cellStyle name="Normal 10 2 4 4 5 2 2" xfId="19005"/>
    <cellStyle name="Normal 10 2 4 4 5 3" xfId="11617"/>
    <cellStyle name="Normal 10 2 4 4 5 3 2" xfId="22333"/>
    <cellStyle name="Normal 10 2 4 4 5 4" xfId="15677"/>
    <cellStyle name="Normal 10 2 4 4 6" xfId="6621"/>
    <cellStyle name="Normal 10 2 4 4 6 2" xfId="17341"/>
    <cellStyle name="Normal 10 2 4 4 7" xfId="9953"/>
    <cellStyle name="Normal 10 2 4 4 7 2" xfId="20669"/>
    <cellStyle name="Normal 10 2 4 4 8" xfId="14010"/>
    <cellStyle name="Normal 10 2 4 5" xfId="2777"/>
    <cellStyle name="Normal 10 2 4 5 2" xfId="3895"/>
    <cellStyle name="Normal 10 2 4 5 2 2" xfId="4735"/>
    <cellStyle name="Normal 10 2 4 5 2 2 2" xfId="6403"/>
    <cellStyle name="Normal 10 2 4 5 2 2 2 2" xfId="9738"/>
    <cellStyle name="Normal 10 2 4 5 2 2 2 2 2" xfId="20454"/>
    <cellStyle name="Normal 10 2 4 5 2 2 2 3" xfId="13066"/>
    <cellStyle name="Normal 10 2 4 5 2 2 2 3 2" xfId="23782"/>
    <cellStyle name="Normal 10 2 4 5 2 2 2 4" xfId="17126"/>
    <cellStyle name="Normal 10 2 4 5 2 2 3" xfId="8074"/>
    <cellStyle name="Normal 10 2 4 5 2 2 3 2" xfId="18790"/>
    <cellStyle name="Normal 10 2 4 5 2 2 4" xfId="11402"/>
    <cellStyle name="Normal 10 2 4 5 2 2 4 2" xfId="22118"/>
    <cellStyle name="Normal 10 2 4 5 2 2 5" xfId="15462"/>
    <cellStyle name="Normal 10 2 4 5 2 3" xfId="5571"/>
    <cellStyle name="Normal 10 2 4 5 2 3 2" xfId="8906"/>
    <cellStyle name="Normal 10 2 4 5 2 3 2 2" xfId="19622"/>
    <cellStyle name="Normal 10 2 4 5 2 3 3" xfId="12234"/>
    <cellStyle name="Normal 10 2 4 5 2 3 3 2" xfId="22950"/>
    <cellStyle name="Normal 10 2 4 5 2 3 4" xfId="16294"/>
    <cellStyle name="Normal 10 2 4 5 2 4" xfId="7242"/>
    <cellStyle name="Normal 10 2 4 5 2 4 2" xfId="17958"/>
    <cellStyle name="Normal 10 2 4 5 2 5" xfId="10570"/>
    <cellStyle name="Normal 10 2 4 5 2 5 2" xfId="21286"/>
    <cellStyle name="Normal 10 2 4 5 2 6" xfId="14630"/>
    <cellStyle name="Normal 10 2 4 5 3" xfId="4319"/>
    <cellStyle name="Normal 10 2 4 5 3 2" xfId="5987"/>
    <cellStyle name="Normal 10 2 4 5 3 2 2" xfId="9322"/>
    <cellStyle name="Normal 10 2 4 5 3 2 2 2" xfId="20038"/>
    <cellStyle name="Normal 10 2 4 5 3 2 3" xfId="12650"/>
    <cellStyle name="Normal 10 2 4 5 3 2 3 2" xfId="23366"/>
    <cellStyle name="Normal 10 2 4 5 3 2 4" xfId="16710"/>
    <cellStyle name="Normal 10 2 4 5 3 3" xfId="7658"/>
    <cellStyle name="Normal 10 2 4 5 3 3 2" xfId="18374"/>
    <cellStyle name="Normal 10 2 4 5 3 4" xfId="10986"/>
    <cellStyle name="Normal 10 2 4 5 3 4 2" xfId="21702"/>
    <cellStyle name="Normal 10 2 4 5 3 5" xfId="15046"/>
    <cellStyle name="Normal 10 2 4 5 4" xfId="5155"/>
    <cellStyle name="Normal 10 2 4 5 4 2" xfId="8490"/>
    <cellStyle name="Normal 10 2 4 5 4 2 2" xfId="19206"/>
    <cellStyle name="Normal 10 2 4 5 4 3" xfId="11818"/>
    <cellStyle name="Normal 10 2 4 5 4 3 2" xfId="22534"/>
    <cellStyle name="Normal 10 2 4 5 4 4" xfId="15878"/>
    <cellStyle name="Normal 10 2 4 5 5" xfId="6824"/>
    <cellStyle name="Normal 10 2 4 5 5 2" xfId="17542"/>
    <cellStyle name="Normal 10 2 4 5 6" xfId="10154"/>
    <cellStyle name="Normal 10 2 4 5 6 2" xfId="20870"/>
    <cellStyle name="Normal 10 2 4 5 7" xfId="14212"/>
    <cellStyle name="Normal 10 2 4 6" xfId="3671"/>
    <cellStyle name="Normal 10 2 4 6 2" xfId="4527"/>
    <cellStyle name="Normal 10 2 4 6 2 2" xfId="6195"/>
    <cellStyle name="Normal 10 2 4 6 2 2 2" xfId="9530"/>
    <cellStyle name="Normal 10 2 4 6 2 2 2 2" xfId="20246"/>
    <cellStyle name="Normal 10 2 4 6 2 2 3" xfId="12858"/>
    <cellStyle name="Normal 10 2 4 6 2 2 3 2" xfId="23574"/>
    <cellStyle name="Normal 10 2 4 6 2 2 4" xfId="16918"/>
    <cellStyle name="Normal 10 2 4 6 2 3" xfId="7866"/>
    <cellStyle name="Normal 10 2 4 6 2 3 2" xfId="18582"/>
    <cellStyle name="Normal 10 2 4 6 2 4" xfId="11194"/>
    <cellStyle name="Normal 10 2 4 6 2 4 2" xfId="21910"/>
    <cellStyle name="Normal 10 2 4 6 2 5" xfId="15254"/>
    <cellStyle name="Normal 10 2 4 6 3" xfId="5363"/>
    <cellStyle name="Normal 10 2 4 6 3 2" xfId="8698"/>
    <cellStyle name="Normal 10 2 4 6 3 2 2" xfId="19414"/>
    <cellStyle name="Normal 10 2 4 6 3 3" xfId="12026"/>
    <cellStyle name="Normal 10 2 4 6 3 3 2" xfId="22742"/>
    <cellStyle name="Normal 10 2 4 6 3 4" xfId="16086"/>
    <cellStyle name="Normal 10 2 4 6 4" xfId="7034"/>
    <cellStyle name="Normal 10 2 4 6 4 2" xfId="17750"/>
    <cellStyle name="Normal 10 2 4 6 5" xfId="10362"/>
    <cellStyle name="Normal 10 2 4 6 5 2" xfId="21078"/>
    <cellStyle name="Normal 10 2 4 6 6" xfId="14422"/>
    <cellStyle name="Normal 10 2 4 7" xfId="4109"/>
    <cellStyle name="Normal 10 2 4 7 2" xfId="5779"/>
    <cellStyle name="Normal 10 2 4 7 2 2" xfId="9114"/>
    <cellStyle name="Normal 10 2 4 7 2 2 2" xfId="19830"/>
    <cellStyle name="Normal 10 2 4 7 2 3" xfId="12442"/>
    <cellStyle name="Normal 10 2 4 7 2 3 2" xfId="23158"/>
    <cellStyle name="Normal 10 2 4 7 2 4" xfId="16502"/>
    <cellStyle name="Normal 10 2 4 7 3" xfId="7450"/>
    <cellStyle name="Normal 10 2 4 7 3 2" xfId="18166"/>
    <cellStyle name="Normal 10 2 4 7 4" xfId="10778"/>
    <cellStyle name="Normal 10 2 4 7 4 2" xfId="21494"/>
    <cellStyle name="Normal 10 2 4 7 5" xfId="14838"/>
    <cellStyle name="Normal 10 2 4 8" xfId="4944"/>
    <cellStyle name="Normal 10 2 4 8 2" xfId="8282"/>
    <cellStyle name="Normal 10 2 4 8 2 2" xfId="18998"/>
    <cellStyle name="Normal 10 2 4 8 3" xfId="11610"/>
    <cellStyle name="Normal 10 2 4 8 3 2" xfId="22326"/>
    <cellStyle name="Normal 10 2 4 8 4" xfId="15670"/>
    <cellStyle name="Normal 10 2 4 9" xfId="6614"/>
    <cellStyle name="Normal 10 2 4 9 2" xfId="17334"/>
    <cellStyle name="Normal 10 2 5" xfId="1058"/>
    <cellStyle name="Normal 10 2 5 2" xfId="1059"/>
    <cellStyle name="Normal 10 2 5 2 2" xfId="2786"/>
    <cellStyle name="Normal 10 2 5 2 2 2" xfId="3904"/>
    <cellStyle name="Normal 10 2 5 2 2 2 2" xfId="4744"/>
    <cellStyle name="Normal 10 2 5 2 2 2 2 2" xfId="6412"/>
    <cellStyle name="Normal 10 2 5 2 2 2 2 2 2" xfId="9747"/>
    <cellStyle name="Normal 10 2 5 2 2 2 2 2 2 2" xfId="20463"/>
    <cellStyle name="Normal 10 2 5 2 2 2 2 2 3" xfId="13075"/>
    <cellStyle name="Normal 10 2 5 2 2 2 2 2 3 2" xfId="23791"/>
    <cellStyle name="Normal 10 2 5 2 2 2 2 2 4" xfId="17135"/>
    <cellStyle name="Normal 10 2 5 2 2 2 2 3" xfId="8083"/>
    <cellStyle name="Normal 10 2 5 2 2 2 2 3 2" xfId="18799"/>
    <cellStyle name="Normal 10 2 5 2 2 2 2 4" xfId="11411"/>
    <cellStyle name="Normal 10 2 5 2 2 2 2 4 2" xfId="22127"/>
    <cellStyle name="Normal 10 2 5 2 2 2 2 5" xfId="15471"/>
    <cellStyle name="Normal 10 2 5 2 2 2 3" xfId="5580"/>
    <cellStyle name="Normal 10 2 5 2 2 2 3 2" xfId="8915"/>
    <cellStyle name="Normal 10 2 5 2 2 2 3 2 2" xfId="19631"/>
    <cellStyle name="Normal 10 2 5 2 2 2 3 3" xfId="12243"/>
    <cellStyle name="Normal 10 2 5 2 2 2 3 3 2" xfId="22959"/>
    <cellStyle name="Normal 10 2 5 2 2 2 3 4" xfId="16303"/>
    <cellStyle name="Normal 10 2 5 2 2 2 4" xfId="7251"/>
    <cellStyle name="Normal 10 2 5 2 2 2 4 2" xfId="17967"/>
    <cellStyle name="Normal 10 2 5 2 2 2 5" xfId="10579"/>
    <cellStyle name="Normal 10 2 5 2 2 2 5 2" xfId="21295"/>
    <cellStyle name="Normal 10 2 5 2 2 2 6" xfId="14639"/>
    <cellStyle name="Normal 10 2 5 2 2 3" xfId="4328"/>
    <cellStyle name="Normal 10 2 5 2 2 3 2" xfId="5996"/>
    <cellStyle name="Normal 10 2 5 2 2 3 2 2" xfId="9331"/>
    <cellStyle name="Normal 10 2 5 2 2 3 2 2 2" xfId="20047"/>
    <cellStyle name="Normal 10 2 5 2 2 3 2 3" xfId="12659"/>
    <cellStyle name="Normal 10 2 5 2 2 3 2 3 2" xfId="23375"/>
    <cellStyle name="Normal 10 2 5 2 2 3 2 4" xfId="16719"/>
    <cellStyle name="Normal 10 2 5 2 2 3 3" xfId="7667"/>
    <cellStyle name="Normal 10 2 5 2 2 3 3 2" xfId="18383"/>
    <cellStyle name="Normal 10 2 5 2 2 3 4" xfId="10995"/>
    <cellStyle name="Normal 10 2 5 2 2 3 4 2" xfId="21711"/>
    <cellStyle name="Normal 10 2 5 2 2 3 5" xfId="15055"/>
    <cellStyle name="Normal 10 2 5 2 2 4" xfId="5164"/>
    <cellStyle name="Normal 10 2 5 2 2 4 2" xfId="8499"/>
    <cellStyle name="Normal 10 2 5 2 2 4 2 2" xfId="19215"/>
    <cellStyle name="Normal 10 2 5 2 2 4 3" xfId="11827"/>
    <cellStyle name="Normal 10 2 5 2 2 4 3 2" xfId="22543"/>
    <cellStyle name="Normal 10 2 5 2 2 4 4" xfId="15887"/>
    <cellStyle name="Normal 10 2 5 2 2 5" xfId="6833"/>
    <cellStyle name="Normal 10 2 5 2 2 5 2" xfId="17551"/>
    <cellStyle name="Normal 10 2 5 2 2 6" xfId="10163"/>
    <cellStyle name="Normal 10 2 5 2 2 6 2" xfId="20879"/>
    <cellStyle name="Normal 10 2 5 2 2 7" xfId="14221"/>
    <cellStyle name="Normal 10 2 5 2 3" xfId="3680"/>
    <cellStyle name="Normal 10 2 5 2 3 2" xfId="4536"/>
    <cellStyle name="Normal 10 2 5 2 3 2 2" xfId="6204"/>
    <cellStyle name="Normal 10 2 5 2 3 2 2 2" xfId="9539"/>
    <cellStyle name="Normal 10 2 5 2 3 2 2 2 2" xfId="20255"/>
    <cellStyle name="Normal 10 2 5 2 3 2 2 3" xfId="12867"/>
    <cellStyle name="Normal 10 2 5 2 3 2 2 3 2" xfId="23583"/>
    <cellStyle name="Normal 10 2 5 2 3 2 2 4" xfId="16927"/>
    <cellStyle name="Normal 10 2 5 2 3 2 3" xfId="7875"/>
    <cellStyle name="Normal 10 2 5 2 3 2 3 2" xfId="18591"/>
    <cellStyle name="Normal 10 2 5 2 3 2 4" xfId="11203"/>
    <cellStyle name="Normal 10 2 5 2 3 2 4 2" xfId="21919"/>
    <cellStyle name="Normal 10 2 5 2 3 2 5" xfId="15263"/>
    <cellStyle name="Normal 10 2 5 2 3 3" xfId="5372"/>
    <cellStyle name="Normal 10 2 5 2 3 3 2" xfId="8707"/>
    <cellStyle name="Normal 10 2 5 2 3 3 2 2" xfId="19423"/>
    <cellStyle name="Normal 10 2 5 2 3 3 3" xfId="12035"/>
    <cellStyle name="Normal 10 2 5 2 3 3 3 2" xfId="22751"/>
    <cellStyle name="Normal 10 2 5 2 3 3 4" xfId="16095"/>
    <cellStyle name="Normal 10 2 5 2 3 4" xfId="7043"/>
    <cellStyle name="Normal 10 2 5 2 3 4 2" xfId="17759"/>
    <cellStyle name="Normal 10 2 5 2 3 5" xfId="10371"/>
    <cellStyle name="Normal 10 2 5 2 3 5 2" xfId="21087"/>
    <cellStyle name="Normal 10 2 5 2 3 6" xfId="14431"/>
    <cellStyle name="Normal 10 2 5 2 4" xfId="4118"/>
    <cellStyle name="Normal 10 2 5 2 4 2" xfId="5788"/>
    <cellStyle name="Normal 10 2 5 2 4 2 2" xfId="9123"/>
    <cellStyle name="Normal 10 2 5 2 4 2 2 2" xfId="19839"/>
    <cellStyle name="Normal 10 2 5 2 4 2 3" xfId="12451"/>
    <cellStyle name="Normal 10 2 5 2 4 2 3 2" xfId="23167"/>
    <cellStyle name="Normal 10 2 5 2 4 2 4" xfId="16511"/>
    <cellStyle name="Normal 10 2 5 2 4 3" xfId="7459"/>
    <cellStyle name="Normal 10 2 5 2 4 3 2" xfId="18175"/>
    <cellStyle name="Normal 10 2 5 2 4 4" xfId="10787"/>
    <cellStyle name="Normal 10 2 5 2 4 4 2" xfId="21503"/>
    <cellStyle name="Normal 10 2 5 2 4 5" xfId="14847"/>
    <cellStyle name="Normal 10 2 5 2 5" xfId="4953"/>
    <cellStyle name="Normal 10 2 5 2 5 2" xfId="8291"/>
    <cellStyle name="Normal 10 2 5 2 5 2 2" xfId="19007"/>
    <cellStyle name="Normal 10 2 5 2 5 3" xfId="11619"/>
    <cellStyle name="Normal 10 2 5 2 5 3 2" xfId="22335"/>
    <cellStyle name="Normal 10 2 5 2 5 4" xfId="15679"/>
    <cellStyle name="Normal 10 2 5 2 6" xfId="6623"/>
    <cellStyle name="Normal 10 2 5 2 6 2" xfId="17343"/>
    <cellStyle name="Normal 10 2 5 2 7" xfId="9955"/>
    <cellStyle name="Normal 10 2 5 2 7 2" xfId="20671"/>
    <cellStyle name="Normal 10 2 5 2 8" xfId="14012"/>
    <cellStyle name="Normal 10 2 5 3" xfId="2785"/>
    <cellStyle name="Normal 10 2 5 3 2" xfId="3903"/>
    <cellStyle name="Normal 10 2 5 3 2 2" xfId="4743"/>
    <cellStyle name="Normal 10 2 5 3 2 2 2" xfId="6411"/>
    <cellStyle name="Normal 10 2 5 3 2 2 2 2" xfId="9746"/>
    <cellStyle name="Normal 10 2 5 3 2 2 2 2 2" xfId="20462"/>
    <cellStyle name="Normal 10 2 5 3 2 2 2 3" xfId="13074"/>
    <cellStyle name="Normal 10 2 5 3 2 2 2 3 2" xfId="23790"/>
    <cellStyle name="Normal 10 2 5 3 2 2 2 4" xfId="17134"/>
    <cellStyle name="Normal 10 2 5 3 2 2 3" xfId="8082"/>
    <cellStyle name="Normal 10 2 5 3 2 2 3 2" xfId="18798"/>
    <cellStyle name="Normal 10 2 5 3 2 2 4" xfId="11410"/>
    <cellStyle name="Normal 10 2 5 3 2 2 4 2" xfId="22126"/>
    <cellStyle name="Normal 10 2 5 3 2 2 5" xfId="15470"/>
    <cellStyle name="Normal 10 2 5 3 2 3" xfId="5579"/>
    <cellStyle name="Normal 10 2 5 3 2 3 2" xfId="8914"/>
    <cellStyle name="Normal 10 2 5 3 2 3 2 2" xfId="19630"/>
    <cellStyle name="Normal 10 2 5 3 2 3 3" xfId="12242"/>
    <cellStyle name="Normal 10 2 5 3 2 3 3 2" xfId="22958"/>
    <cellStyle name="Normal 10 2 5 3 2 3 4" xfId="16302"/>
    <cellStyle name="Normal 10 2 5 3 2 4" xfId="7250"/>
    <cellStyle name="Normal 10 2 5 3 2 4 2" xfId="17966"/>
    <cellStyle name="Normal 10 2 5 3 2 5" xfId="10578"/>
    <cellStyle name="Normal 10 2 5 3 2 5 2" xfId="21294"/>
    <cellStyle name="Normal 10 2 5 3 2 6" xfId="14638"/>
    <cellStyle name="Normal 10 2 5 3 3" xfId="4327"/>
    <cellStyle name="Normal 10 2 5 3 3 2" xfId="5995"/>
    <cellStyle name="Normal 10 2 5 3 3 2 2" xfId="9330"/>
    <cellStyle name="Normal 10 2 5 3 3 2 2 2" xfId="20046"/>
    <cellStyle name="Normal 10 2 5 3 3 2 3" xfId="12658"/>
    <cellStyle name="Normal 10 2 5 3 3 2 3 2" xfId="23374"/>
    <cellStyle name="Normal 10 2 5 3 3 2 4" xfId="16718"/>
    <cellStyle name="Normal 10 2 5 3 3 3" xfId="7666"/>
    <cellStyle name="Normal 10 2 5 3 3 3 2" xfId="18382"/>
    <cellStyle name="Normal 10 2 5 3 3 4" xfId="10994"/>
    <cellStyle name="Normal 10 2 5 3 3 4 2" xfId="21710"/>
    <cellStyle name="Normal 10 2 5 3 3 5" xfId="15054"/>
    <cellStyle name="Normal 10 2 5 3 4" xfId="5163"/>
    <cellStyle name="Normal 10 2 5 3 4 2" xfId="8498"/>
    <cellStyle name="Normal 10 2 5 3 4 2 2" xfId="19214"/>
    <cellStyle name="Normal 10 2 5 3 4 3" xfId="11826"/>
    <cellStyle name="Normal 10 2 5 3 4 3 2" xfId="22542"/>
    <cellStyle name="Normal 10 2 5 3 4 4" xfId="15886"/>
    <cellStyle name="Normal 10 2 5 3 5" xfId="6832"/>
    <cellStyle name="Normal 10 2 5 3 5 2" xfId="17550"/>
    <cellStyle name="Normal 10 2 5 3 6" xfId="10162"/>
    <cellStyle name="Normal 10 2 5 3 6 2" xfId="20878"/>
    <cellStyle name="Normal 10 2 5 3 7" xfId="14220"/>
    <cellStyle name="Normal 10 2 5 4" xfId="3679"/>
    <cellStyle name="Normal 10 2 5 4 2" xfId="4535"/>
    <cellStyle name="Normal 10 2 5 4 2 2" xfId="6203"/>
    <cellStyle name="Normal 10 2 5 4 2 2 2" xfId="9538"/>
    <cellStyle name="Normal 10 2 5 4 2 2 2 2" xfId="20254"/>
    <cellStyle name="Normal 10 2 5 4 2 2 3" xfId="12866"/>
    <cellStyle name="Normal 10 2 5 4 2 2 3 2" xfId="23582"/>
    <cellStyle name="Normal 10 2 5 4 2 2 4" xfId="16926"/>
    <cellStyle name="Normal 10 2 5 4 2 3" xfId="7874"/>
    <cellStyle name="Normal 10 2 5 4 2 3 2" xfId="18590"/>
    <cellStyle name="Normal 10 2 5 4 2 4" xfId="11202"/>
    <cellStyle name="Normal 10 2 5 4 2 4 2" xfId="21918"/>
    <cellStyle name="Normal 10 2 5 4 2 5" xfId="15262"/>
    <cellStyle name="Normal 10 2 5 4 3" xfId="5371"/>
    <cellStyle name="Normal 10 2 5 4 3 2" xfId="8706"/>
    <cellStyle name="Normal 10 2 5 4 3 2 2" xfId="19422"/>
    <cellStyle name="Normal 10 2 5 4 3 3" xfId="12034"/>
    <cellStyle name="Normal 10 2 5 4 3 3 2" xfId="22750"/>
    <cellStyle name="Normal 10 2 5 4 3 4" xfId="16094"/>
    <cellStyle name="Normal 10 2 5 4 4" xfId="7042"/>
    <cellStyle name="Normal 10 2 5 4 4 2" xfId="17758"/>
    <cellStyle name="Normal 10 2 5 4 5" xfId="10370"/>
    <cellStyle name="Normal 10 2 5 4 5 2" xfId="21086"/>
    <cellStyle name="Normal 10 2 5 4 6" xfId="14430"/>
    <cellStyle name="Normal 10 2 5 5" xfId="4117"/>
    <cellStyle name="Normal 10 2 5 5 2" xfId="5787"/>
    <cellStyle name="Normal 10 2 5 5 2 2" xfId="9122"/>
    <cellStyle name="Normal 10 2 5 5 2 2 2" xfId="19838"/>
    <cellStyle name="Normal 10 2 5 5 2 3" xfId="12450"/>
    <cellStyle name="Normal 10 2 5 5 2 3 2" xfId="23166"/>
    <cellStyle name="Normal 10 2 5 5 2 4" xfId="16510"/>
    <cellStyle name="Normal 10 2 5 5 3" xfId="7458"/>
    <cellStyle name="Normal 10 2 5 5 3 2" xfId="18174"/>
    <cellStyle name="Normal 10 2 5 5 4" xfId="10786"/>
    <cellStyle name="Normal 10 2 5 5 4 2" xfId="21502"/>
    <cellStyle name="Normal 10 2 5 5 5" xfId="14846"/>
    <cellStyle name="Normal 10 2 5 6" xfId="4952"/>
    <cellStyle name="Normal 10 2 5 6 2" xfId="8290"/>
    <cellStyle name="Normal 10 2 5 6 2 2" xfId="19006"/>
    <cellStyle name="Normal 10 2 5 6 3" xfId="11618"/>
    <cellStyle name="Normal 10 2 5 6 3 2" xfId="22334"/>
    <cellStyle name="Normal 10 2 5 6 4" xfId="15678"/>
    <cellStyle name="Normal 10 2 5 7" xfId="6622"/>
    <cellStyle name="Normal 10 2 5 7 2" xfId="17342"/>
    <cellStyle name="Normal 10 2 5 8" xfId="9954"/>
    <cellStyle name="Normal 10 2 5 8 2" xfId="20670"/>
    <cellStyle name="Normal 10 2 5 9" xfId="14011"/>
    <cellStyle name="Normal 10 2 6" xfId="2759"/>
    <cellStyle name="Normal 10 3" xfId="1060"/>
    <cellStyle name="Normal 10 3 10" xfId="9956"/>
    <cellStyle name="Normal 10 3 10 2" xfId="20672"/>
    <cellStyle name="Normal 10 3 11" xfId="14013"/>
    <cellStyle name="Normal 10 3 2" xfId="1061"/>
    <cellStyle name="Normal 10 3 2 10" xfId="14014"/>
    <cellStyle name="Normal 10 3 2 2" xfId="1062"/>
    <cellStyle name="Normal 10 3 2 2 2" xfId="1063"/>
    <cellStyle name="Normal 10 3 2 2 2 2" xfId="2790"/>
    <cellStyle name="Normal 10 3 2 2 2 2 2" xfId="3908"/>
    <cellStyle name="Normal 10 3 2 2 2 2 2 2" xfId="4748"/>
    <cellStyle name="Normal 10 3 2 2 2 2 2 2 2" xfId="6416"/>
    <cellStyle name="Normal 10 3 2 2 2 2 2 2 2 2" xfId="9751"/>
    <cellStyle name="Normal 10 3 2 2 2 2 2 2 2 2 2" xfId="20467"/>
    <cellStyle name="Normal 10 3 2 2 2 2 2 2 2 3" xfId="13079"/>
    <cellStyle name="Normal 10 3 2 2 2 2 2 2 2 3 2" xfId="23795"/>
    <cellStyle name="Normal 10 3 2 2 2 2 2 2 2 4" xfId="17139"/>
    <cellStyle name="Normal 10 3 2 2 2 2 2 2 3" xfId="8087"/>
    <cellStyle name="Normal 10 3 2 2 2 2 2 2 3 2" xfId="18803"/>
    <cellStyle name="Normal 10 3 2 2 2 2 2 2 4" xfId="11415"/>
    <cellStyle name="Normal 10 3 2 2 2 2 2 2 4 2" xfId="22131"/>
    <cellStyle name="Normal 10 3 2 2 2 2 2 2 5" xfId="15475"/>
    <cellStyle name="Normal 10 3 2 2 2 2 2 3" xfId="5584"/>
    <cellStyle name="Normal 10 3 2 2 2 2 2 3 2" xfId="8919"/>
    <cellStyle name="Normal 10 3 2 2 2 2 2 3 2 2" xfId="19635"/>
    <cellStyle name="Normal 10 3 2 2 2 2 2 3 3" xfId="12247"/>
    <cellStyle name="Normal 10 3 2 2 2 2 2 3 3 2" xfId="22963"/>
    <cellStyle name="Normal 10 3 2 2 2 2 2 3 4" xfId="16307"/>
    <cellStyle name="Normal 10 3 2 2 2 2 2 4" xfId="7255"/>
    <cellStyle name="Normal 10 3 2 2 2 2 2 4 2" xfId="17971"/>
    <cellStyle name="Normal 10 3 2 2 2 2 2 5" xfId="10583"/>
    <cellStyle name="Normal 10 3 2 2 2 2 2 5 2" xfId="21299"/>
    <cellStyle name="Normal 10 3 2 2 2 2 2 6" xfId="14643"/>
    <cellStyle name="Normal 10 3 2 2 2 2 3" xfId="4332"/>
    <cellStyle name="Normal 10 3 2 2 2 2 3 2" xfId="6000"/>
    <cellStyle name="Normal 10 3 2 2 2 2 3 2 2" xfId="9335"/>
    <cellStyle name="Normal 10 3 2 2 2 2 3 2 2 2" xfId="20051"/>
    <cellStyle name="Normal 10 3 2 2 2 2 3 2 3" xfId="12663"/>
    <cellStyle name="Normal 10 3 2 2 2 2 3 2 3 2" xfId="23379"/>
    <cellStyle name="Normal 10 3 2 2 2 2 3 2 4" xfId="16723"/>
    <cellStyle name="Normal 10 3 2 2 2 2 3 3" xfId="7671"/>
    <cellStyle name="Normal 10 3 2 2 2 2 3 3 2" xfId="18387"/>
    <cellStyle name="Normal 10 3 2 2 2 2 3 4" xfId="10999"/>
    <cellStyle name="Normal 10 3 2 2 2 2 3 4 2" xfId="21715"/>
    <cellStyle name="Normal 10 3 2 2 2 2 3 5" xfId="15059"/>
    <cellStyle name="Normal 10 3 2 2 2 2 4" xfId="5168"/>
    <cellStyle name="Normal 10 3 2 2 2 2 4 2" xfId="8503"/>
    <cellStyle name="Normal 10 3 2 2 2 2 4 2 2" xfId="19219"/>
    <cellStyle name="Normal 10 3 2 2 2 2 4 3" xfId="11831"/>
    <cellStyle name="Normal 10 3 2 2 2 2 4 3 2" xfId="22547"/>
    <cellStyle name="Normal 10 3 2 2 2 2 4 4" xfId="15891"/>
    <cellStyle name="Normal 10 3 2 2 2 2 5" xfId="6837"/>
    <cellStyle name="Normal 10 3 2 2 2 2 5 2" xfId="17555"/>
    <cellStyle name="Normal 10 3 2 2 2 2 6" xfId="10167"/>
    <cellStyle name="Normal 10 3 2 2 2 2 6 2" xfId="20883"/>
    <cellStyle name="Normal 10 3 2 2 2 2 7" xfId="14225"/>
    <cellStyle name="Normal 10 3 2 2 2 3" xfId="3684"/>
    <cellStyle name="Normal 10 3 2 2 2 3 2" xfId="4540"/>
    <cellStyle name="Normal 10 3 2 2 2 3 2 2" xfId="6208"/>
    <cellStyle name="Normal 10 3 2 2 2 3 2 2 2" xfId="9543"/>
    <cellStyle name="Normal 10 3 2 2 2 3 2 2 2 2" xfId="20259"/>
    <cellStyle name="Normal 10 3 2 2 2 3 2 2 3" xfId="12871"/>
    <cellStyle name="Normal 10 3 2 2 2 3 2 2 3 2" xfId="23587"/>
    <cellStyle name="Normal 10 3 2 2 2 3 2 2 4" xfId="16931"/>
    <cellStyle name="Normal 10 3 2 2 2 3 2 3" xfId="7879"/>
    <cellStyle name="Normal 10 3 2 2 2 3 2 3 2" xfId="18595"/>
    <cellStyle name="Normal 10 3 2 2 2 3 2 4" xfId="11207"/>
    <cellStyle name="Normal 10 3 2 2 2 3 2 4 2" xfId="21923"/>
    <cellStyle name="Normal 10 3 2 2 2 3 2 5" xfId="15267"/>
    <cellStyle name="Normal 10 3 2 2 2 3 3" xfId="5376"/>
    <cellStyle name="Normal 10 3 2 2 2 3 3 2" xfId="8711"/>
    <cellStyle name="Normal 10 3 2 2 2 3 3 2 2" xfId="19427"/>
    <cellStyle name="Normal 10 3 2 2 2 3 3 3" xfId="12039"/>
    <cellStyle name="Normal 10 3 2 2 2 3 3 3 2" xfId="22755"/>
    <cellStyle name="Normal 10 3 2 2 2 3 3 4" xfId="16099"/>
    <cellStyle name="Normal 10 3 2 2 2 3 4" xfId="7047"/>
    <cellStyle name="Normal 10 3 2 2 2 3 4 2" xfId="17763"/>
    <cellStyle name="Normal 10 3 2 2 2 3 5" xfId="10375"/>
    <cellStyle name="Normal 10 3 2 2 2 3 5 2" xfId="21091"/>
    <cellStyle name="Normal 10 3 2 2 2 3 6" xfId="14435"/>
    <cellStyle name="Normal 10 3 2 2 2 4" xfId="4122"/>
    <cellStyle name="Normal 10 3 2 2 2 4 2" xfId="5792"/>
    <cellStyle name="Normal 10 3 2 2 2 4 2 2" xfId="9127"/>
    <cellStyle name="Normal 10 3 2 2 2 4 2 2 2" xfId="19843"/>
    <cellStyle name="Normal 10 3 2 2 2 4 2 3" xfId="12455"/>
    <cellStyle name="Normal 10 3 2 2 2 4 2 3 2" xfId="23171"/>
    <cellStyle name="Normal 10 3 2 2 2 4 2 4" xfId="16515"/>
    <cellStyle name="Normal 10 3 2 2 2 4 3" xfId="7463"/>
    <cellStyle name="Normal 10 3 2 2 2 4 3 2" xfId="18179"/>
    <cellStyle name="Normal 10 3 2 2 2 4 4" xfId="10791"/>
    <cellStyle name="Normal 10 3 2 2 2 4 4 2" xfId="21507"/>
    <cellStyle name="Normal 10 3 2 2 2 4 5" xfId="14851"/>
    <cellStyle name="Normal 10 3 2 2 2 5" xfId="4957"/>
    <cellStyle name="Normal 10 3 2 2 2 5 2" xfId="8295"/>
    <cellStyle name="Normal 10 3 2 2 2 5 2 2" xfId="19011"/>
    <cellStyle name="Normal 10 3 2 2 2 5 3" xfId="11623"/>
    <cellStyle name="Normal 10 3 2 2 2 5 3 2" xfId="22339"/>
    <cellStyle name="Normal 10 3 2 2 2 5 4" xfId="15683"/>
    <cellStyle name="Normal 10 3 2 2 2 6" xfId="6627"/>
    <cellStyle name="Normal 10 3 2 2 2 6 2" xfId="17347"/>
    <cellStyle name="Normal 10 3 2 2 2 7" xfId="9959"/>
    <cellStyle name="Normal 10 3 2 2 2 7 2" xfId="20675"/>
    <cellStyle name="Normal 10 3 2 2 2 8" xfId="14016"/>
    <cellStyle name="Normal 10 3 2 2 3" xfId="2789"/>
    <cellStyle name="Normal 10 3 2 2 3 2" xfId="3907"/>
    <cellStyle name="Normal 10 3 2 2 3 2 2" xfId="4747"/>
    <cellStyle name="Normal 10 3 2 2 3 2 2 2" xfId="6415"/>
    <cellStyle name="Normal 10 3 2 2 3 2 2 2 2" xfId="9750"/>
    <cellStyle name="Normal 10 3 2 2 3 2 2 2 2 2" xfId="20466"/>
    <cellStyle name="Normal 10 3 2 2 3 2 2 2 3" xfId="13078"/>
    <cellStyle name="Normal 10 3 2 2 3 2 2 2 3 2" xfId="23794"/>
    <cellStyle name="Normal 10 3 2 2 3 2 2 2 4" xfId="17138"/>
    <cellStyle name="Normal 10 3 2 2 3 2 2 3" xfId="8086"/>
    <cellStyle name="Normal 10 3 2 2 3 2 2 3 2" xfId="18802"/>
    <cellStyle name="Normal 10 3 2 2 3 2 2 4" xfId="11414"/>
    <cellStyle name="Normal 10 3 2 2 3 2 2 4 2" xfId="22130"/>
    <cellStyle name="Normal 10 3 2 2 3 2 2 5" xfId="15474"/>
    <cellStyle name="Normal 10 3 2 2 3 2 3" xfId="5583"/>
    <cellStyle name="Normal 10 3 2 2 3 2 3 2" xfId="8918"/>
    <cellStyle name="Normal 10 3 2 2 3 2 3 2 2" xfId="19634"/>
    <cellStyle name="Normal 10 3 2 2 3 2 3 3" xfId="12246"/>
    <cellStyle name="Normal 10 3 2 2 3 2 3 3 2" xfId="22962"/>
    <cellStyle name="Normal 10 3 2 2 3 2 3 4" xfId="16306"/>
    <cellStyle name="Normal 10 3 2 2 3 2 4" xfId="7254"/>
    <cellStyle name="Normal 10 3 2 2 3 2 4 2" xfId="17970"/>
    <cellStyle name="Normal 10 3 2 2 3 2 5" xfId="10582"/>
    <cellStyle name="Normal 10 3 2 2 3 2 5 2" xfId="21298"/>
    <cellStyle name="Normal 10 3 2 2 3 2 6" xfId="14642"/>
    <cellStyle name="Normal 10 3 2 2 3 3" xfId="4331"/>
    <cellStyle name="Normal 10 3 2 2 3 3 2" xfId="5999"/>
    <cellStyle name="Normal 10 3 2 2 3 3 2 2" xfId="9334"/>
    <cellStyle name="Normal 10 3 2 2 3 3 2 2 2" xfId="20050"/>
    <cellStyle name="Normal 10 3 2 2 3 3 2 3" xfId="12662"/>
    <cellStyle name="Normal 10 3 2 2 3 3 2 3 2" xfId="23378"/>
    <cellStyle name="Normal 10 3 2 2 3 3 2 4" xfId="16722"/>
    <cellStyle name="Normal 10 3 2 2 3 3 3" xfId="7670"/>
    <cellStyle name="Normal 10 3 2 2 3 3 3 2" xfId="18386"/>
    <cellStyle name="Normal 10 3 2 2 3 3 4" xfId="10998"/>
    <cellStyle name="Normal 10 3 2 2 3 3 4 2" xfId="21714"/>
    <cellStyle name="Normal 10 3 2 2 3 3 5" xfId="15058"/>
    <cellStyle name="Normal 10 3 2 2 3 4" xfId="5167"/>
    <cellStyle name="Normal 10 3 2 2 3 4 2" xfId="8502"/>
    <cellStyle name="Normal 10 3 2 2 3 4 2 2" xfId="19218"/>
    <cellStyle name="Normal 10 3 2 2 3 4 3" xfId="11830"/>
    <cellStyle name="Normal 10 3 2 2 3 4 3 2" xfId="22546"/>
    <cellStyle name="Normal 10 3 2 2 3 4 4" xfId="15890"/>
    <cellStyle name="Normal 10 3 2 2 3 5" xfId="6836"/>
    <cellStyle name="Normal 10 3 2 2 3 5 2" xfId="17554"/>
    <cellStyle name="Normal 10 3 2 2 3 6" xfId="10166"/>
    <cellStyle name="Normal 10 3 2 2 3 6 2" xfId="20882"/>
    <cellStyle name="Normal 10 3 2 2 3 7" xfId="14224"/>
    <cellStyle name="Normal 10 3 2 2 4" xfId="3683"/>
    <cellStyle name="Normal 10 3 2 2 4 2" xfId="4539"/>
    <cellStyle name="Normal 10 3 2 2 4 2 2" xfId="6207"/>
    <cellStyle name="Normal 10 3 2 2 4 2 2 2" xfId="9542"/>
    <cellStyle name="Normal 10 3 2 2 4 2 2 2 2" xfId="20258"/>
    <cellStyle name="Normal 10 3 2 2 4 2 2 3" xfId="12870"/>
    <cellStyle name="Normal 10 3 2 2 4 2 2 3 2" xfId="23586"/>
    <cellStyle name="Normal 10 3 2 2 4 2 2 4" xfId="16930"/>
    <cellStyle name="Normal 10 3 2 2 4 2 3" xfId="7878"/>
    <cellStyle name="Normal 10 3 2 2 4 2 3 2" xfId="18594"/>
    <cellStyle name="Normal 10 3 2 2 4 2 4" xfId="11206"/>
    <cellStyle name="Normal 10 3 2 2 4 2 4 2" xfId="21922"/>
    <cellStyle name="Normal 10 3 2 2 4 2 5" xfId="15266"/>
    <cellStyle name="Normal 10 3 2 2 4 3" xfId="5375"/>
    <cellStyle name="Normal 10 3 2 2 4 3 2" xfId="8710"/>
    <cellStyle name="Normal 10 3 2 2 4 3 2 2" xfId="19426"/>
    <cellStyle name="Normal 10 3 2 2 4 3 3" xfId="12038"/>
    <cellStyle name="Normal 10 3 2 2 4 3 3 2" xfId="22754"/>
    <cellStyle name="Normal 10 3 2 2 4 3 4" xfId="16098"/>
    <cellStyle name="Normal 10 3 2 2 4 4" xfId="7046"/>
    <cellStyle name="Normal 10 3 2 2 4 4 2" xfId="17762"/>
    <cellStyle name="Normal 10 3 2 2 4 5" xfId="10374"/>
    <cellStyle name="Normal 10 3 2 2 4 5 2" xfId="21090"/>
    <cellStyle name="Normal 10 3 2 2 4 6" xfId="14434"/>
    <cellStyle name="Normal 10 3 2 2 5" xfId="4121"/>
    <cellStyle name="Normal 10 3 2 2 5 2" xfId="5791"/>
    <cellStyle name="Normal 10 3 2 2 5 2 2" xfId="9126"/>
    <cellStyle name="Normal 10 3 2 2 5 2 2 2" xfId="19842"/>
    <cellStyle name="Normal 10 3 2 2 5 2 3" xfId="12454"/>
    <cellStyle name="Normal 10 3 2 2 5 2 3 2" xfId="23170"/>
    <cellStyle name="Normal 10 3 2 2 5 2 4" xfId="16514"/>
    <cellStyle name="Normal 10 3 2 2 5 3" xfId="7462"/>
    <cellStyle name="Normal 10 3 2 2 5 3 2" xfId="18178"/>
    <cellStyle name="Normal 10 3 2 2 5 4" xfId="10790"/>
    <cellStyle name="Normal 10 3 2 2 5 4 2" xfId="21506"/>
    <cellStyle name="Normal 10 3 2 2 5 5" xfId="14850"/>
    <cellStyle name="Normal 10 3 2 2 6" xfId="4956"/>
    <cellStyle name="Normal 10 3 2 2 6 2" xfId="8294"/>
    <cellStyle name="Normal 10 3 2 2 6 2 2" xfId="19010"/>
    <cellStyle name="Normal 10 3 2 2 6 3" xfId="11622"/>
    <cellStyle name="Normal 10 3 2 2 6 3 2" xfId="22338"/>
    <cellStyle name="Normal 10 3 2 2 6 4" xfId="15682"/>
    <cellStyle name="Normal 10 3 2 2 7" xfId="6626"/>
    <cellStyle name="Normal 10 3 2 2 7 2" xfId="17346"/>
    <cellStyle name="Normal 10 3 2 2 8" xfId="9958"/>
    <cellStyle name="Normal 10 3 2 2 8 2" xfId="20674"/>
    <cellStyle name="Normal 10 3 2 2 9" xfId="14015"/>
    <cellStyle name="Normal 10 3 2 3" xfId="1064"/>
    <cellStyle name="Normal 10 3 2 3 2" xfId="2791"/>
    <cellStyle name="Normal 10 3 2 3 2 2" xfId="3909"/>
    <cellStyle name="Normal 10 3 2 3 2 2 2" xfId="4749"/>
    <cellStyle name="Normal 10 3 2 3 2 2 2 2" xfId="6417"/>
    <cellStyle name="Normal 10 3 2 3 2 2 2 2 2" xfId="9752"/>
    <cellStyle name="Normal 10 3 2 3 2 2 2 2 2 2" xfId="20468"/>
    <cellStyle name="Normal 10 3 2 3 2 2 2 2 3" xfId="13080"/>
    <cellStyle name="Normal 10 3 2 3 2 2 2 2 3 2" xfId="23796"/>
    <cellStyle name="Normal 10 3 2 3 2 2 2 2 4" xfId="17140"/>
    <cellStyle name="Normal 10 3 2 3 2 2 2 3" xfId="8088"/>
    <cellStyle name="Normal 10 3 2 3 2 2 2 3 2" xfId="18804"/>
    <cellStyle name="Normal 10 3 2 3 2 2 2 4" xfId="11416"/>
    <cellStyle name="Normal 10 3 2 3 2 2 2 4 2" xfId="22132"/>
    <cellStyle name="Normal 10 3 2 3 2 2 2 5" xfId="15476"/>
    <cellStyle name="Normal 10 3 2 3 2 2 3" xfId="5585"/>
    <cellStyle name="Normal 10 3 2 3 2 2 3 2" xfId="8920"/>
    <cellStyle name="Normal 10 3 2 3 2 2 3 2 2" xfId="19636"/>
    <cellStyle name="Normal 10 3 2 3 2 2 3 3" xfId="12248"/>
    <cellStyle name="Normal 10 3 2 3 2 2 3 3 2" xfId="22964"/>
    <cellStyle name="Normal 10 3 2 3 2 2 3 4" xfId="16308"/>
    <cellStyle name="Normal 10 3 2 3 2 2 4" xfId="7256"/>
    <cellStyle name="Normal 10 3 2 3 2 2 4 2" xfId="17972"/>
    <cellStyle name="Normal 10 3 2 3 2 2 5" xfId="10584"/>
    <cellStyle name="Normal 10 3 2 3 2 2 5 2" xfId="21300"/>
    <cellStyle name="Normal 10 3 2 3 2 2 6" xfId="14644"/>
    <cellStyle name="Normal 10 3 2 3 2 3" xfId="4333"/>
    <cellStyle name="Normal 10 3 2 3 2 3 2" xfId="6001"/>
    <cellStyle name="Normal 10 3 2 3 2 3 2 2" xfId="9336"/>
    <cellStyle name="Normal 10 3 2 3 2 3 2 2 2" xfId="20052"/>
    <cellStyle name="Normal 10 3 2 3 2 3 2 3" xfId="12664"/>
    <cellStyle name="Normal 10 3 2 3 2 3 2 3 2" xfId="23380"/>
    <cellStyle name="Normal 10 3 2 3 2 3 2 4" xfId="16724"/>
    <cellStyle name="Normal 10 3 2 3 2 3 3" xfId="7672"/>
    <cellStyle name="Normal 10 3 2 3 2 3 3 2" xfId="18388"/>
    <cellStyle name="Normal 10 3 2 3 2 3 4" xfId="11000"/>
    <cellStyle name="Normal 10 3 2 3 2 3 4 2" xfId="21716"/>
    <cellStyle name="Normal 10 3 2 3 2 3 5" xfId="15060"/>
    <cellStyle name="Normal 10 3 2 3 2 4" xfId="5169"/>
    <cellStyle name="Normal 10 3 2 3 2 4 2" xfId="8504"/>
    <cellStyle name="Normal 10 3 2 3 2 4 2 2" xfId="19220"/>
    <cellStyle name="Normal 10 3 2 3 2 4 3" xfId="11832"/>
    <cellStyle name="Normal 10 3 2 3 2 4 3 2" xfId="22548"/>
    <cellStyle name="Normal 10 3 2 3 2 4 4" xfId="15892"/>
    <cellStyle name="Normal 10 3 2 3 2 5" xfId="6838"/>
    <cellStyle name="Normal 10 3 2 3 2 5 2" xfId="17556"/>
    <cellStyle name="Normal 10 3 2 3 2 6" xfId="10168"/>
    <cellStyle name="Normal 10 3 2 3 2 6 2" xfId="20884"/>
    <cellStyle name="Normal 10 3 2 3 2 7" xfId="14226"/>
    <cellStyle name="Normal 10 3 2 3 3" xfId="3685"/>
    <cellStyle name="Normal 10 3 2 3 3 2" xfId="4541"/>
    <cellStyle name="Normal 10 3 2 3 3 2 2" xfId="6209"/>
    <cellStyle name="Normal 10 3 2 3 3 2 2 2" xfId="9544"/>
    <cellStyle name="Normal 10 3 2 3 3 2 2 2 2" xfId="20260"/>
    <cellStyle name="Normal 10 3 2 3 3 2 2 3" xfId="12872"/>
    <cellStyle name="Normal 10 3 2 3 3 2 2 3 2" xfId="23588"/>
    <cellStyle name="Normal 10 3 2 3 3 2 2 4" xfId="16932"/>
    <cellStyle name="Normal 10 3 2 3 3 2 3" xfId="7880"/>
    <cellStyle name="Normal 10 3 2 3 3 2 3 2" xfId="18596"/>
    <cellStyle name="Normal 10 3 2 3 3 2 4" xfId="11208"/>
    <cellStyle name="Normal 10 3 2 3 3 2 4 2" xfId="21924"/>
    <cellStyle name="Normal 10 3 2 3 3 2 5" xfId="15268"/>
    <cellStyle name="Normal 10 3 2 3 3 3" xfId="5377"/>
    <cellStyle name="Normal 10 3 2 3 3 3 2" xfId="8712"/>
    <cellStyle name="Normal 10 3 2 3 3 3 2 2" xfId="19428"/>
    <cellStyle name="Normal 10 3 2 3 3 3 3" xfId="12040"/>
    <cellStyle name="Normal 10 3 2 3 3 3 3 2" xfId="22756"/>
    <cellStyle name="Normal 10 3 2 3 3 3 4" xfId="16100"/>
    <cellStyle name="Normal 10 3 2 3 3 4" xfId="7048"/>
    <cellStyle name="Normal 10 3 2 3 3 4 2" xfId="17764"/>
    <cellStyle name="Normal 10 3 2 3 3 5" xfId="10376"/>
    <cellStyle name="Normal 10 3 2 3 3 5 2" xfId="21092"/>
    <cellStyle name="Normal 10 3 2 3 3 6" xfId="14436"/>
    <cellStyle name="Normal 10 3 2 3 4" xfId="4123"/>
    <cellStyle name="Normal 10 3 2 3 4 2" xfId="5793"/>
    <cellStyle name="Normal 10 3 2 3 4 2 2" xfId="9128"/>
    <cellStyle name="Normal 10 3 2 3 4 2 2 2" xfId="19844"/>
    <cellStyle name="Normal 10 3 2 3 4 2 3" xfId="12456"/>
    <cellStyle name="Normal 10 3 2 3 4 2 3 2" xfId="23172"/>
    <cellStyle name="Normal 10 3 2 3 4 2 4" xfId="16516"/>
    <cellStyle name="Normal 10 3 2 3 4 3" xfId="7464"/>
    <cellStyle name="Normal 10 3 2 3 4 3 2" xfId="18180"/>
    <cellStyle name="Normal 10 3 2 3 4 4" xfId="10792"/>
    <cellStyle name="Normal 10 3 2 3 4 4 2" xfId="21508"/>
    <cellStyle name="Normal 10 3 2 3 4 5" xfId="14852"/>
    <cellStyle name="Normal 10 3 2 3 5" xfId="4958"/>
    <cellStyle name="Normal 10 3 2 3 5 2" xfId="8296"/>
    <cellStyle name="Normal 10 3 2 3 5 2 2" xfId="19012"/>
    <cellStyle name="Normal 10 3 2 3 5 3" xfId="11624"/>
    <cellStyle name="Normal 10 3 2 3 5 3 2" xfId="22340"/>
    <cellStyle name="Normal 10 3 2 3 5 4" xfId="15684"/>
    <cellStyle name="Normal 10 3 2 3 6" xfId="6628"/>
    <cellStyle name="Normal 10 3 2 3 6 2" xfId="17348"/>
    <cellStyle name="Normal 10 3 2 3 7" xfId="9960"/>
    <cellStyle name="Normal 10 3 2 3 7 2" xfId="20676"/>
    <cellStyle name="Normal 10 3 2 3 8" xfId="14017"/>
    <cellStyle name="Normal 10 3 2 4" xfId="2788"/>
    <cellStyle name="Normal 10 3 2 4 2" xfId="3906"/>
    <cellStyle name="Normal 10 3 2 4 2 2" xfId="4746"/>
    <cellStyle name="Normal 10 3 2 4 2 2 2" xfId="6414"/>
    <cellStyle name="Normal 10 3 2 4 2 2 2 2" xfId="9749"/>
    <cellStyle name="Normal 10 3 2 4 2 2 2 2 2" xfId="20465"/>
    <cellStyle name="Normal 10 3 2 4 2 2 2 3" xfId="13077"/>
    <cellStyle name="Normal 10 3 2 4 2 2 2 3 2" xfId="23793"/>
    <cellStyle name="Normal 10 3 2 4 2 2 2 4" xfId="17137"/>
    <cellStyle name="Normal 10 3 2 4 2 2 3" xfId="8085"/>
    <cellStyle name="Normal 10 3 2 4 2 2 3 2" xfId="18801"/>
    <cellStyle name="Normal 10 3 2 4 2 2 4" xfId="11413"/>
    <cellStyle name="Normal 10 3 2 4 2 2 4 2" xfId="22129"/>
    <cellStyle name="Normal 10 3 2 4 2 2 5" xfId="15473"/>
    <cellStyle name="Normal 10 3 2 4 2 3" xfId="5582"/>
    <cellStyle name="Normal 10 3 2 4 2 3 2" xfId="8917"/>
    <cellStyle name="Normal 10 3 2 4 2 3 2 2" xfId="19633"/>
    <cellStyle name="Normal 10 3 2 4 2 3 3" xfId="12245"/>
    <cellStyle name="Normal 10 3 2 4 2 3 3 2" xfId="22961"/>
    <cellStyle name="Normal 10 3 2 4 2 3 4" xfId="16305"/>
    <cellStyle name="Normal 10 3 2 4 2 4" xfId="7253"/>
    <cellStyle name="Normal 10 3 2 4 2 4 2" xfId="17969"/>
    <cellStyle name="Normal 10 3 2 4 2 5" xfId="10581"/>
    <cellStyle name="Normal 10 3 2 4 2 5 2" xfId="21297"/>
    <cellStyle name="Normal 10 3 2 4 2 6" xfId="14641"/>
    <cellStyle name="Normal 10 3 2 4 3" xfId="4330"/>
    <cellStyle name="Normal 10 3 2 4 3 2" xfId="5998"/>
    <cellStyle name="Normal 10 3 2 4 3 2 2" xfId="9333"/>
    <cellStyle name="Normal 10 3 2 4 3 2 2 2" xfId="20049"/>
    <cellStyle name="Normal 10 3 2 4 3 2 3" xfId="12661"/>
    <cellStyle name="Normal 10 3 2 4 3 2 3 2" xfId="23377"/>
    <cellStyle name="Normal 10 3 2 4 3 2 4" xfId="16721"/>
    <cellStyle name="Normal 10 3 2 4 3 3" xfId="7669"/>
    <cellStyle name="Normal 10 3 2 4 3 3 2" xfId="18385"/>
    <cellStyle name="Normal 10 3 2 4 3 4" xfId="10997"/>
    <cellStyle name="Normal 10 3 2 4 3 4 2" xfId="21713"/>
    <cellStyle name="Normal 10 3 2 4 3 5" xfId="15057"/>
    <cellStyle name="Normal 10 3 2 4 4" xfId="5166"/>
    <cellStyle name="Normal 10 3 2 4 4 2" xfId="8501"/>
    <cellStyle name="Normal 10 3 2 4 4 2 2" xfId="19217"/>
    <cellStyle name="Normal 10 3 2 4 4 3" xfId="11829"/>
    <cellStyle name="Normal 10 3 2 4 4 3 2" xfId="22545"/>
    <cellStyle name="Normal 10 3 2 4 4 4" xfId="15889"/>
    <cellStyle name="Normal 10 3 2 4 5" xfId="6835"/>
    <cellStyle name="Normal 10 3 2 4 5 2" xfId="17553"/>
    <cellStyle name="Normal 10 3 2 4 6" xfId="10165"/>
    <cellStyle name="Normal 10 3 2 4 6 2" xfId="20881"/>
    <cellStyle name="Normal 10 3 2 4 7" xfId="14223"/>
    <cellStyle name="Normal 10 3 2 5" xfId="3682"/>
    <cellStyle name="Normal 10 3 2 5 2" xfId="4538"/>
    <cellStyle name="Normal 10 3 2 5 2 2" xfId="6206"/>
    <cellStyle name="Normal 10 3 2 5 2 2 2" xfId="9541"/>
    <cellStyle name="Normal 10 3 2 5 2 2 2 2" xfId="20257"/>
    <cellStyle name="Normal 10 3 2 5 2 2 3" xfId="12869"/>
    <cellStyle name="Normal 10 3 2 5 2 2 3 2" xfId="23585"/>
    <cellStyle name="Normal 10 3 2 5 2 2 4" xfId="16929"/>
    <cellStyle name="Normal 10 3 2 5 2 3" xfId="7877"/>
    <cellStyle name="Normal 10 3 2 5 2 3 2" xfId="18593"/>
    <cellStyle name="Normal 10 3 2 5 2 4" xfId="11205"/>
    <cellStyle name="Normal 10 3 2 5 2 4 2" xfId="21921"/>
    <cellStyle name="Normal 10 3 2 5 2 5" xfId="15265"/>
    <cellStyle name="Normal 10 3 2 5 3" xfId="5374"/>
    <cellStyle name="Normal 10 3 2 5 3 2" xfId="8709"/>
    <cellStyle name="Normal 10 3 2 5 3 2 2" xfId="19425"/>
    <cellStyle name="Normal 10 3 2 5 3 3" xfId="12037"/>
    <cellStyle name="Normal 10 3 2 5 3 3 2" xfId="22753"/>
    <cellStyle name="Normal 10 3 2 5 3 4" xfId="16097"/>
    <cellStyle name="Normal 10 3 2 5 4" xfId="7045"/>
    <cellStyle name="Normal 10 3 2 5 4 2" xfId="17761"/>
    <cellStyle name="Normal 10 3 2 5 5" xfId="10373"/>
    <cellStyle name="Normal 10 3 2 5 5 2" xfId="21089"/>
    <cellStyle name="Normal 10 3 2 5 6" xfId="14433"/>
    <cellStyle name="Normal 10 3 2 6" xfId="4120"/>
    <cellStyle name="Normal 10 3 2 6 2" xfId="5790"/>
    <cellStyle name="Normal 10 3 2 6 2 2" xfId="9125"/>
    <cellStyle name="Normal 10 3 2 6 2 2 2" xfId="19841"/>
    <cellStyle name="Normal 10 3 2 6 2 3" xfId="12453"/>
    <cellStyle name="Normal 10 3 2 6 2 3 2" xfId="23169"/>
    <cellStyle name="Normal 10 3 2 6 2 4" xfId="16513"/>
    <cellStyle name="Normal 10 3 2 6 3" xfId="7461"/>
    <cellStyle name="Normal 10 3 2 6 3 2" xfId="18177"/>
    <cellStyle name="Normal 10 3 2 6 4" xfId="10789"/>
    <cellStyle name="Normal 10 3 2 6 4 2" xfId="21505"/>
    <cellStyle name="Normal 10 3 2 6 5" xfId="14849"/>
    <cellStyle name="Normal 10 3 2 7" xfId="4955"/>
    <cellStyle name="Normal 10 3 2 7 2" xfId="8293"/>
    <cellStyle name="Normal 10 3 2 7 2 2" xfId="19009"/>
    <cellStyle name="Normal 10 3 2 7 3" xfId="11621"/>
    <cellStyle name="Normal 10 3 2 7 3 2" xfId="22337"/>
    <cellStyle name="Normal 10 3 2 7 4" xfId="15681"/>
    <cellStyle name="Normal 10 3 2 8" xfId="6625"/>
    <cellStyle name="Normal 10 3 2 8 2" xfId="17345"/>
    <cellStyle name="Normal 10 3 2 9" xfId="9957"/>
    <cellStyle name="Normal 10 3 2 9 2" xfId="20673"/>
    <cellStyle name="Normal 10 3 3" xfId="1065"/>
    <cellStyle name="Normal 10 3 3 2" xfId="1066"/>
    <cellStyle name="Normal 10 3 3 2 2" xfId="2793"/>
    <cellStyle name="Normal 10 3 3 2 2 2" xfId="3911"/>
    <cellStyle name="Normal 10 3 3 2 2 2 2" xfId="4751"/>
    <cellStyle name="Normal 10 3 3 2 2 2 2 2" xfId="6419"/>
    <cellStyle name="Normal 10 3 3 2 2 2 2 2 2" xfId="9754"/>
    <cellStyle name="Normal 10 3 3 2 2 2 2 2 2 2" xfId="20470"/>
    <cellStyle name="Normal 10 3 3 2 2 2 2 2 3" xfId="13082"/>
    <cellStyle name="Normal 10 3 3 2 2 2 2 2 3 2" xfId="23798"/>
    <cellStyle name="Normal 10 3 3 2 2 2 2 2 4" xfId="17142"/>
    <cellStyle name="Normal 10 3 3 2 2 2 2 3" xfId="8090"/>
    <cellStyle name="Normal 10 3 3 2 2 2 2 3 2" xfId="18806"/>
    <cellStyle name="Normal 10 3 3 2 2 2 2 4" xfId="11418"/>
    <cellStyle name="Normal 10 3 3 2 2 2 2 4 2" xfId="22134"/>
    <cellStyle name="Normal 10 3 3 2 2 2 2 5" xfId="15478"/>
    <cellStyle name="Normal 10 3 3 2 2 2 3" xfId="5587"/>
    <cellStyle name="Normal 10 3 3 2 2 2 3 2" xfId="8922"/>
    <cellStyle name="Normal 10 3 3 2 2 2 3 2 2" xfId="19638"/>
    <cellStyle name="Normal 10 3 3 2 2 2 3 3" xfId="12250"/>
    <cellStyle name="Normal 10 3 3 2 2 2 3 3 2" xfId="22966"/>
    <cellStyle name="Normal 10 3 3 2 2 2 3 4" xfId="16310"/>
    <cellStyle name="Normal 10 3 3 2 2 2 4" xfId="7258"/>
    <cellStyle name="Normal 10 3 3 2 2 2 4 2" xfId="17974"/>
    <cellStyle name="Normal 10 3 3 2 2 2 5" xfId="10586"/>
    <cellStyle name="Normal 10 3 3 2 2 2 5 2" xfId="21302"/>
    <cellStyle name="Normal 10 3 3 2 2 2 6" xfId="14646"/>
    <cellStyle name="Normal 10 3 3 2 2 3" xfId="4335"/>
    <cellStyle name="Normal 10 3 3 2 2 3 2" xfId="6003"/>
    <cellStyle name="Normal 10 3 3 2 2 3 2 2" xfId="9338"/>
    <cellStyle name="Normal 10 3 3 2 2 3 2 2 2" xfId="20054"/>
    <cellStyle name="Normal 10 3 3 2 2 3 2 3" xfId="12666"/>
    <cellStyle name="Normal 10 3 3 2 2 3 2 3 2" xfId="23382"/>
    <cellStyle name="Normal 10 3 3 2 2 3 2 4" xfId="16726"/>
    <cellStyle name="Normal 10 3 3 2 2 3 3" xfId="7674"/>
    <cellStyle name="Normal 10 3 3 2 2 3 3 2" xfId="18390"/>
    <cellStyle name="Normal 10 3 3 2 2 3 4" xfId="11002"/>
    <cellStyle name="Normal 10 3 3 2 2 3 4 2" xfId="21718"/>
    <cellStyle name="Normal 10 3 3 2 2 3 5" xfId="15062"/>
    <cellStyle name="Normal 10 3 3 2 2 4" xfId="5171"/>
    <cellStyle name="Normal 10 3 3 2 2 4 2" xfId="8506"/>
    <cellStyle name="Normal 10 3 3 2 2 4 2 2" xfId="19222"/>
    <cellStyle name="Normal 10 3 3 2 2 4 3" xfId="11834"/>
    <cellStyle name="Normal 10 3 3 2 2 4 3 2" xfId="22550"/>
    <cellStyle name="Normal 10 3 3 2 2 4 4" xfId="15894"/>
    <cellStyle name="Normal 10 3 3 2 2 5" xfId="6840"/>
    <cellStyle name="Normal 10 3 3 2 2 5 2" xfId="17558"/>
    <cellStyle name="Normal 10 3 3 2 2 6" xfId="10170"/>
    <cellStyle name="Normal 10 3 3 2 2 6 2" xfId="20886"/>
    <cellStyle name="Normal 10 3 3 2 2 7" xfId="14228"/>
    <cellStyle name="Normal 10 3 3 2 3" xfId="3687"/>
    <cellStyle name="Normal 10 3 3 2 3 2" xfId="4543"/>
    <cellStyle name="Normal 10 3 3 2 3 2 2" xfId="6211"/>
    <cellStyle name="Normal 10 3 3 2 3 2 2 2" xfId="9546"/>
    <cellStyle name="Normal 10 3 3 2 3 2 2 2 2" xfId="20262"/>
    <cellStyle name="Normal 10 3 3 2 3 2 2 3" xfId="12874"/>
    <cellStyle name="Normal 10 3 3 2 3 2 2 3 2" xfId="23590"/>
    <cellStyle name="Normal 10 3 3 2 3 2 2 4" xfId="16934"/>
    <cellStyle name="Normal 10 3 3 2 3 2 3" xfId="7882"/>
    <cellStyle name="Normal 10 3 3 2 3 2 3 2" xfId="18598"/>
    <cellStyle name="Normal 10 3 3 2 3 2 4" xfId="11210"/>
    <cellStyle name="Normal 10 3 3 2 3 2 4 2" xfId="21926"/>
    <cellStyle name="Normal 10 3 3 2 3 2 5" xfId="15270"/>
    <cellStyle name="Normal 10 3 3 2 3 3" xfId="5379"/>
    <cellStyle name="Normal 10 3 3 2 3 3 2" xfId="8714"/>
    <cellStyle name="Normal 10 3 3 2 3 3 2 2" xfId="19430"/>
    <cellStyle name="Normal 10 3 3 2 3 3 3" xfId="12042"/>
    <cellStyle name="Normal 10 3 3 2 3 3 3 2" xfId="22758"/>
    <cellStyle name="Normal 10 3 3 2 3 3 4" xfId="16102"/>
    <cellStyle name="Normal 10 3 3 2 3 4" xfId="7050"/>
    <cellStyle name="Normal 10 3 3 2 3 4 2" xfId="17766"/>
    <cellStyle name="Normal 10 3 3 2 3 5" xfId="10378"/>
    <cellStyle name="Normal 10 3 3 2 3 5 2" xfId="21094"/>
    <cellStyle name="Normal 10 3 3 2 3 6" xfId="14438"/>
    <cellStyle name="Normal 10 3 3 2 4" xfId="4125"/>
    <cellStyle name="Normal 10 3 3 2 4 2" xfId="5795"/>
    <cellStyle name="Normal 10 3 3 2 4 2 2" xfId="9130"/>
    <cellStyle name="Normal 10 3 3 2 4 2 2 2" xfId="19846"/>
    <cellStyle name="Normal 10 3 3 2 4 2 3" xfId="12458"/>
    <cellStyle name="Normal 10 3 3 2 4 2 3 2" xfId="23174"/>
    <cellStyle name="Normal 10 3 3 2 4 2 4" xfId="16518"/>
    <cellStyle name="Normal 10 3 3 2 4 3" xfId="7466"/>
    <cellStyle name="Normal 10 3 3 2 4 3 2" xfId="18182"/>
    <cellStyle name="Normal 10 3 3 2 4 4" xfId="10794"/>
    <cellStyle name="Normal 10 3 3 2 4 4 2" xfId="21510"/>
    <cellStyle name="Normal 10 3 3 2 4 5" xfId="14854"/>
    <cellStyle name="Normal 10 3 3 2 5" xfId="4960"/>
    <cellStyle name="Normal 10 3 3 2 5 2" xfId="8298"/>
    <cellStyle name="Normal 10 3 3 2 5 2 2" xfId="19014"/>
    <cellStyle name="Normal 10 3 3 2 5 3" xfId="11626"/>
    <cellStyle name="Normal 10 3 3 2 5 3 2" xfId="22342"/>
    <cellStyle name="Normal 10 3 3 2 5 4" xfId="15686"/>
    <cellStyle name="Normal 10 3 3 2 6" xfId="6630"/>
    <cellStyle name="Normal 10 3 3 2 6 2" xfId="17350"/>
    <cellStyle name="Normal 10 3 3 2 7" xfId="9962"/>
    <cellStyle name="Normal 10 3 3 2 7 2" xfId="20678"/>
    <cellStyle name="Normal 10 3 3 2 8" xfId="14019"/>
    <cellStyle name="Normal 10 3 3 3" xfId="2792"/>
    <cellStyle name="Normal 10 3 3 3 2" xfId="3910"/>
    <cellStyle name="Normal 10 3 3 3 2 2" xfId="4750"/>
    <cellStyle name="Normal 10 3 3 3 2 2 2" xfId="6418"/>
    <cellStyle name="Normal 10 3 3 3 2 2 2 2" xfId="9753"/>
    <cellStyle name="Normal 10 3 3 3 2 2 2 2 2" xfId="20469"/>
    <cellStyle name="Normal 10 3 3 3 2 2 2 3" xfId="13081"/>
    <cellStyle name="Normal 10 3 3 3 2 2 2 3 2" xfId="23797"/>
    <cellStyle name="Normal 10 3 3 3 2 2 2 4" xfId="17141"/>
    <cellStyle name="Normal 10 3 3 3 2 2 3" xfId="8089"/>
    <cellStyle name="Normal 10 3 3 3 2 2 3 2" xfId="18805"/>
    <cellStyle name="Normal 10 3 3 3 2 2 4" xfId="11417"/>
    <cellStyle name="Normal 10 3 3 3 2 2 4 2" xfId="22133"/>
    <cellStyle name="Normal 10 3 3 3 2 2 5" xfId="15477"/>
    <cellStyle name="Normal 10 3 3 3 2 3" xfId="5586"/>
    <cellStyle name="Normal 10 3 3 3 2 3 2" xfId="8921"/>
    <cellStyle name="Normal 10 3 3 3 2 3 2 2" xfId="19637"/>
    <cellStyle name="Normal 10 3 3 3 2 3 3" xfId="12249"/>
    <cellStyle name="Normal 10 3 3 3 2 3 3 2" xfId="22965"/>
    <cellStyle name="Normal 10 3 3 3 2 3 4" xfId="16309"/>
    <cellStyle name="Normal 10 3 3 3 2 4" xfId="7257"/>
    <cellStyle name="Normal 10 3 3 3 2 4 2" xfId="17973"/>
    <cellStyle name="Normal 10 3 3 3 2 5" xfId="10585"/>
    <cellStyle name="Normal 10 3 3 3 2 5 2" xfId="21301"/>
    <cellStyle name="Normal 10 3 3 3 2 6" xfId="14645"/>
    <cellStyle name="Normal 10 3 3 3 3" xfId="4334"/>
    <cellStyle name="Normal 10 3 3 3 3 2" xfId="6002"/>
    <cellStyle name="Normal 10 3 3 3 3 2 2" xfId="9337"/>
    <cellStyle name="Normal 10 3 3 3 3 2 2 2" xfId="20053"/>
    <cellStyle name="Normal 10 3 3 3 3 2 3" xfId="12665"/>
    <cellStyle name="Normal 10 3 3 3 3 2 3 2" xfId="23381"/>
    <cellStyle name="Normal 10 3 3 3 3 2 4" xfId="16725"/>
    <cellStyle name="Normal 10 3 3 3 3 3" xfId="7673"/>
    <cellStyle name="Normal 10 3 3 3 3 3 2" xfId="18389"/>
    <cellStyle name="Normal 10 3 3 3 3 4" xfId="11001"/>
    <cellStyle name="Normal 10 3 3 3 3 4 2" xfId="21717"/>
    <cellStyle name="Normal 10 3 3 3 3 5" xfId="15061"/>
    <cellStyle name="Normal 10 3 3 3 4" xfId="5170"/>
    <cellStyle name="Normal 10 3 3 3 4 2" xfId="8505"/>
    <cellStyle name="Normal 10 3 3 3 4 2 2" xfId="19221"/>
    <cellStyle name="Normal 10 3 3 3 4 3" xfId="11833"/>
    <cellStyle name="Normal 10 3 3 3 4 3 2" xfId="22549"/>
    <cellStyle name="Normal 10 3 3 3 4 4" xfId="15893"/>
    <cellStyle name="Normal 10 3 3 3 5" xfId="6839"/>
    <cellStyle name="Normal 10 3 3 3 5 2" xfId="17557"/>
    <cellStyle name="Normal 10 3 3 3 6" xfId="10169"/>
    <cellStyle name="Normal 10 3 3 3 6 2" xfId="20885"/>
    <cellStyle name="Normal 10 3 3 3 7" xfId="14227"/>
    <cellStyle name="Normal 10 3 3 4" xfId="3686"/>
    <cellStyle name="Normal 10 3 3 4 2" xfId="4542"/>
    <cellStyle name="Normal 10 3 3 4 2 2" xfId="6210"/>
    <cellStyle name="Normal 10 3 3 4 2 2 2" xfId="9545"/>
    <cellStyle name="Normal 10 3 3 4 2 2 2 2" xfId="20261"/>
    <cellStyle name="Normal 10 3 3 4 2 2 3" xfId="12873"/>
    <cellStyle name="Normal 10 3 3 4 2 2 3 2" xfId="23589"/>
    <cellStyle name="Normal 10 3 3 4 2 2 4" xfId="16933"/>
    <cellStyle name="Normal 10 3 3 4 2 3" xfId="7881"/>
    <cellStyle name="Normal 10 3 3 4 2 3 2" xfId="18597"/>
    <cellStyle name="Normal 10 3 3 4 2 4" xfId="11209"/>
    <cellStyle name="Normal 10 3 3 4 2 4 2" xfId="21925"/>
    <cellStyle name="Normal 10 3 3 4 2 5" xfId="15269"/>
    <cellStyle name="Normal 10 3 3 4 3" xfId="5378"/>
    <cellStyle name="Normal 10 3 3 4 3 2" xfId="8713"/>
    <cellStyle name="Normal 10 3 3 4 3 2 2" xfId="19429"/>
    <cellStyle name="Normal 10 3 3 4 3 3" xfId="12041"/>
    <cellStyle name="Normal 10 3 3 4 3 3 2" xfId="22757"/>
    <cellStyle name="Normal 10 3 3 4 3 4" xfId="16101"/>
    <cellStyle name="Normal 10 3 3 4 4" xfId="7049"/>
    <cellStyle name="Normal 10 3 3 4 4 2" xfId="17765"/>
    <cellStyle name="Normal 10 3 3 4 5" xfId="10377"/>
    <cellStyle name="Normal 10 3 3 4 5 2" xfId="21093"/>
    <cellStyle name="Normal 10 3 3 4 6" xfId="14437"/>
    <cellStyle name="Normal 10 3 3 5" xfId="4124"/>
    <cellStyle name="Normal 10 3 3 5 2" xfId="5794"/>
    <cellStyle name="Normal 10 3 3 5 2 2" xfId="9129"/>
    <cellStyle name="Normal 10 3 3 5 2 2 2" xfId="19845"/>
    <cellStyle name="Normal 10 3 3 5 2 3" xfId="12457"/>
    <cellStyle name="Normal 10 3 3 5 2 3 2" xfId="23173"/>
    <cellStyle name="Normal 10 3 3 5 2 4" xfId="16517"/>
    <cellStyle name="Normal 10 3 3 5 3" xfId="7465"/>
    <cellStyle name="Normal 10 3 3 5 3 2" xfId="18181"/>
    <cellStyle name="Normal 10 3 3 5 4" xfId="10793"/>
    <cellStyle name="Normal 10 3 3 5 4 2" xfId="21509"/>
    <cellStyle name="Normal 10 3 3 5 5" xfId="14853"/>
    <cellStyle name="Normal 10 3 3 6" xfId="4959"/>
    <cellStyle name="Normal 10 3 3 6 2" xfId="8297"/>
    <cellStyle name="Normal 10 3 3 6 2 2" xfId="19013"/>
    <cellStyle name="Normal 10 3 3 6 3" xfId="11625"/>
    <cellStyle name="Normal 10 3 3 6 3 2" xfId="22341"/>
    <cellStyle name="Normal 10 3 3 6 4" xfId="15685"/>
    <cellStyle name="Normal 10 3 3 7" xfId="6629"/>
    <cellStyle name="Normal 10 3 3 7 2" xfId="17349"/>
    <cellStyle name="Normal 10 3 3 8" xfId="9961"/>
    <cellStyle name="Normal 10 3 3 8 2" xfId="20677"/>
    <cellStyle name="Normal 10 3 3 9" xfId="14018"/>
    <cellStyle name="Normal 10 3 4" xfId="1067"/>
    <cellStyle name="Normal 10 3 4 2" xfId="2794"/>
    <cellStyle name="Normal 10 3 4 2 2" xfId="3912"/>
    <cellStyle name="Normal 10 3 4 2 2 2" xfId="4752"/>
    <cellStyle name="Normal 10 3 4 2 2 2 2" xfId="6420"/>
    <cellStyle name="Normal 10 3 4 2 2 2 2 2" xfId="9755"/>
    <cellStyle name="Normal 10 3 4 2 2 2 2 2 2" xfId="20471"/>
    <cellStyle name="Normal 10 3 4 2 2 2 2 3" xfId="13083"/>
    <cellStyle name="Normal 10 3 4 2 2 2 2 3 2" xfId="23799"/>
    <cellStyle name="Normal 10 3 4 2 2 2 2 4" xfId="17143"/>
    <cellStyle name="Normal 10 3 4 2 2 2 3" xfId="8091"/>
    <cellStyle name="Normal 10 3 4 2 2 2 3 2" xfId="18807"/>
    <cellStyle name="Normal 10 3 4 2 2 2 4" xfId="11419"/>
    <cellStyle name="Normal 10 3 4 2 2 2 4 2" xfId="22135"/>
    <cellStyle name="Normal 10 3 4 2 2 2 5" xfId="15479"/>
    <cellStyle name="Normal 10 3 4 2 2 3" xfId="5588"/>
    <cellStyle name="Normal 10 3 4 2 2 3 2" xfId="8923"/>
    <cellStyle name="Normal 10 3 4 2 2 3 2 2" xfId="19639"/>
    <cellStyle name="Normal 10 3 4 2 2 3 3" xfId="12251"/>
    <cellStyle name="Normal 10 3 4 2 2 3 3 2" xfId="22967"/>
    <cellStyle name="Normal 10 3 4 2 2 3 4" xfId="16311"/>
    <cellStyle name="Normal 10 3 4 2 2 4" xfId="7259"/>
    <cellStyle name="Normal 10 3 4 2 2 4 2" xfId="17975"/>
    <cellStyle name="Normal 10 3 4 2 2 5" xfId="10587"/>
    <cellStyle name="Normal 10 3 4 2 2 5 2" xfId="21303"/>
    <cellStyle name="Normal 10 3 4 2 2 6" xfId="14647"/>
    <cellStyle name="Normal 10 3 4 2 3" xfId="4336"/>
    <cellStyle name="Normal 10 3 4 2 3 2" xfId="6004"/>
    <cellStyle name="Normal 10 3 4 2 3 2 2" xfId="9339"/>
    <cellStyle name="Normal 10 3 4 2 3 2 2 2" xfId="20055"/>
    <cellStyle name="Normal 10 3 4 2 3 2 3" xfId="12667"/>
    <cellStyle name="Normal 10 3 4 2 3 2 3 2" xfId="23383"/>
    <cellStyle name="Normal 10 3 4 2 3 2 4" xfId="16727"/>
    <cellStyle name="Normal 10 3 4 2 3 3" xfId="7675"/>
    <cellStyle name="Normal 10 3 4 2 3 3 2" xfId="18391"/>
    <cellStyle name="Normal 10 3 4 2 3 4" xfId="11003"/>
    <cellStyle name="Normal 10 3 4 2 3 4 2" xfId="21719"/>
    <cellStyle name="Normal 10 3 4 2 3 5" xfId="15063"/>
    <cellStyle name="Normal 10 3 4 2 4" xfId="5172"/>
    <cellStyle name="Normal 10 3 4 2 4 2" xfId="8507"/>
    <cellStyle name="Normal 10 3 4 2 4 2 2" xfId="19223"/>
    <cellStyle name="Normal 10 3 4 2 4 3" xfId="11835"/>
    <cellStyle name="Normal 10 3 4 2 4 3 2" xfId="22551"/>
    <cellStyle name="Normal 10 3 4 2 4 4" xfId="15895"/>
    <cellStyle name="Normal 10 3 4 2 5" xfId="6841"/>
    <cellStyle name="Normal 10 3 4 2 5 2" xfId="17559"/>
    <cellStyle name="Normal 10 3 4 2 6" xfId="10171"/>
    <cellStyle name="Normal 10 3 4 2 6 2" xfId="20887"/>
    <cellStyle name="Normal 10 3 4 2 7" xfId="14229"/>
    <cellStyle name="Normal 10 3 4 3" xfId="3688"/>
    <cellStyle name="Normal 10 3 4 3 2" xfId="4544"/>
    <cellStyle name="Normal 10 3 4 3 2 2" xfId="6212"/>
    <cellStyle name="Normal 10 3 4 3 2 2 2" xfId="9547"/>
    <cellStyle name="Normal 10 3 4 3 2 2 2 2" xfId="20263"/>
    <cellStyle name="Normal 10 3 4 3 2 2 3" xfId="12875"/>
    <cellStyle name="Normal 10 3 4 3 2 2 3 2" xfId="23591"/>
    <cellStyle name="Normal 10 3 4 3 2 2 4" xfId="16935"/>
    <cellStyle name="Normal 10 3 4 3 2 3" xfId="7883"/>
    <cellStyle name="Normal 10 3 4 3 2 3 2" xfId="18599"/>
    <cellStyle name="Normal 10 3 4 3 2 4" xfId="11211"/>
    <cellStyle name="Normal 10 3 4 3 2 4 2" xfId="21927"/>
    <cellStyle name="Normal 10 3 4 3 2 5" xfId="15271"/>
    <cellStyle name="Normal 10 3 4 3 3" xfId="5380"/>
    <cellStyle name="Normal 10 3 4 3 3 2" xfId="8715"/>
    <cellStyle name="Normal 10 3 4 3 3 2 2" xfId="19431"/>
    <cellStyle name="Normal 10 3 4 3 3 3" xfId="12043"/>
    <cellStyle name="Normal 10 3 4 3 3 3 2" xfId="22759"/>
    <cellStyle name="Normal 10 3 4 3 3 4" xfId="16103"/>
    <cellStyle name="Normal 10 3 4 3 4" xfId="7051"/>
    <cellStyle name="Normal 10 3 4 3 4 2" xfId="17767"/>
    <cellStyle name="Normal 10 3 4 3 5" xfId="10379"/>
    <cellStyle name="Normal 10 3 4 3 5 2" xfId="21095"/>
    <cellStyle name="Normal 10 3 4 3 6" xfId="14439"/>
    <cellStyle name="Normal 10 3 4 4" xfId="4126"/>
    <cellStyle name="Normal 10 3 4 4 2" xfId="5796"/>
    <cellStyle name="Normal 10 3 4 4 2 2" xfId="9131"/>
    <cellStyle name="Normal 10 3 4 4 2 2 2" xfId="19847"/>
    <cellStyle name="Normal 10 3 4 4 2 3" xfId="12459"/>
    <cellStyle name="Normal 10 3 4 4 2 3 2" xfId="23175"/>
    <cellStyle name="Normal 10 3 4 4 2 4" xfId="16519"/>
    <cellStyle name="Normal 10 3 4 4 3" xfId="7467"/>
    <cellStyle name="Normal 10 3 4 4 3 2" xfId="18183"/>
    <cellStyle name="Normal 10 3 4 4 4" xfId="10795"/>
    <cellStyle name="Normal 10 3 4 4 4 2" xfId="21511"/>
    <cellStyle name="Normal 10 3 4 4 5" xfId="14855"/>
    <cellStyle name="Normal 10 3 4 5" xfId="4961"/>
    <cellStyle name="Normal 10 3 4 5 2" xfId="8299"/>
    <cellStyle name="Normal 10 3 4 5 2 2" xfId="19015"/>
    <cellStyle name="Normal 10 3 4 5 3" xfId="11627"/>
    <cellStyle name="Normal 10 3 4 5 3 2" xfId="22343"/>
    <cellStyle name="Normal 10 3 4 5 4" xfId="15687"/>
    <cellStyle name="Normal 10 3 4 6" xfId="6631"/>
    <cellStyle name="Normal 10 3 4 6 2" xfId="17351"/>
    <cellStyle name="Normal 10 3 4 7" xfId="9963"/>
    <cellStyle name="Normal 10 3 4 7 2" xfId="20679"/>
    <cellStyle name="Normal 10 3 4 8" xfId="14020"/>
    <cellStyle name="Normal 10 3 5" xfId="2787"/>
    <cellStyle name="Normal 10 3 5 2" xfId="3905"/>
    <cellStyle name="Normal 10 3 5 2 2" xfId="4745"/>
    <cellStyle name="Normal 10 3 5 2 2 2" xfId="6413"/>
    <cellStyle name="Normal 10 3 5 2 2 2 2" xfId="9748"/>
    <cellStyle name="Normal 10 3 5 2 2 2 2 2" xfId="20464"/>
    <cellStyle name="Normal 10 3 5 2 2 2 3" xfId="13076"/>
    <cellStyle name="Normal 10 3 5 2 2 2 3 2" xfId="23792"/>
    <cellStyle name="Normal 10 3 5 2 2 2 4" xfId="17136"/>
    <cellStyle name="Normal 10 3 5 2 2 3" xfId="8084"/>
    <cellStyle name="Normal 10 3 5 2 2 3 2" xfId="18800"/>
    <cellStyle name="Normal 10 3 5 2 2 4" xfId="11412"/>
    <cellStyle name="Normal 10 3 5 2 2 4 2" xfId="22128"/>
    <cellStyle name="Normal 10 3 5 2 2 5" xfId="15472"/>
    <cellStyle name="Normal 10 3 5 2 3" xfId="5581"/>
    <cellStyle name="Normal 10 3 5 2 3 2" xfId="8916"/>
    <cellStyle name="Normal 10 3 5 2 3 2 2" xfId="19632"/>
    <cellStyle name="Normal 10 3 5 2 3 3" xfId="12244"/>
    <cellStyle name="Normal 10 3 5 2 3 3 2" xfId="22960"/>
    <cellStyle name="Normal 10 3 5 2 3 4" xfId="16304"/>
    <cellStyle name="Normal 10 3 5 2 4" xfId="7252"/>
    <cellStyle name="Normal 10 3 5 2 4 2" xfId="17968"/>
    <cellStyle name="Normal 10 3 5 2 5" xfId="10580"/>
    <cellStyle name="Normal 10 3 5 2 5 2" xfId="21296"/>
    <cellStyle name="Normal 10 3 5 2 6" xfId="14640"/>
    <cellStyle name="Normal 10 3 5 3" xfId="4329"/>
    <cellStyle name="Normal 10 3 5 3 2" xfId="5997"/>
    <cellStyle name="Normal 10 3 5 3 2 2" xfId="9332"/>
    <cellStyle name="Normal 10 3 5 3 2 2 2" xfId="20048"/>
    <cellStyle name="Normal 10 3 5 3 2 3" xfId="12660"/>
    <cellStyle name="Normal 10 3 5 3 2 3 2" xfId="23376"/>
    <cellStyle name="Normal 10 3 5 3 2 4" xfId="16720"/>
    <cellStyle name="Normal 10 3 5 3 3" xfId="7668"/>
    <cellStyle name="Normal 10 3 5 3 3 2" xfId="18384"/>
    <cellStyle name="Normal 10 3 5 3 4" xfId="10996"/>
    <cellStyle name="Normal 10 3 5 3 4 2" xfId="21712"/>
    <cellStyle name="Normal 10 3 5 3 5" xfId="15056"/>
    <cellStyle name="Normal 10 3 5 4" xfId="5165"/>
    <cellStyle name="Normal 10 3 5 4 2" xfId="8500"/>
    <cellStyle name="Normal 10 3 5 4 2 2" xfId="19216"/>
    <cellStyle name="Normal 10 3 5 4 3" xfId="11828"/>
    <cellStyle name="Normal 10 3 5 4 3 2" xfId="22544"/>
    <cellStyle name="Normal 10 3 5 4 4" xfId="15888"/>
    <cellStyle name="Normal 10 3 5 5" xfId="6834"/>
    <cellStyle name="Normal 10 3 5 5 2" xfId="17552"/>
    <cellStyle name="Normal 10 3 5 6" xfId="10164"/>
    <cellStyle name="Normal 10 3 5 6 2" xfId="20880"/>
    <cellStyle name="Normal 10 3 5 7" xfId="14222"/>
    <cellStyle name="Normal 10 3 6" xfId="3681"/>
    <cellStyle name="Normal 10 3 6 2" xfId="4537"/>
    <cellStyle name="Normal 10 3 6 2 2" xfId="6205"/>
    <cellStyle name="Normal 10 3 6 2 2 2" xfId="9540"/>
    <cellStyle name="Normal 10 3 6 2 2 2 2" xfId="20256"/>
    <cellStyle name="Normal 10 3 6 2 2 3" xfId="12868"/>
    <cellStyle name="Normal 10 3 6 2 2 3 2" xfId="23584"/>
    <cellStyle name="Normal 10 3 6 2 2 4" xfId="16928"/>
    <cellStyle name="Normal 10 3 6 2 3" xfId="7876"/>
    <cellStyle name="Normal 10 3 6 2 3 2" xfId="18592"/>
    <cellStyle name="Normal 10 3 6 2 4" xfId="11204"/>
    <cellStyle name="Normal 10 3 6 2 4 2" xfId="21920"/>
    <cellStyle name="Normal 10 3 6 2 5" xfId="15264"/>
    <cellStyle name="Normal 10 3 6 3" xfId="5373"/>
    <cellStyle name="Normal 10 3 6 3 2" xfId="8708"/>
    <cellStyle name="Normal 10 3 6 3 2 2" xfId="19424"/>
    <cellStyle name="Normal 10 3 6 3 3" xfId="12036"/>
    <cellStyle name="Normal 10 3 6 3 3 2" xfId="22752"/>
    <cellStyle name="Normal 10 3 6 3 4" xfId="16096"/>
    <cellStyle name="Normal 10 3 6 4" xfId="7044"/>
    <cellStyle name="Normal 10 3 6 4 2" xfId="17760"/>
    <cellStyle name="Normal 10 3 6 5" xfId="10372"/>
    <cellStyle name="Normal 10 3 6 5 2" xfId="21088"/>
    <cellStyle name="Normal 10 3 6 6" xfId="14432"/>
    <cellStyle name="Normal 10 3 7" xfId="4119"/>
    <cellStyle name="Normal 10 3 7 2" xfId="5789"/>
    <cellStyle name="Normal 10 3 7 2 2" xfId="9124"/>
    <cellStyle name="Normal 10 3 7 2 2 2" xfId="19840"/>
    <cellStyle name="Normal 10 3 7 2 3" xfId="12452"/>
    <cellStyle name="Normal 10 3 7 2 3 2" xfId="23168"/>
    <cellStyle name="Normal 10 3 7 2 4" xfId="16512"/>
    <cellStyle name="Normal 10 3 7 3" xfId="7460"/>
    <cellStyle name="Normal 10 3 7 3 2" xfId="18176"/>
    <cellStyle name="Normal 10 3 7 4" xfId="10788"/>
    <cellStyle name="Normal 10 3 7 4 2" xfId="21504"/>
    <cellStyle name="Normal 10 3 7 5" xfId="14848"/>
    <cellStyle name="Normal 10 3 8" xfId="4954"/>
    <cellStyle name="Normal 10 3 8 2" xfId="8292"/>
    <cellStyle name="Normal 10 3 8 2 2" xfId="19008"/>
    <cellStyle name="Normal 10 3 8 3" xfId="11620"/>
    <cellStyle name="Normal 10 3 8 3 2" xfId="22336"/>
    <cellStyle name="Normal 10 3 8 4" xfId="15680"/>
    <cellStyle name="Normal 10 3 9" xfId="6624"/>
    <cellStyle name="Normal 10 3 9 2" xfId="17344"/>
    <cellStyle name="Normal 10 4" xfId="1068"/>
    <cellStyle name="Normal 10 4 2" xfId="2795"/>
    <cellStyle name="Normal 10 5" xfId="1069"/>
    <cellStyle name="Normal 10 5 2" xfId="2796"/>
    <cellStyle name="Normal 10 6" xfId="2758"/>
    <cellStyle name="Normal 10_Exhibits" xfId="1070"/>
    <cellStyle name="Normal 100" xfId="1071"/>
    <cellStyle name="Normal 101" xfId="1072"/>
    <cellStyle name="Normal 102" xfId="1073"/>
    <cellStyle name="Normal 103" xfId="1074"/>
    <cellStyle name="Normal 104" xfId="1075"/>
    <cellStyle name="Normal 105" xfId="1076"/>
    <cellStyle name="Normal 106" xfId="1077"/>
    <cellStyle name="Normal 107" xfId="1078"/>
    <cellStyle name="Normal 108" xfId="1079"/>
    <cellStyle name="Normal 109" xfId="1080"/>
    <cellStyle name="Normal 11" xfId="1081"/>
    <cellStyle name="Normal 11 2" xfId="1082"/>
    <cellStyle name="Normal 11 2 2" xfId="2797"/>
    <cellStyle name="Normal 11 3" xfId="1083"/>
    <cellStyle name="Normal 11 3 2" xfId="2798"/>
    <cellStyle name="Normal 11 4" xfId="1084"/>
    <cellStyle name="Normal 11 4 10" xfId="6632"/>
    <cellStyle name="Normal 11 4 10 2" xfId="17352"/>
    <cellStyle name="Normal 11 4 11" xfId="9964"/>
    <cellStyle name="Normal 11 4 11 2" xfId="20680"/>
    <cellStyle name="Normal 11 4 12" xfId="14021"/>
    <cellStyle name="Normal 11 4 2" xfId="1085"/>
    <cellStyle name="Normal 11 4 2 10" xfId="9965"/>
    <cellStyle name="Normal 11 4 2 10 2" xfId="20681"/>
    <cellStyle name="Normal 11 4 2 11" xfId="14022"/>
    <cellStyle name="Normal 11 4 2 2" xfId="1086"/>
    <cellStyle name="Normal 11 4 2 2 10" xfId="14023"/>
    <cellStyle name="Normal 11 4 2 2 2" xfId="1087"/>
    <cellStyle name="Normal 11 4 2 2 2 2" xfId="1088"/>
    <cellStyle name="Normal 11 4 2 2 2 2 2" xfId="2803"/>
    <cellStyle name="Normal 11 4 2 2 2 2 2 2" xfId="3917"/>
    <cellStyle name="Normal 11 4 2 2 2 2 2 2 2" xfId="4757"/>
    <cellStyle name="Normal 11 4 2 2 2 2 2 2 2 2" xfId="6425"/>
    <cellStyle name="Normal 11 4 2 2 2 2 2 2 2 2 2" xfId="9760"/>
    <cellStyle name="Normal 11 4 2 2 2 2 2 2 2 2 2 2" xfId="20476"/>
    <cellStyle name="Normal 11 4 2 2 2 2 2 2 2 2 3" xfId="13088"/>
    <cellStyle name="Normal 11 4 2 2 2 2 2 2 2 2 3 2" xfId="23804"/>
    <cellStyle name="Normal 11 4 2 2 2 2 2 2 2 2 4" xfId="17148"/>
    <cellStyle name="Normal 11 4 2 2 2 2 2 2 2 3" xfId="8096"/>
    <cellStyle name="Normal 11 4 2 2 2 2 2 2 2 3 2" xfId="18812"/>
    <cellStyle name="Normal 11 4 2 2 2 2 2 2 2 4" xfId="11424"/>
    <cellStyle name="Normal 11 4 2 2 2 2 2 2 2 4 2" xfId="22140"/>
    <cellStyle name="Normal 11 4 2 2 2 2 2 2 2 5" xfId="15484"/>
    <cellStyle name="Normal 11 4 2 2 2 2 2 2 3" xfId="5593"/>
    <cellStyle name="Normal 11 4 2 2 2 2 2 2 3 2" xfId="8928"/>
    <cellStyle name="Normal 11 4 2 2 2 2 2 2 3 2 2" xfId="19644"/>
    <cellStyle name="Normal 11 4 2 2 2 2 2 2 3 3" xfId="12256"/>
    <cellStyle name="Normal 11 4 2 2 2 2 2 2 3 3 2" xfId="22972"/>
    <cellStyle name="Normal 11 4 2 2 2 2 2 2 3 4" xfId="16316"/>
    <cellStyle name="Normal 11 4 2 2 2 2 2 2 4" xfId="7264"/>
    <cellStyle name="Normal 11 4 2 2 2 2 2 2 4 2" xfId="17980"/>
    <cellStyle name="Normal 11 4 2 2 2 2 2 2 5" xfId="10592"/>
    <cellStyle name="Normal 11 4 2 2 2 2 2 2 5 2" xfId="21308"/>
    <cellStyle name="Normal 11 4 2 2 2 2 2 2 6" xfId="14652"/>
    <cellStyle name="Normal 11 4 2 2 2 2 2 3" xfId="4341"/>
    <cellStyle name="Normal 11 4 2 2 2 2 2 3 2" xfId="6009"/>
    <cellStyle name="Normal 11 4 2 2 2 2 2 3 2 2" xfId="9344"/>
    <cellStyle name="Normal 11 4 2 2 2 2 2 3 2 2 2" xfId="20060"/>
    <cellStyle name="Normal 11 4 2 2 2 2 2 3 2 3" xfId="12672"/>
    <cellStyle name="Normal 11 4 2 2 2 2 2 3 2 3 2" xfId="23388"/>
    <cellStyle name="Normal 11 4 2 2 2 2 2 3 2 4" xfId="16732"/>
    <cellStyle name="Normal 11 4 2 2 2 2 2 3 3" xfId="7680"/>
    <cellStyle name="Normal 11 4 2 2 2 2 2 3 3 2" xfId="18396"/>
    <cellStyle name="Normal 11 4 2 2 2 2 2 3 4" xfId="11008"/>
    <cellStyle name="Normal 11 4 2 2 2 2 2 3 4 2" xfId="21724"/>
    <cellStyle name="Normal 11 4 2 2 2 2 2 3 5" xfId="15068"/>
    <cellStyle name="Normal 11 4 2 2 2 2 2 4" xfId="5177"/>
    <cellStyle name="Normal 11 4 2 2 2 2 2 4 2" xfId="8512"/>
    <cellStyle name="Normal 11 4 2 2 2 2 2 4 2 2" xfId="19228"/>
    <cellStyle name="Normal 11 4 2 2 2 2 2 4 3" xfId="11840"/>
    <cellStyle name="Normal 11 4 2 2 2 2 2 4 3 2" xfId="22556"/>
    <cellStyle name="Normal 11 4 2 2 2 2 2 4 4" xfId="15900"/>
    <cellStyle name="Normal 11 4 2 2 2 2 2 5" xfId="6846"/>
    <cellStyle name="Normal 11 4 2 2 2 2 2 5 2" xfId="17564"/>
    <cellStyle name="Normal 11 4 2 2 2 2 2 6" xfId="10176"/>
    <cellStyle name="Normal 11 4 2 2 2 2 2 6 2" xfId="20892"/>
    <cellStyle name="Normal 11 4 2 2 2 2 2 7" xfId="14234"/>
    <cellStyle name="Normal 11 4 2 2 2 2 3" xfId="3693"/>
    <cellStyle name="Normal 11 4 2 2 2 2 3 2" xfId="4549"/>
    <cellStyle name="Normal 11 4 2 2 2 2 3 2 2" xfId="6217"/>
    <cellStyle name="Normal 11 4 2 2 2 2 3 2 2 2" xfId="9552"/>
    <cellStyle name="Normal 11 4 2 2 2 2 3 2 2 2 2" xfId="20268"/>
    <cellStyle name="Normal 11 4 2 2 2 2 3 2 2 3" xfId="12880"/>
    <cellStyle name="Normal 11 4 2 2 2 2 3 2 2 3 2" xfId="23596"/>
    <cellStyle name="Normal 11 4 2 2 2 2 3 2 2 4" xfId="16940"/>
    <cellStyle name="Normal 11 4 2 2 2 2 3 2 3" xfId="7888"/>
    <cellStyle name="Normal 11 4 2 2 2 2 3 2 3 2" xfId="18604"/>
    <cellStyle name="Normal 11 4 2 2 2 2 3 2 4" xfId="11216"/>
    <cellStyle name="Normal 11 4 2 2 2 2 3 2 4 2" xfId="21932"/>
    <cellStyle name="Normal 11 4 2 2 2 2 3 2 5" xfId="15276"/>
    <cellStyle name="Normal 11 4 2 2 2 2 3 3" xfId="5385"/>
    <cellStyle name="Normal 11 4 2 2 2 2 3 3 2" xfId="8720"/>
    <cellStyle name="Normal 11 4 2 2 2 2 3 3 2 2" xfId="19436"/>
    <cellStyle name="Normal 11 4 2 2 2 2 3 3 3" xfId="12048"/>
    <cellStyle name="Normal 11 4 2 2 2 2 3 3 3 2" xfId="22764"/>
    <cellStyle name="Normal 11 4 2 2 2 2 3 3 4" xfId="16108"/>
    <cellStyle name="Normal 11 4 2 2 2 2 3 4" xfId="7056"/>
    <cellStyle name="Normal 11 4 2 2 2 2 3 4 2" xfId="17772"/>
    <cellStyle name="Normal 11 4 2 2 2 2 3 5" xfId="10384"/>
    <cellStyle name="Normal 11 4 2 2 2 2 3 5 2" xfId="21100"/>
    <cellStyle name="Normal 11 4 2 2 2 2 3 6" xfId="14444"/>
    <cellStyle name="Normal 11 4 2 2 2 2 4" xfId="4131"/>
    <cellStyle name="Normal 11 4 2 2 2 2 4 2" xfId="5801"/>
    <cellStyle name="Normal 11 4 2 2 2 2 4 2 2" xfId="9136"/>
    <cellStyle name="Normal 11 4 2 2 2 2 4 2 2 2" xfId="19852"/>
    <cellStyle name="Normal 11 4 2 2 2 2 4 2 3" xfId="12464"/>
    <cellStyle name="Normal 11 4 2 2 2 2 4 2 3 2" xfId="23180"/>
    <cellStyle name="Normal 11 4 2 2 2 2 4 2 4" xfId="16524"/>
    <cellStyle name="Normal 11 4 2 2 2 2 4 3" xfId="7472"/>
    <cellStyle name="Normal 11 4 2 2 2 2 4 3 2" xfId="18188"/>
    <cellStyle name="Normal 11 4 2 2 2 2 4 4" xfId="10800"/>
    <cellStyle name="Normal 11 4 2 2 2 2 4 4 2" xfId="21516"/>
    <cellStyle name="Normal 11 4 2 2 2 2 4 5" xfId="14860"/>
    <cellStyle name="Normal 11 4 2 2 2 2 5" xfId="4966"/>
    <cellStyle name="Normal 11 4 2 2 2 2 5 2" xfId="8304"/>
    <cellStyle name="Normal 11 4 2 2 2 2 5 2 2" xfId="19020"/>
    <cellStyle name="Normal 11 4 2 2 2 2 5 3" xfId="11632"/>
    <cellStyle name="Normal 11 4 2 2 2 2 5 3 2" xfId="22348"/>
    <cellStyle name="Normal 11 4 2 2 2 2 5 4" xfId="15692"/>
    <cellStyle name="Normal 11 4 2 2 2 2 6" xfId="6636"/>
    <cellStyle name="Normal 11 4 2 2 2 2 6 2" xfId="17356"/>
    <cellStyle name="Normal 11 4 2 2 2 2 7" xfId="9968"/>
    <cellStyle name="Normal 11 4 2 2 2 2 7 2" xfId="20684"/>
    <cellStyle name="Normal 11 4 2 2 2 2 8" xfId="14025"/>
    <cellStyle name="Normal 11 4 2 2 2 3" xfId="2802"/>
    <cellStyle name="Normal 11 4 2 2 2 3 2" xfId="3916"/>
    <cellStyle name="Normal 11 4 2 2 2 3 2 2" xfId="4756"/>
    <cellStyle name="Normal 11 4 2 2 2 3 2 2 2" xfId="6424"/>
    <cellStyle name="Normal 11 4 2 2 2 3 2 2 2 2" xfId="9759"/>
    <cellStyle name="Normal 11 4 2 2 2 3 2 2 2 2 2" xfId="20475"/>
    <cellStyle name="Normal 11 4 2 2 2 3 2 2 2 3" xfId="13087"/>
    <cellStyle name="Normal 11 4 2 2 2 3 2 2 2 3 2" xfId="23803"/>
    <cellStyle name="Normal 11 4 2 2 2 3 2 2 2 4" xfId="17147"/>
    <cellStyle name="Normal 11 4 2 2 2 3 2 2 3" xfId="8095"/>
    <cellStyle name="Normal 11 4 2 2 2 3 2 2 3 2" xfId="18811"/>
    <cellStyle name="Normal 11 4 2 2 2 3 2 2 4" xfId="11423"/>
    <cellStyle name="Normal 11 4 2 2 2 3 2 2 4 2" xfId="22139"/>
    <cellStyle name="Normal 11 4 2 2 2 3 2 2 5" xfId="15483"/>
    <cellStyle name="Normal 11 4 2 2 2 3 2 3" xfId="5592"/>
    <cellStyle name="Normal 11 4 2 2 2 3 2 3 2" xfId="8927"/>
    <cellStyle name="Normal 11 4 2 2 2 3 2 3 2 2" xfId="19643"/>
    <cellStyle name="Normal 11 4 2 2 2 3 2 3 3" xfId="12255"/>
    <cellStyle name="Normal 11 4 2 2 2 3 2 3 3 2" xfId="22971"/>
    <cellStyle name="Normal 11 4 2 2 2 3 2 3 4" xfId="16315"/>
    <cellStyle name="Normal 11 4 2 2 2 3 2 4" xfId="7263"/>
    <cellStyle name="Normal 11 4 2 2 2 3 2 4 2" xfId="17979"/>
    <cellStyle name="Normal 11 4 2 2 2 3 2 5" xfId="10591"/>
    <cellStyle name="Normal 11 4 2 2 2 3 2 5 2" xfId="21307"/>
    <cellStyle name="Normal 11 4 2 2 2 3 2 6" xfId="14651"/>
    <cellStyle name="Normal 11 4 2 2 2 3 3" xfId="4340"/>
    <cellStyle name="Normal 11 4 2 2 2 3 3 2" xfId="6008"/>
    <cellStyle name="Normal 11 4 2 2 2 3 3 2 2" xfId="9343"/>
    <cellStyle name="Normal 11 4 2 2 2 3 3 2 2 2" xfId="20059"/>
    <cellStyle name="Normal 11 4 2 2 2 3 3 2 3" xfId="12671"/>
    <cellStyle name="Normal 11 4 2 2 2 3 3 2 3 2" xfId="23387"/>
    <cellStyle name="Normal 11 4 2 2 2 3 3 2 4" xfId="16731"/>
    <cellStyle name="Normal 11 4 2 2 2 3 3 3" xfId="7679"/>
    <cellStyle name="Normal 11 4 2 2 2 3 3 3 2" xfId="18395"/>
    <cellStyle name="Normal 11 4 2 2 2 3 3 4" xfId="11007"/>
    <cellStyle name="Normal 11 4 2 2 2 3 3 4 2" xfId="21723"/>
    <cellStyle name="Normal 11 4 2 2 2 3 3 5" xfId="15067"/>
    <cellStyle name="Normal 11 4 2 2 2 3 4" xfId="5176"/>
    <cellStyle name="Normal 11 4 2 2 2 3 4 2" xfId="8511"/>
    <cellStyle name="Normal 11 4 2 2 2 3 4 2 2" xfId="19227"/>
    <cellStyle name="Normal 11 4 2 2 2 3 4 3" xfId="11839"/>
    <cellStyle name="Normal 11 4 2 2 2 3 4 3 2" xfId="22555"/>
    <cellStyle name="Normal 11 4 2 2 2 3 4 4" xfId="15899"/>
    <cellStyle name="Normal 11 4 2 2 2 3 5" xfId="6845"/>
    <cellStyle name="Normal 11 4 2 2 2 3 5 2" xfId="17563"/>
    <cellStyle name="Normal 11 4 2 2 2 3 6" xfId="10175"/>
    <cellStyle name="Normal 11 4 2 2 2 3 6 2" xfId="20891"/>
    <cellStyle name="Normal 11 4 2 2 2 3 7" xfId="14233"/>
    <cellStyle name="Normal 11 4 2 2 2 4" xfId="3692"/>
    <cellStyle name="Normal 11 4 2 2 2 4 2" xfId="4548"/>
    <cellStyle name="Normal 11 4 2 2 2 4 2 2" xfId="6216"/>
    <cellStyle name="Normal 11 4 2 2 2 4 2 2 2" xfId="9551"/>
    <cellStyle name="Normal 11 4 2 2 2 4 2 2 2 2" xfId="20267"/>
    <cellStyle name="Normal 11 4 2 2 2 4 2 2 3" xfId="12879"/>
    <cellStyle name="Normal 11 4 2 2 2 4 2 2 3 2" xfId="23595"/>
    <cellStyle name="Normal 11 4 2 2 2 4 2 2 4" xfId="16939"/>
    <cellStyle name="Normal 11 4 2 2 2 4 2 3" xfId="7887"/>
    <cellStyle name="Normal 11 4 2 2 2 4 2 3 2" xfId="18603"/>
    <cellStyle name="Normal 11 4 2 2 2 4 2 4" xfId="11215"/>
    <cellStyle name="Normal 11 4 2 2 2 4 2 4 2" xfId="21931"/>
    <cellStyle name="Normal 11 4 2 2 2 4 2 5" xfId="15275"/>
    <cellStyle name="Normal 11 4 2 2 2 4 3" xfId="5384"/>
    <cellStyle name="Normal 11 4 2 2 2 4 3 2" xfId="8719"/>
    <cellStyle name="Normal 11 4 2 2 2 4 3 2 2" xfId="19435"/>
    <cellStyle name="Normal 11 4 2 2 2 4 3 3" xfId="12047"/>
    <cellStyle name="Normal 11 4 2 2 2 4 3 3 2" xfId="22763"/>
    <cellStyle name="Normal 11 4 2 2 2 4 3 4" xfId="16107"/>
    <cellStyle name="Normal 11 4 2 2 2 4 4" xfId="7055"/>
    <cellStyle name="Normal 11 4 2 2 2 4 4 2" xfId="17771"/>
    <cellStyle name="Normal 11 4 2 2 2 4 5" xfId="10383"/>
    <cellStyle name="Normal 11 4 2 2 2 4 5 2" xfId="21099"/>
    <cellStyle name="Normal 11 4 2 2 2 4 6" xfId="14443"/>
    <cellStyle name="Normal 11 4 2 2 2 5" xfId="4130"/>
    <cellStyle name="Normal 11 4 2 2 2 5 2" xfId="5800"/>
    <cellStyle name="Normal 11 4 2 2 2 5 2 2" xfId="9135"/>
    <cellStyle name="Normal 11 4 2 2 2 5 2 2 2" xfId="19851"/>
    <cellStyle name="Normal 11 4 2 2 2 5 2 3" xfId="12463"/>
    <cellStyle name="Normal 11 4 2 2 2 5 2 3 2" xfId="23179"/>
    <cellStyle name="Normal 11 4 2 2 2 5 2 4" xfId="16523"/>
    <cellStyle name="Normal 11 4 2 2 2 5 3" xfId="7471"/>
    <cellStyle name="Normal 11 4 2 2 2 5 3 2" xfId="18187"/>
    <cellStyle name="Normal 11 4 2 2 2 5 4" xfId="10799"/>
    <cellStyle name="Normal 11 4 2 2 2 5 4 2" xfId="21515"/>
    <cellStyle name="Normal 11 4 2 2 2 5 5" xfId="14859"/>
    <cellStyle name="Normal 11 4 2 2 2 6" xfId="4965"/>
    <cellStyle name="Normal 11 4 2 2 2 6 2" xfId="8303"/>
    <cellStyle name="Normal 11 4 2 2 2 6 2 2" xfId="19019"/>
    <cellStyle name="Normal 11 4 2 2 2 6 3" xfId="11631"/>
    <cellStyle name="Normal 11 4 2 2 2 6 3 2" xfId="22347"/>
    <cellStyle name="Normal 11 4 2 2 2 6 4" xfId="15691"/>
    <cellStyle name="Normal 11 4 2 2 2 7" xfId="6635"/>
    <cellStyle name="Normal 11 4 2 2 2 7 2" xfId="17355"/>
    <cellStyle name="Normal 11 4 2 2 2 8" xfId="9967"/>
    <cellStyle name="Normal 11 4 2 2 2 8 2" xfId="20683"/>
    <cellStyle name="Normal 11 4 2 2 2 9" xfId="14024"/>
    <cellStyle name="Normal 11 4 2 2 3" xfId="1089"/>
    <cellStyle name="Normal 11 4 2 2 3 2" xfId="2804"/>
    <cellStyle name="Normal 11 4 2 2 3 2 2" xfId="3918"/>
    <cellStyle name="Normal 11 4 2 2 3 2 2 2" xfId="4758"/>
    <cellStyle name="Normal 11 4 2 2 3 2 2 2 2" xfId="6426"/>
    <cellStyle name="Normal 11 4 2 2 3 2 2 2 2 2" xfId="9761"/>
    <cellStyle name="Normal 11 4 2 2 3 2 2 2 2 2 2" xfId="20477"/>
    <cellStyle name="Normal 11 4 2 2 3 2 2 2 2 3" xfId="13089"/>
    <cellStyle name="Normal 11 4 2 2 3 2 2 2 2 3 2" xfId="23805"/>
    <cellStyle name="Normal 11 4 2 2 3 2 2 2 2 4" xfId="17149"/>
    <cellStyle name="Normal 11 4 2 2 3 2 2 2 3" xfId="8097"/>
    <cellStyle name="Normal 11 4 2 2 3 2 2 2 3 2" xfId="18813"/>
    <cellStyle name="Normal 11 4 2 2 3 2 2 2 4" xfId="11425"/>
    <cellStyle name="Normal 11 4 2 2 3 2 2 2 4 2" xfId="22141"/>
    <cellStyle name="Normal 11 4 2 2 3 2 2 2 5" xfId="15485"/>
    <cellStyle name="Normal 11 4 2 2 3 2 2 3" xfId="5594"/>
    <cellStyle name="Normal 11 4 2 2 3 2 2 3 2" xfId="8929"/>
    <cellStyle name="Normal 11 4 2 2 3 2 2 3 2 2" xfId="19645"/>
    <cellStyle name="Normal 11 4 2 2 3 2 2 3 3" xfId="12257"/>
    <cellStyle name="Normal 11 4 2 2 3 2 2 3 3 2" xfId="22973"/>
    <cellStyle name="Normal 11 4 2 2 3 2 2 3 4" xfId="16317"/>
    <cellStyle name="Normal 11 4 2 2 3 2 2 4" xfId="7265"/>
    <cellStyle name="Normal 11 4 2 2 3 2 2 4 2" xfId="17981"/>
    <cellStyle name="Normal 11 4 2 2 3 2 2 5" xfId="10593"/>
    <cellStyle name="Normal 11 4 2 2 3 2 2 5 2" xfId="21309"/>
    <cellStyle name="Normal 11 4 2 2 3 2 2 6" xfId="14653"/>
    <cellStyle name="Normal 11 4 2 2 3 2 3" xfId="4342"/>
    <cellStyle name="Normal 11 4 2 2 3 2 3 2" xfId="6010"/>
    <cellStyle name="Normal 11 4 2 2 3 2 3 2 2" xfId="9345"/>
    <cellStyle name="Normal 11 4 2 2 3 2 3 2 2 2" xfId="20061"/>
    <cellStyle name="Normal 11 4 2 2 3 2 3 2 3" xfId="12673"/>
    <cellStyle name="Normal 11 4 2 2 3 2 3 2 3 2" xfId="23389"/>
    <cellStyle name="Normal 11 4 2 2 3 2 3 2 4" xfId="16733"/>
    <cellStyle name="Normal 11 4 2 2 3 2 3 3" xfId="7681"/>
    <cellStyle name="Normal 11 4 2 2 3 2 3 3 2" xfId="18397"/>
    <cellStyle name="Normal 11 4 2 2 3 2 3 4" xfId="11009"/>
    <cellStyle name="Normal 11 4 2 2 3 2 3 4 2" xfId="21725"/>
    <cellStyle name="Normal 11 4 2 2 3 2 3 5" xfId="15069"/>
    <cellStyle name="Normal 11 4 2 2 3 2 4" xfId="5178"/>
    <cellStyle name="Normal 11 4 2 2 3 2 4 2" xfId="8513"/>
    <cellStyle name="Normal 11 4 2 2 3 2 4 2 2" xfId="19229"/>
    <cellStyle name="Normal 11 4 2 2 3 2 4 3" xfId="11841"/>
    <cellStyle name="Normal 11 4 2 2 3 2 4 3 2" xfId="22557"/>
    <cellStyle name="Normal 11 4 2 2 3 2 4 4" xfId="15901"/>
    <cellStyle name="Normal 11 4 2 2 3 2 5" xfId="6847"/>
    <cellStyle name="Normal 11 4 2 2 3 2 5 2" xfId="17565"/>
    <cellStyle name="Normal 11 4 2 2 3 2 6" xfId="10177"/>
    <cellStyle name="Normal 11 4 2 2 3 2 6 2" xfId="20893"/>
    <cellStyle name="Normal 11 4 2 2 3 2 7" xfId="14235"/>
    <cellStyle name="Normal 11 4 2 2 3 3" xfId="3694"/>
    <cellStyle name="Normal 11 4 2 2 3 3 2" xfId="4550"/>
    <cellStyle name="Normal 11 4 2 2 3 3 2 2" xfId="6218"/>
    <cellStyle name="Normal 11 4 2 2 3 3 2 2 2" xfId="9553"/>
    <cellStyle name="Normal 11 4 2 2 3 3 2 2 2 2" xfId="20269"/>
    <cellStyle name="Normal 11 4 2 2 3 3 2 2 3" xfId="12881"/>
    <cellStyle name="Normal 11 4 2 2 3 3 2 2 3 2" xfId="23597"/>
    <cellStyle name="Normal 11 4 2 2 3 3 2 2 4" xfId="16941"/>
    <cellStyle name="Normal 11 4 2 2 3 3 2 3" xfId="7889"/>
    <cellStyle name="Normal 11 4 2 2 3 3 2 3 2" xfId="18605"/>
    <cellStyle name="Normal 11 4 2 2 3 3 2 4" xfId="11217"/>
    <cellStyle name="Normal 11 4 2 2 3 3 2 4 2" xfId="21933"/>
    <cellStyle name="Normal 11 4 2 2 3 3 2 5" xfId="15277"/>
    <cellStyle name="Normal 11 4 2 2 3 3 3" xfId="5386"/>
    <cellStyle name="Normal 11 4 2 2 3 3 3 2" xfId="8721"/>
    <cellStyle name="Normal 11 4 2 2 3 3 3 2 2" xfId="19437"/>
    <cellStyle name="Normal 11 4 2 2 3 3 3 3" xfId="12049"/>
    <cellStyle name="Normal 11 4 2 2 3 3 3 3 2" xfId="22765"/>
    <cellStyle name="Normal 11 4 2 2 3 3 3 4" xfId="16109"/>
    <cellStyle name="Normal 11 4 2 2 3 3 4" xfId="7057"/>
    <cellStyle name="Normal 11 4 2 2 3 3 4 2" xfId="17773"/>
    <cellStyle name="Normal 11 4 2 2 3 3 5" xfId="10385"/>
    <cellStyle name="Normal 11 4 2 2 3 3 5 2" xfId="21101"/>
    <cellStyle name="Normal 11 4 2 2 3 3 6" xfId="14445"/>
    <cellStyle name="Normal 11 4 2 2 3 4" xfId="4132"/>
    <cellStyle name="Normal 11 4 2 2 3 4 2" xfId="5802"/>
    <cellStyle name="Normal 11 4 2 2 3 4 2 2" xfId="9137"/>
    <cellStyle name="Normal 11 4 2 2 3 4 2 2 2" xfId="19853"/>
    <cellStyle name="Normal 11 4 2 2 3 4 2 3" xfId="12465"/>
    <cellStyle name="Normal 11 4 2 2 3 4 2 3 2" xfId="23181"/>
    <cellStyle name="Normal 11 4 2 2 3 4 2 4" xfId="16525"/>
    <cellStyle name="Normal 11 4 2 2 3 4 3" xfId="7473"/>
    <cellStyle name="Normal 11 4 2 2 3 4 3 2" xfId="18189"/>
    <cellStyle name="Normal 11 4 2 2 3 4 4" xfId="10801"/>
    <cellStyle name="Normal 11 4 2 2 3 4 4 2" xfId="21517"/>
    <cellStyle name="Normal 11 4 2 2 3 4 5" xfId="14861"/>
    <cellStyle name="Normal 11 4 2 2 3 5" xfId="4967"/>
    <cellStyle name="Normal 11 4 2 2 3 5 2" xfId="8305"/>
    <cellStyle name="Normal 11 4 2 2 3 5 2 2" xfId="19021"/>
    <cellStyle name="Normal 11 4 2 2 3 5 3" xfId="11633"/>
    <cellStyle name="Normal 11 4 2 2 3 5 3 2" xfId="22349"/>
    <cellStyle name="Normal 11 4 2 2 3 5 4" xfId="15693"/>
    <cellStyle name="Normal 11 4 2 2 3 6" xfId="6637"/>
    <cellStyle name="Normal 11 4 2 2 3 6 2" xfId="17357"/>
    <cellStyle name="Normal 11 4 2 2 3 7" xfId="9969"/>
    <cellStyle name="Normal 11 4 2 2 3 7 2" xfId="20685"/>
    <cellStyle name="Normal 11 4 2 2 3 8" xfId="14026"/>
    <cellStyle name="Normal 11 4 2 2 4" xfId="2801"/>
    <cellStyle name="Normal 11 4 2 2 4 2" xfId="3915"/>
    <cellStyle name="Normal 11 4 2 2 4 2 2" xfId="4755"/>
    <cellStyle name="Normal 11 4 2 2 4 2 2 2" xfId="6423"/>
    <cellStyle name="Normal 11 4 2 2 4 2 2 2 2" xfId="9758"/>
    <cellStyle name="Normal 11 4 2 2 4 2 2 2 2 2" xfId="20474"/>
    <cellStyle name="Normal 11 4 2 2 4 2 2 2 3" xfId="13086"/>
    <cellStyle name="Normal 11 4 2 2 4 2 2 2 3 2" xfId="23802"/>
    <cellStyle name="Normal 11 4 2 2 4 2 2 2 4" xfId="17146"/>
    <cellStyle name="Normal 11 4 2 2 4 2 2 3" xfId="8094"/>
    <cellStyle name="Normal 11 4 2 2 4 2 2 3 2" xfId="18810"/>
    <cellStyle name="Normal 11 4 2 2 4 2 2 4" xfId="11422"/>
    <cellStyle name="Normal 11 4 2 2 4 2 2 4 2" xfId="22138"/>
    <cellStyle name="Normal 11 4 2 2 4 2 2 5" xfId="15482"/>
    <cellStyle name="Normal 11 4 2 2 4 2 3" xfId="5591"/>
    <cellStyle name="Normal 11 4 2 2 4 2 3 2" xfId="8926"/>
    <cellStyle name="Normal 11 4 2 2 4 2 3 2 2" xfId="19642"/>
    <cellStyle name="Normal 11 4 2 2 4 2 3 3" xfId="12254"/>
    <cellStyle name="Normal 11 4 2 2 4 2 3 3 2" xfId="22970"/>
    <cellStyle name="Normal 11 4 2 2 4 2 3 4" xfId="16314"/>
    <cellStyle name="Normal 11 4 2 2 4 2 4" xfId="7262"/>
    <cellStyle name="Normal 11 4 2 2 4 2 4 2" xfId="17978"/>
    <cellStyle name="Normal 11 4 2 2 4 2 5" xfId="10590"/>
    <cellStyle name="Normal 11 4 2 2 4 2 5 2" xfId="21306"/>
    <cellStyle name="Normal 11 4 2 2 4 2 6" xfId="14650"/>
    <cellStyle name="Normal 11 4 2 2 4 3" xfId="4339"/>
    <cellStyle name="Normal 11 4 2 2 4 3 2" xfId="6007"/>
    <cellStyle name="Normal 11 4 2 2 4 3 2 2" xfId="9342"/>
    <cellStyle name="Normal 11 4 2 2 4 3 2 2 2" xfId="20058"/>
    <cellStyle name="Normal 11 4 2 2 4 3 2 3" xfId="12670"/>
    <cellStyle name="Normal 11 4 2 2 4 3 2 3 2" xfId="23386"/>
    <cellStyle name="Normal 11 4 2 2 4 3 2 4" xfId="16730"/>
    <cellStyle name="Normal 11 4 2 2 4 3 3" xfId="7678"/>
    <cellStyle name="Normal 11 4 2 2 4 3 3 2" xfId="18394"/>
    <cellStyle name="Normal 11 4 2 2 4 3 4" xfId="11006"/>
    <cellStyle name="Normal 11 4 2 2 4 3 4 2" xfId="21722"/>
    <cellStyle name="Normal 11 4 2 2 4 3 5" xfId="15066"/>
    <cellStyle name="Normal 11 4 2 2 4 4" xfId="5175"/>
    <cellStyle name="Normal 11 4 2 2 4 4 2" xfId="8510"/>
    <cellStyle name="Normal 11 4 2 2 4 4 2 2" xfId="19226"/>
    <cellStyle name="Normal 11 4 2 2 4 4 3" xfId="11838"/>
    <cellStyle name="Normal 11 4 2 2 4 4 3 2" xfId="22554"/>
    <cellStyle name="Normal 11 4 2 2 4 4 4" xfId="15898"/>
    <cellStyle name="Normal 11 4 2 2 4 5" xfId="6844"/>
    <cellStyle name="Normal 11 4 2 2 4 5 2" xfId="17562"/>
    <cellStyle name="Normal 11 4 2 2 4 6" xfId="10174"/>
    <cellStyle name="Normal 11 4 2 2 4 6 2" xfId="20890"/>
    <cellStyle name="Normal 11 4 2 2 4 7" xfId="14232"/>
    <cellStyle name="Normal 11 4 2 2 5" xfId="3691"/>
    <cellStyle name="Normal 11 4 2 2 5 2" xfId="4547"/>
    <cellStyle name="Normal 11 4 2 2 5 2 2" xfId="6215"/>
    <cellStyle name="Normal 11 4 2 2 5 2 2 2" xfId="9550"/>
    <cellStyle name="Normal 11 4 2 2 5 2 2 2 2" xfId="20266"/>
    <cellStyle name="Normal 11 4 2 2 5 2 2 3" xfId="12878"/>
    <cellStyle name="Normal 11 4 2 2 5 2 2 3 2" xfId="23594"/>
    <cellStyle name="Normal 11 4 2 2 5 2 2 4" xfId="16938"/>
    <cellStyle name="Normal 11 4 2 2 5 2 3" xfId="7886"/>
    <cellStyle name="Normal 11 4 2 2 5 2 3 2" xfId="18602"/>
    <cellStyle name="Normal 11 4 2 2 5 2 4" xfId="11214"/>
    <cellStyle name="Normal 11 4 2 2 5 2 4 2" xfId="21930"/>
    <cellStyle name="Normal 11 4 2 2 5 2 5" xfId="15274"/>
    <cellStyle name="Normal 11 4 2 2 5 3" xfId="5383"/>
    <cellStyle name="Normal 11 4 2 2 5 3 2" xfId="8718"/>
    <cellStyle name="Normal 11 4 2 2 5 3 2 2" xfId="19434"/>
    <cellStyle name="Normal 11 4 2 2 5 3 3" xfId="12046"/>
    <cellStyle name="Normal 11 4 2 2 5 3 3 2" xfId="22762"/>
    <cellStyle name="Normal 11 4 2 2 5 3 4" xfId="16106"/>
    <cellStyle name="Normal 11 4 2 2 5 4" xfId="7054"/>
    <cellStyle name="Normal 11 4 2 2 5 4 2" xfId="17770"/>
    <cellStyle name="Normal 11 4 2 2 5 5" xfId="10382"/>
    <cellStyle name="Normal 11 4 2 2 5 5 2" xfId="21098"/>
    <cellStyle name="Normal 11 4 2 2 5 6" xfId="14442"/>
    <cellStyle name="Normal 11 4 2 2 6" xfId="4129"/>
    <cellStyle name="Normal 11 4 2 2 6 2" xfId="5799"/>
    <cellStyle name="Normal 11 4 2 2 6 2 2" xfId="9134"/>
    <cellStyle name="Normal 11 4 2 2 6 2 2 2" xfId="19850"/>
    <cellStyle name="Normal 11 4 2 2 6 2 3" xfId="12462"/>
    <cellStyle name="Normal 11 4 2 2 6 2 3 2" xfId="23178"/>
    <cellStyle name="Normal 11 4 2 2 6 2 4" xfId="16522"/>
    <cellStyle name="Normal 11 4 2 2 6 3" xfId="7470"/>
    <cellStyle name="Normal 11 4 2 2 6 3 2" xfId="18186"/>
    <cellStyle name="Normal 11 4 2 2 6 4" xfId="10798"/>
    <cellStyle name="Normal 11 4 2 2 6 4 2" xfId="21514"/>
    <cellStyle name="Normal 11 4 2 2 6 5" xfId="14858"/>
    <cellStyle name="Normal 11 4 2 2 7" xfId="4964"/>
    <cellStyle name="Normal 11 4 2 2 7 2" xfId="8302"/>
    <cellStyle name="Normal 11 4 2 2 7 2 2" xfId="19018"/>
    <cellStyle name="Normal 11 4 2 2 7 3" xfId="11630"/>
    <cellStyle name="Normal 11 4 2 2 7 3 2" xfId="22346"/>
    <cellStyle name="Normal 11 4 2 2 7 4" xfId="15690"/>
    <cellStyle name="Normal 11 4 2 2 8" xfId="6634"/>
    <cellStyle name="Normal 11 4 2 2 8 2" xfId="17354"/>
    <cellStyle name="Normal 11 4 2 2 9" xfId="9966"/>
    <cellStyle name="Normal 11 4 2 2 9 2" xfId="20682"/>
    <cellStyle name="Normal 11 4 2 3" xfId="1090"/>
    <cellStyle name="Normal 11 4 2 3 2" xfId="1091"/>
    <cellStyle name="Normal 11 4 2 3 2 2" xfId="2806"/>
    <cellStyle name="Normal 11 4 2 3 2 2 2" xfId="3920"/>
    <cellStyle name="Normal 11 4 2 3 2 2 2 2" xfId="4760"/>
    <cellStyle name="Normal 11 4 2 3 2 2 2 2 2" xfId="6428"/>
    <cellStyle name="Normal 11 4 2 3 2 2 2 2 2 2" xfId="9763"/>
    <cellStyle name="Normal 11 4 2 3 2 2 2 2 2 2 2" xfId="20479"/>
    <cellStyle name="Normal 11 4 2 3 2 2 2 2 2 3" xfId="13091"/>
    <cellStyle name="Normal 11 4 2 3 2 2 2 2 2 3 2" xfId="23807"/>
    <cellStyle name="Normal 11 4 2 3 2 2 2 2 2 4" xfId="17151"/>
    <cellStyle name="Normal 11 4 2 3 2 2 2 2 3" xfId="8099"/>
    <cellStyle name="Normal 11 4 2 3 2 2 2 2 3 2" xfId="18815"/>
    <cellStyle name="Normal 11 4 2 3 2 2 2 2 4" xfId="11427"/>
    <cellStyle name="Normal 11 4 2 3 2 2 2 2 4 2" xfId="22143"/>
    <cellStyle name="Normal 11 4 2 3 2 2 2 2 5" xfId="15487"/>
    <cellStyle name="Normal 11 4 2 3 2 2 2 3" xfId="5596"/>
    <cellStyle name="Normal 11 4 2 3 2 2 2 3 2" xfId="8931"/>
    <cellStyle name="Normal 11 4 2 3 2 2 2 3 2 2" xfId="19647"/>
    <cellStyle name="Normal 11 4 2 3 2 2 2 3 3" xfId="12259"/>
    <cellStyle name="Normal 11 4 2 3 2 2 2 3 3 2" xfId="22975"/>
    <cellStyle name="Normal 11 4 2 3 2 2 2 3 4" xfId="16319"/>
    <cellStyle name="Normal 11 4 2 3 2 2 2 4" xfId="7267"/>
    <cellStyle name="Normal 11 4 2 3 2 2 2 4 2" xfId="17983"/>
    <cellStyle name="Normal 11 4 2 3 2 2 2 5" xfId="10595"/>
    <cellStyle name="Normal 11 4 2 3 2 2 2 5 2" xfId="21311"/>
    <cellStyle name="Normal 11 4 2 3 2 2 2 6" xfId="14655"/>
    <cellStyle name="Normal 11 4 2 3 2 2 3" xfId="4344"/>
    <cellStyle name="Normal 11 4 2 3 2 2 3 2" xfId="6012"/>
    <cellStyle name="Normal 11 4 2 3 2 2 3 2 2" xfId="9347"/>
    <cellStyle name="Normal 11 4 2 3 2 2 3 2 2 2" xfId="20063"/>
    <cellStyle name="Normal 11 4 2 3 2 2 3 2 3" xfId="12675"/>
    <cellStyle name="Normal 11 4 2 3 2 2 3 2 3 2" xfId="23391"/>
    <cellStyle name="Normal 11 4 2 3 2 2 3 2 4" xfId="16735"/>
    <cellStyle name="Normal 11 4 2 3 2 2 3 3" xfId="7683"/>
    <cellStyle name="Normal 11 4 2 3 2 2 3 3 2" xfId="18399"/>
    <cellStyle name="Normal 11 4 2 3 2 2 3 4" xfId="11011"/>
    <cellStyle name="Normal 11 4 2 3 2 2 3 4 2" xfId="21727"/>
    <cellStyle name="Normal 11 4 2 3 2 2 3 5" xfId="15071"/>
    <cellStyle name="Normal 11 4 2 3 2 2 4" xfId="5180"/>
    <cellStyle name="Normal 11 4 2 3 2 2 4 2" xfId="8515"/>
    <cellStyle name="Normal 11 4 2 3 2 2 4 2 2" xfId="19231"/>
    <cellStyle name="Normal 11 4 2 3 2 2 4 3" xfId="11843"/>
    <cellStyle name="Normal 11 4 2 3 2 2 4 3 2" xfId="22559"/>
    <cellStyle name="Normal 11 4 2 3 2 2 4 4" xfId="15903"/>
    <cellStyle name="Normal 11 4 2 3 2 2 5" xfId="6849"/>
    <cellStyle name="Normal 11 4 2 3 2 2 5 2" xfId="17567"/>
    <cellStyle name="Normal 11 4 2 3 2 2 6" xfId="10179"/>
    <cellStyle name="Normal 11 4 2 3 2 2 6 2" xfId="20895"/>
    <cellStyle name="Normal 11 4 2 3 2 2 7" xfId="14237"/>
    <cellStyle name="Normal 11 4 2 3 2 3" xfId="3696"/>
    <cellStyle name="Normal 11 4 2 3 2 3 2" xfId="4552"/>
    <cellStyle name="Normal 11 4 2 3 2 3 2 2" xfId="6220"/>
    <cellStyle name="Normal 11 4 2 3 2 3 2 2 2" xfId="9555"/>
    <cellStyle name="Normal 11 4 2 3 2 3 2 2 2 2" xfId="20271"/>
    <cellStyle name="Normal 11 4 2 3 2 3 2 2 3" xfId="12883"/>
    <cellStyle name="Normal 11 4 2 3 2 3 2 2 3 2" xfId="23599"/>
    <cellStyle name="Normal 11 4 2 3 2 3 2 2 4" xfId="16943"/>
    <cellStyle name="Normal 11 4 2 3 2 3 2 3" xfId="7891"/>
    <cellStyle name="Normal 11 4 2 3 2 3 2 3 2" xfId="18607"/>
    <cellStyle name="Normal 11 4 2 3 2 3 2 4" xfId="11219"/>
    <cellStyle name="Normal 11 4 2 3 2 3 2 4 2" xfId="21935"/>
    <cellStyle name="Normal 11 4 2 3 2 3 2 5" xfId="15279"/>
    <cellStyle name="Normal 11 4 2 3 2 3 3" xfId="5388"/>
    <cellStyle name="Normal 11 4 2 3 2 3 3 2" xfId="8723"/>
    <cellStyle name="Normal 11 4 2 3 2 3 3 2 2" xfId="19439"/>
    <cellStyle name="Normal 11 4 2 3 2 3 3 3" xfId="12051"/>
    <cellStyle name="Normal 11 4 2 3 2 3 3 3 2" xfId="22767"/>
    <cellStyle name="Normal 11 4 2 3 2 3 3 4" xfId="16111"/>
    <cellStyle name="Normal 11 4 2 3 2 3 4" xfId="7059"/>
    <cellStyle name="Normal 11 4 2 3 2 3 4 2" xfId="17775"/>
    <cellStyle name="Normal 11 4 2 3 2 3 5" xfId="10387"/>
    <cellStyle name="Normal 11 4 2 3 2 3 5 2" xfId="21103"/>
    <cellStyle name="Normal 11 4 2 3 2 3 6" xfId="14447"/>
    <cellStyle name="Normal 11 4 2 3 2 4" xfId="4134"/>
    <cellStyle name="Normal 11 4 2 3 2 4 2" xfId="5804"/>
    <cellStyle name="Normal 11 4 2 3 2 4 2 2" xfId="9139"/>
    <cellStyle name="Normal 11 4 2 3 2 4 2 2 2" xfId="19855"/>
    <cellStyle name="Normal 11 4 2 3 2 4 2 3" xfId="12467"/>
    <cellStyle name="Normal 11 4 2 3 2 4 2 3 2" xfId="23183"/>
    <cellStyle name="Normal 11 4 2 3 2 4 2 4" xfId="16527"/>
    <cellStyle name="Normal 11 4 2 3 2 4 3" xfId="7475"/>
    <cellStyle name="Normal 11 4 2 3 2 4 3 2" xfId="18191"/>
    <cellStyle name="Normal 11 4 2 3 2 4 4" xfId="10803"/>
    <cellStyle name="Normal 11 4 2 3 2 4 4 2" xfId="21519"/>
    <cellStyle name="Normal 11 4 2 3 2 4 5" xfId="14863"/>
    <cellStyle name="Normal 11 4 2 3 2 5" xfId="4969"/>
    <cellStyle name="Normal 11 4 2 3 2 5 2" xfId="8307"/>
    <cellStyle name="Normal 11 4 2 3 2 5 2 2" xfId="19023"/>
    <cellStyle name="Normal 11 4 2 3 2 5 3" xfId="11635"/>
    <cellStyle name="Normal 11 4 2 3 2 5 3 2" xfId="22351"/>
    <cellStyle name="Normal 11 4 2 3 2 5 4" xfId="15695"/>
    <cellStyle name="Normal 11 4 2 3 2 6" xfId="6639"/>
    <cellStyle name="Normal 11 4 2 3 2 6 2" xfId="17359"/>
    <cellStyle name="Normal 11 4 2 3 2 7" xfId="9971"/>
    <cellStyle name="Normal 11 4 2 3 2 7 2" xfId="20687"/>
    <cellStyle name="Normal 11 4 2 3 2 8" xfId="14028"/>
    <cellStyle name="Normal 11 4 2 3 3" xfId="2805"/>
    <cellStyle name="Normal 11 4 2 3 3 2" xfId="3919"/>
    <cellStyle name="Normal 11 4 2 3 3 2 2" xfId="4759"/>
    <cellStyle name="Normal 11 4 2 3 3 2 2 2" xfId="6427"/>
    <cellStyle name="Normal 11 4 2 3 3 2 2 2 2" xfId="9762"/>
    <cellStyle name="Normal 11 4 2 3 3 2 2 2 2 2" xfId="20478"/>
    <cellStyle name="Normal 11 4 2 3 3 2 2 2 3" xfId="13090"/>
    <cellStyle name="Normal 11 4 2 3 3 2 2 2 3 2" xfId="23806"/>
    <cellStyle name="Normal 11 4 2 3 3 2 2 2 4" xfId="17150"/>
    <cellStyle name="Normal 11 4 2 3 3 2 2 3" xfId="8098"/>
    <cellStyle name="Normal 11 4 2 3 3 2 2 3 2" xfId="18814"/>
    <cellStyle name="Normal 11 4 2 3 3 2 2 4" xfId="11426"/>
    <cellStyle name="Normal 11 4 2 3 3 2 2 4 2" xfId="22142"/>
    <cellStyle name="Normal 11 4 2 3 3 2 2 5" xfId="15486"/>
    <cellStyle name="Normal 11 4 2 3 3 2 3" xfId="5595"/>
    <cellStyle name="Normal 11 4 2 3 3 2 3 2" xfId="8930"/>
    <cellStyle name="Normal 11 4 2 3 3 2 3 2 2" xfId="19646"/>
    <cellStyle name="Normal 11 4 2 3 3 2 3 3" xfId="12258"/>
    <cellStyle name="Normal 11 4 2 3 3 2 3 3 2" xfId="22974"/>
    <cellStyle name="Normal 11 4 2 3 3 2 3 4" xfId="16318"/>
    <cellStyle name="Normal 11 4 2 3 3 2 4" xfId="7266"/>
    <cellStyle name="Normal 11 4 2 3 3 2 4 2" xfId="17982"/>
    <cellStyle name="Normal 11 4 2 3 3 2 5" xfId="10594"/>
    <cellStyle name="Normal 11 4 2 3 3 2 5 2" xfId="21310"/>
    <cellStyle name="Normal 11 4 2 3 3 2 6" xfId="14654"/>
    <cellStyle name="Normal 11 4 2 3 3 3" xfId="4343"/>
    <cellStyle name="Normal 11 4 2 3 3 3 2" xfId="6011"/>
    <cellStyle name="Normal 11 4 2 3 3 3 2 2" xfId="9346"/>
    <cellStyle name="Normal 11 4 2 3 3 3 2 2 2" xfId="20062"/>
    <cellStyle name="Normal 11 4 2 3 3 3 2 3" xfId="12674"/>
    <cellStyle name="Normal 11 4 2 3 3 3 2 3 2" xfId="23390"/>
    <cellStyle name="Normal 11 4 2 3 3 3 2 4" xfId="16734"/>
    <cellStyle name="Normal 11 4 2 3 3 3 3" xfId="7682"/>
    <cellStyle name="Normal 11 4 2 3 3 3 3 2" xfId="18398"/>
    <cellStyle name="Normal 11 4 2 3 3 3 4" xfId="11010"/>
    <cellStyle name="Normal 11 4 2 3 3 3 4 2" xfId="21726"/>
    <cellStyle name="Normal 11 4 2 3 3 3 5" xfId="15070"/>
    <cellStyle name="Normal 11 4 2 3 3 4" xfId="5179"/>
    <cellStyle name="Normal 11 4 2 3 3 4 2" xfId="8514"/>
    <cellStyle name="Normal 11 4 2 3 3 4 2 2" xfId="19230"/>
    <cellStyle name="Normal 11 4 2 3 3 4 3" xfId="11842"/>
    <cellStyle name="Normal 11 4 2 3 3 4 3 2" xfId="22558"/>
    <cellStyle name="Normal 11 4 2 3 3 4 4" xfId="15902"/>
    <cellStyle name="Normal 11 4 2 3 3 5" xfId="6848"/>
    <cellStyle name="Normal 11 4 2 3 3 5 2" xfId="17566"/>
    <cellStyle name="Normal 11 4 2 3 3 6" xfId="10178"/>
    <cellStyle name="Normal 11 4 2 3 3 6 2" xfId="20894"/>
    <cellStyle name="Normal 11 4 2 3 3 7" xfId="14236"/>
    <cellStyle name="Normal 11 4 2 3 4" xfId="3695"/>
    <cellStyle name="Normal 11 4 2 3 4 2" xfId="4551"/>
    <cellStyle name="Normal 11 4 2 3 4 2 2" xfId="6219"/>
    <cellStyle name="Normal 11 4 2 3 4 2 2 2" xfId="9554"/>
    <cellStyle name="Normal 11 4 2 3 4 2 2 2 2" xfId="20270"/>
    <cellStyle name="Normal 11 4 2 3 4 2 2 3" xfId="12882"/>
    <cellStyle name="Normal 11 4 2 3 4 2 2 3 2" xfId="23598"/>
    <cellStyle name="Normal 11 4 2 3 4 2 2 4" xfId="16942"/>
    <cellStyle name="Normal 11 4 2 3 4 2 3" xfId="7890"/>
    <cellStyle name="Normal 11 4 2 3 4 2 3 2" xfId="18606"/>
    <cellStyle name="Normal 11 4 2 3 4 2 4" xfId="11218"/>
    <cellStyle name="Normal 11 4 2 3 4 2 4 2" xfId="21934"/>
    <cellStyle name="Normal 11 4 2 3 4 2 5" xfId="15278"/>
    <cellStyle name="Normal 11 4 2 3 4 3" xfId="5387"/>
    <cellStyle name="Normal 11 4 2 3 4 3 2" xfId="8722"/>
    <cellStyle name="Normal 11 4 2 3 4 3 2 2" xfId="19438"/>
    <cellStyle name="Normal 11 4 2 3 4 3 3" xfId="12050"/>
    <cellStyle name="Normal 11 4 2 3 4 3 3 2" xfId="22766"/>
    <cellStyle name="Normal 11 4 2 3 4 3 4" xfId="16110"/>
    <cellStyle name="Normal 11 4 2 3 4 4" xfId="7058"/>
    <cellStyle name="Normal 11 4 2 3 4 4 2" xfId="17774"/>
    <cellStyle name="Normal 11 4 2 3 4 5" xfId="10386"/>
    <cellStyle name="Normal 11 4 2 3 4 5 2" xfId="21102"/>
    <cellStyle name="Normal 11 4 2 3 4 6" xfId="14446"/>
    <cellStyle name="Normal 11 4 2 3 5" xfId="4133"/>
    <cellStyle name="Normal 11 4 2 3 5 2" xfId="5803"/>
    <cellStyle name="Normal 11 4 2 3 5 2 2" xfId="9138"/>
    <cellStyle name="Normal 11 4 2 3 5 2 2 2" xfId="19854"/>
    <cellStyle name="Normal 11 4 2 3 5 2 3" xfId="12466"/>
    <cellStyle name="Normal 11 4 2 3 5 2 3 2" xfId="23182"/>
    <cellStyle name="Normal 11 4 2 3 5 2 4" xfId="16526"/>
    <cellStyle name="Normal 11 4 2 3 5 3" xfId="7474"/>
    <cellStyle name="Normal 11 4 2 3 5 3 2" xfId="18190"/>
    <cellStyle name="Normal 11 4 2 3 5 4" xfId="10802"/>
    <cellStyle name="Normal 11 4 2 3 5 4 2" xfId="21518"/>
    <cellStyle name="Normal 11 4 2 3 5 5" xfId="14862"/>
    <cellStyle name="Normal 11 4 2 3 6" xfId="4968"/>
    <cellStyle name="Normal 11 4 2 3 6 2" xfId="8306"/>
    <cellStyle name="Normal 11 4 2 3 6 2 2" xfId="19022"/>
    <cellStyle name="Normal 11 4 2 3 6 3" xfId="11634"/>
    <cellStyle name="Normal 11 4 2 3 6 3 2" xfId="22350"/>
    <cellStyle name="Normal 11 4 2 3 6 4" xfId="15694"/>
    <cellStyle name="Normal 11 4 2 3 7" xfId="6638"/>
    <cellStyle name="Normal 11 4 2 3 7 2" xfId="17358"/>
    <cellStyle name="Normal 11 4 2 3 8" xfId="9970"/>
    <cellStyle name="Normal 11 4 2 3 8 2" xfId="20686"/>
    <cellStyle name="Normal 11 4 2 3 9" xfId="14027"/>
    <cellStyle name="Normal 11 4 2 4" xfId="1092"/>
    <cellStyle name="Normal 11 4 2 4 2" xfId="2807"/>
    <cellStyle name="Normal 11 4 2 4 2 2" xfId="3921"/>
    <cellStyle name="Normal 11 4 2 4 2 2 2" xfId="4761"/>
    <cellStyle name="Normal 11 4 2 4 2 2 2 2" xfId="6429"/>
    <cellStyle name="Normal 11 4 2 4 2 2 2 2 2" xfId="9764"/>
    <cellStyle name="Normal 11 4 2 4 2 2 2 2 2 2" xfId="20480"/>
    <cellStyle name="Normal 11 4 2 4 2 2 2 2 3" xfId="13092"/>
    <cellStyle name="Normal 11 4 2 4 2 2 2 2 3 2" xfId="23808"/>
    <cellStyle name="Normal 11 4 2 4 2 2 2 2 4" xfId="17152"/>
    <cellStyle name="Normal 11 4 2 4 2 2 2 3" xfId="8100"/>
    <cellStyle name="Normal 11 4 2 4 2 2 2 3 2" xfId="18816"/>
    <cellStyle name="Normal 11 4 2 4 2 2 2 4" xfId="11428"/>
    <cellStyle name="Normal 11 4 2 4 2 2 2 4 2" xfId="22144"/>
    <cellStyle name="Normal 11 4 2 4 2 2 2 5" xfId="15488"/>
    <cellStyle name="Normal 11 4 2 4 2 2 3" xfId="5597"/>
    <cellStyle name="Normal 11 4 2 4 2 2 3 2" xfId="8932"/>
    <cellStyle name="Normal 11 4 2 4 2 2 3 2 2" xfId="19648"/>
    <cellStyle name="Normal 11 4 2 4 2 2 3 3" xfId="12260"/>
    <cellStyle name="Normal 11 4 2 4 2 2 3 3 2" xfId="22976"/>
    <cellStyle name="Normal 11 4 2 4 2 2 3 4" xfId="16320"/>
    <cellStyle name="Normal 11 4 2 4 2 2 4" xfId="7268"/>
    <cellStyle name="Normal 11 4 2 4 2 2 4 2" xfId="17984"/>
    <cellStyle name="Normal 11 4 2 4 2 2 5" xfId="10596"/>
    <cellStyle name="Normal 11 4 2 4 2 2 5 2" xfId="21312"/>
    <cellStyle name="Normal 11 4 2 4 2 2 6" xfId="14656"/>
    <cellStyle name="Normal 11 4 2 4 2 3" xfId="4345"/>
    <cellStyle name="Normal 11 4 2 4 2 3 2" xfId="6013"/>
    <cellStyle name="Normal 11 4 2 4 2 3 2 2" xfId="9348"/>
    <cellStyle name="Normal 11 4 2 4 2 3 2 2 2" xfId="20064"/>
    <cellStyle name="Normal 11 4 2 4 2 3 2 3" xfId="12676"/>
    <cellStyle name="Normal 11 4 2 4 2 3 2 3 2" xfId="23392"/>
    <cellStyle name="Normal 11 4 2 4 2 3 2 4" xfId="16736"/>
    <cellStyle name="Normal 11 4 2 4 2 3 3" xfId="7684"/>
    <cellStyle name="Normal 11 4 2 4 2 3 3 2" xfId="18400"/>
    <cellStyle name="Normal 11 4 2 4 2 3 4" xfId="11012"/>
    <cellStyle name="Normal 11 4 2 4 2 3 4 2" xfId="21728"/>
    <cellStyle name="Normal 11 4 2 4 2 3 5" xfId="15072"/>
    <cellStyle name="Normal 11 4 2 4 2 4" xfId="5181"/>
    <cellStyle name="Normal 11 4 2 4 2 4 2" xfId="8516"/>
    <cellStyle name="Normal 11 4 2 4 2 4 2 2" xfId="19232"/>
    <cellStyle name="Normal 11 4 2 4 2 4 3" xfId="11844"/>
    <cellStyle name="Normal 11 4 2 4 2 4 3 2" xfId="22560"/>
    <cellStyle name="Normal 11 4 2 4 2 4 4" xfId="15904"/>
    <cellStyle name="Normal 11 4 2 4 2 5" xfId="6850"/>
    <cellStyle name="Normal 11 4 2 4 2 5 2" xfId="17568"/>
    <cellStyle name="Normal 11 4 2 4 2 6" xfId="10180"/>
    <cellStyle name="Normal 11 4 2 4 2 6 2" xfId="20896"/>
    <cellStyle name="Normal 11 4 2 4 2 7" xfId="14238"/>
    <cellStyle name="Normal 11 4 2 4 3" xfId="3697"/>
    <cellStyle name="Normal 11 4 2 4 3 2" xfId="4553"/>
    <cellStyle name="Normal 11 4 2 4 3 2 2" xfId="6221"/>
    <cellStyle name="Normal 11 4 2 4 3 2 2 2" xfId="9556"/>
    <cellStyle name="Normal 11 4 2 4 3 2 2 2 2" xfId="20272"/>
    <cellStyle name="Normal 11 4 2 4 3 2 2 3" xfId="12884"/>
    <cellStyle name="Normal 11 4 2 4 3 2 2 3 2" xfId="23600"/>
    <cellStyle name="Normal 11 4 2 4 3 2 2 4" xfId="16944"/>
    <cellStyle name="Normal 11 4 2 4 3 2 3" xfId="7892"/>
    <cellStyle name="Normal 11 4 2 4 3 2 3 2" xfId="18608"/>
    <cellStyle name="Normal 11 4 2 4 3 2 4" xfId="11220"/>
    <cellStyle name="Normal 11 4 2 4 3 2 4 2" xfId="21936"/>
    <cellStyle name="Normal 11 4 2 4 3 2 5" xfId="15280"/>
    <cellStyle name="Normal 11 4 2 4 3 3" xfId="5389"/>
    <cellStyle name="Normal 11 4 2 4 3 3 2" xfId="8724"/>
    <cellStyle name="Normal 11 4 2 4 3 3 2 2" xfId="19440"/>
    <cellStyle name="Normal 11 4 2 4 3 3 3" xfId="12052"/>
    <cellStyle name="Normal 11 4 2 4 3 3 3 2" xfId="22768"/>
    <cellStyle name="Normal 11 4 2 4 3 3 4" xfId="16112"/>
    <cellStyle name="Normal 11 4 2 4 3 4" xfId="7060"/>
    <cellStyle name="Normal 11 4 2 4 3 4 2" xfId="17776"/>
    <cellStyle name="Normal 11 4 2 4 3 5" xfId="10388"/>
    <cellStyle name="Normal 11 4 2 4 3 5 2" xfId="21104"/>
    <cellStyle name="Normal 11 4 2 4 3 6" xfId="14448"/>
    <cellStyle name="Normal 11 4 2 4 4" xfId="4135"/>
    <cellStyle name="Normal 11 4 2 4 4 2" xfId="5805"/>
    <cellStyle name="Normal 11 4 2 4 4 2 2" xfId="9140"/>
    <cellStyle name="Normal 11 4 2 4 4 2 2 2" xfId="19856"/>
    <cellStyle name="Normal 11 4 2 4 4 2 3" xfId="12468"/>
    <cellStyle name="Normal 11 4 2 4 4 2 3 2" xfId="23184"/>
    <cellStyle name="Normal 11 4 2 4 4 2 4" xfId="16528"/>
    <cellStyle name="Normal 11 4 2 4 4 3" xfId="7476"/>
    <cellStyle name="Normal 11 4 2 4 4 3 2" xfId="18192"/>
    <cellStyle name="Normal 11 4 2 4 4 4" xfId="10804"/>
    <cellStyle name="Normal 11 4 2 4 4 4 2" xfId="21520"/>
    <cellStyle name="Normal 11 4 2 4 4 5" xfId="14864"/>
    <cellStyle name="Normal 11 4 2 4 5" xfId="4970"/>
    <cellStyle name="Normal 11 4 2 4 5 2" xfId="8308"/>
    <cellStyle name="Normal 11 4 2 4 5 2 2" xfId="19024"/>
    <cellStyle name="Normal 11 4 2 4 5 3" xfId="11636"/>
    <cellStyle name="Normal 11 4 2 4 5 3 2" xfId="22352"/>
    <cellStyle name="Normal 11 4 2 4 5 4" xfId="15696"/>
    <cellStyle name="Normal 11 4 2 4 6" xfId="6640"/>
    <cellStyle name="Normal 11 4 2 4 6 2" xfId="17360"/>
    <cellStyle name="Normal 11 4 2 4 7" xfId="9972"/>
    <cellStyle name="Normal 11 4 2 4 7 2" xfId="20688"/>
    <cellStyle name="Normal 11 4 2 4 8" xfId="14029"/>
    <cellStyle name="Normal 11 4 2 5" xfId="2800"/>
    <cellStyle name="Normal 11 4 2 5 2" xfId="3914"/>
    <cellStyle name="Normal 11 4 2 5 2 2" xfId="4754"/>
    <cellStyle name="Normal 11 4 2 5 2 2 2" xfId="6422"/>
    <cellStyle name="Normal 11 4 2 5 2 2 2 2" xfId="9757"/>
    <cellStyle name="Normal 11 4 2 5 2 2 2 2 2" xfId="20473"/>
    <cellStyle name="Normal 11 4 2 5 2 2 2 3" xfId="13085"/>
    <cellStyle name="Normal 11 4 2 5 2 2 2 3 2" xfId="23801"/>
    <cellStyle name="Normal 11 4 2 5 2 2 2 4" xfId="17145"/>
    <cellStyle name="Normal 11 4 2 5 2 2 3" xfId="8093"/>
    <cellStyle name="Normal 11 4 2 5 2 2 3 2" xfId="18809"/>
    <cellStyle name="Normal 11 4 2 5 2 2 4" xfId="11421"/>
    <cellStyle name="Normal 11 4 2 5 2 2 4 2" xfId="22137"/>
    <cellStyle name="Normal 11 4 2 5 2 2 5" xfId="15481"/>
    <cellStyle name="Normal 11 4 2 5 2 3" xfId="5590"/>
    <cellStyle name="Normal 11 4 2 5 2 3 2" xfId="8925"/>
    <cellStyle name="Normal 11 4 2 5 2 3 2 2" xfId="19641"/>
    <cellStyle name="Normal 11 4 2 5 2 3 3" xfId="12253"/>
    <cellStyle name="Normal 11 4 2 5 2 3 3 2" xfId="22969"/>
    <cellStyle name="Normal 11 4 2 5 2 3 4" xfId="16313"/>
    <cellStyle name="Normal 11 4 2 5 2 4" xfId="7261"/>
    <cellStyle name="Normal 11 4 2 5 2 4 2" xfId="17977"/>
    <cellStyle name="Normal 11 4 2 5 2 5" xfId="10589"/>
    <cellStyle name="Normal 11 4 2 5 2 5 2" xfId="21305"/>
    <cellStyle name="Normal 11 4 2 5 2 6" xfId="14649"/>
    <cellStyle name="Normal 11 4 2 5 3" xfId="4338"/>
    <cellStyle name="Normal 11 4 2 5 3 2" xfId="6006"/>
    <cellStyle name="Normal 11 4 2 5 3 2 2" xfId="9341"/>
    <cellStyle name="Normal 11 4 2 5 3 2 2 2" xfId="20057"/>
    <cellStyle name="Normal 11 4 2 5 3 2 3" xfId="12669"/>
    <cellStyle name="Normal 11 4 2 5 3 2 3 2" xfId="23385"/>
    <cellStyle name="Normal 11 4 2 5 3 2 4" xfId="16729"/>
    <cellStyle name="Normal 11 4 2 5 3 3" xfId="7677"/>
    <cellStyle name="Normal 11 4 2 5 3 3 2" xfId="18393"/>
    <cellStyle name="Normal 11 4 2 5 3 4" xfId="11005"/>
    <cellStyle name="Normal 11 4 2 5 3 4 2" xfId="21721"/>
    <cellStyle name="Normal 11 4 2 5 3 5" xfId="15065"/>
    <cellStyle name="Normal 11 4 2 5 4" xfId="5174"/>
    <cellStyle name="Normal 11 4 2 5 4 2" xfId="8509"/>
    <cellStyle name="Normal 11 4 2 5 4 2 2" xfId="19225"/>
    <cellStyle name="Normal 11 4 2 5 4 3" xfId="11837"/>
    <cellStyle name="Normal 11 4 2 5 4 3 2" xfId="22553"/>
    <cellStyle name="Normal 11 4 2 5 4 4" xfId="15897"/>
    <cellStyle name="Normal 11 4 2 5 5" xfId="6843"/>
    <cellStyle name="Normal 11 4 2 5 5 2" xfId="17561"/>
    <cellStyle name="Normal 11 4 2 5 6" xfId="10173"/>
    <cellStyle name="Normal 11 4 2 5 6 2" xfId="20889"/>
    <cellStyle name="Normal 11 4 2 5 7" xfId="14231"/>
    <cellStyle name="Normal 11 4 2 6" xfId="3690"/>
    <cellStyle name="Normal 11 4 2 6 2" xfId="4546"/>
    <cellStyle name="Normal 11 4 2 6 2 2" xfId="6214"/>
    <cellStyle name="Normal 11 4 2 6 2 2 2" xfId="9549"/>
    <cellStyle name="Normal 11 4 2 6 2 2 2 2" xfId="20265"/>
    <cellStyle name="Normal 11 4 2 6 2 2 3" xfId="12877"/>
    <cellStyle name="Normal 11 4 2 6 2 2 3 2" xfId="23593"/>
    <cellStyle name="Normal 11 4 2 6 2 2 4" xfId="16937"/>
    <cellStyle name="Normal 11 4 2 6 2 3" xfId="7885"/>
    <cellStyle name="Normal 11 4 2 6 2 3 2" xfId="18601"/>
    <cellStyle name="Normal 11 4 2 6 2 4" xfId="11213"/>
    <cellStyle name="Normal 11 4 2 6 2 4 2" xfId="21929"/>
    <cellStyle name="Normal 11 4 2 6 2 5" xfId="15273"/>
    <cellStyle name="Normal 11 4 2 6 3" xfId="5382"/>
    <cellStyle name="Normal 11 4 2 6 3 2" xfId="8717"/>
    <cellStyle name="Normal 11 4 2 6 3 2 2" xfId="19433"/>
    <cellStyle name="Normal 11 4 2 6 3 3" xfId="12045"/>
    <cellStyle name="Normal 11 4 2 6 3 3 2" xfId="22761"/>
    <cellStyle name="Normal 11 4 2 6 3 4" xfId="16105"/>
    <cellStyle name="Normal 11 4 2 6 4" xfId="7053"/>
    <cellStyle name="Normal 11 4 2 6 4 2" xfId="17769"/>
    <cellStyle name="Normal 11 4 2 6 5" xfId="10381"/>
    <cellStyle name="Normal 11 4 2 6 5 2" xfId="21097"/>
    <cellStyle name="Normal 11 4 2 6 6" xfId="14441"/>
    <cellStyle name="Normal 11 4 2 7" xfId="4128"/>
    <cellStyle name="Normal 11 4 2 7 2" xfId="5798"/>
    <cellStyle name="Normal 11 4 2 7 2 2" xfId="9133"/>
    <cellStyle name="Normal 11 4 2 7 2 2 2" xfId="19849"/>
    <cellStyle name="Normal 11 4 2 7 2 3" xfId="12461"/>
    <cellStyle name="Normal 11 4 2 7 2 3 2" xfId="23177"/>
    <cellStyle name="Normal 11 4 2 7 2 4" xfId="16521"/>
    <cellStyle name="Normal 11 4 2 7 3" xfId="7469"/>
    <cellStyle name="Normal 11 4 2 7 3 2" xfId="18185"/>
    <cellStyle name="Normal 11 4 2 7 4" xfId="10797"/>
    <cellStyle name="Normal 11 4 2 7 4 2" xfId="21513"/>
    <cellStyle name="Normal 11 4 2 7 5" xfId="14857"/>
    <cellStyle name="Normal 11 4 2 8" xfId="4963"/>
    <cellStyle name="Normal 11 4 2 8 2" xfId="8301"/>
    <cellStyle name="Normal 11 4 2 8 2 2" xfId="19017"/>
    <cellStyle name="Normal 11 4 2 8 3" xfId="11629"/>
    <cellStyle name="Normal 11 4 2 8 3 2" xfId="22345"/>
    <cellStyle name="Normal 11 4 2 8 4" xfId="15689"/>
    <cellStyle name="Normal 11 4 2 9" xfId="6633"/>
    <cellStyle name="Normal 11 4 2 9 2" xfId="17353"/>
    <cellStyle name="Normal 11 4 3" xfId="1093"/>
    <cellStyle name="Normal 11 4 3 10" xfId="14030"/>
    <cellStyle name="Normal 11 4 3 2" xfId="1094"/>
    <cellStyle name="Normal 11 4 3 2 2" xfId="1095"/>
    <cellStyle name="Normal 11 4 3 2 2 2" xfId="2810"/>
    <cellStyle name="Normal 11 4 3 2 2 2 2" xfId="3924"/>
    <cellStyle name="Normal 11 4 3 2 2 2 2 2" xfId="4764"/>
    <cellStyle name="Normal 11 4 3 2 2 2 2 2 2" xfId="6432"/>
    <cellStyle name="Normal 11 4 3 2 2 2 2 2 2 2" xfId="9767"/>
    <cellStyle name="Normal 11 4 3 2 2 2 2 2 2 2 2" xfId="20483"/>
    <cellStyle name="Normal 11 4 3 2 2 2 2 2 2 3" xfId="13095"/>
    <cellStyle name="Normal 11 4 3 2 2 2 2 2 2 3 2" xfId="23811"/>
    <cellStyle name="Normal 11 4 3 2 2 2 2 2 2 4" xfId="17155"/>
    <cellStyle name="Normal 11 4 3 2 2 2 2 2 3" xfId="8103"/>
    <cellStyle name="Normal 11 4 3 2 2 2 2 2 3 2" xfId="18819"/>
    <cellStyle name="Normal 11 4 3 2 2 2 2 2 4" xfId="11431"/>
    <cellStyle name="Normal 11 4 3 2 2 2 2 2 4 2" xfId="22147"/>
    <cellStyle name="Normal 11 4 3 2 2 2 2 2 5" xfId="15491"/>
    <cellStyle name="Normal 11 4 3 2 2 2 2 3" xfId="5600"/>
    <cellStyle name="Normal 11 4 3 2 2 2 2 3 2" xfId="8935"/>
    <cellStyle name="Normal 11 4 3 2 2 2 2 3 2 2" xfId="19651"/>
    <cellStyle name="Normal 11 4 3 2 2 2 2 3 3" xfId="12263"/>
    <cellStyle name="Normal 11 4 3 2 2 2 2 3 3 2" xfId="22979"/>
    <cellStyle name="Normal 11 4 3 2 2 2 2 3 4" xfId="16323"/>
    <cellStyle name="Normal 11 4 3 2 2 2 2 4" xfId="7271"/>
    <cellStyle name="Normal 11 4 3 2 2 2 2 4 2" xfId="17987"/>
    <cellStyle name="Normal 11 4 3 2 2 2 2 5" xfId="10599"/>
    <cellStyle name="Normal 11 4 3 2 2 2 2 5 2" xfId="21315"/>
    <cellStyle name="Normal 11 4 3 2 2 2 2 6" xfId="14659"/>
    <cellStyle name="Normal 11 4 3 2 2 2 3" xfId="4348"/>
    <cellStyle name="Normal 11 4 3 2 2 2 3 2" xfId="6016"/>
    <cellStyle name="Normal 11 4 3 2 2 2 3 2 2" xfId="9351"/>
    <cellStyle name="Normal 11 4 3 2 2 2 3 2 2 2" xfId="20067"/>
    <cellStyle name="Normal 11 4 3 2 2 2 3 2 3" xfId="12679"/>
    <cellStyle name="Normal 11 4 3 2 2 2 3 2 3 2" xfId="23395"/>
    <cellStyle name="Normal 11 4 3 2 2 2 3 2 4" xfId="16739"/>
    <cellStyle name="Normal 11 4 3 2 2 2 3 3" xfId="7687"/>
    <cellStyle name="Normal 11 4 3 2 2 2 3 3 2" xfId="18403"/>
    <cellStyle name="Normal 11 4 3 2 2 2 3 4" xfId="11015"/>
    <cellStyle name="Normal 11 4 3 2 2 2 3 4 2" xfId="21731"/>
    <cellStyle name="Normal 11 4 3 2 2 2 3 5" xfId="15075"/>
    <cellStyle name="Normal 11 4 3 2 2 2 4" xfId="5184"/>
    <cellStyle name="Normal 11 4 3 2 2 2 4 2" xfId="8519"/>
    <cellStyle name="Normal 11 4 3 2 2 2 4 2 2" xfId="19235"/>
    <cellStyle name="Normal 11 4 3 2 2 2 4 3" xfId="11847"/>
    <cellStyle name="Normal 11 4 3 2 2 2 4 3 2" xfId="22563"/>
    <cellStyle name="Normal 11 4 3 2 2 2 4 4" xfId="15907"/>
    <cellStyle name="Normal 11 4 3 2 2 2 5" xfId="6853"/>
    <cellStyle name="Normal 11 4 3 2 2 2 5 2" xfId="17571"/>
    <cellStyle name="Normal 11 4 3 2 2 2 6" xfId="10183"/>
    <cellStyle name="Normal 11 4 3 2 2 2 6 2" xfId="20899"/>
    <cellStyle name="Normal 11 4 3 2 2 2 7" xfId="14241"/>
    <cellStyle name="Normal 11 4 3 2 2 3" xfId="3700"/>
    <cellStyle name="Normal 11 4 3 2 2 3 2" xfId="4556"/>
    <cellStyle name="Normal 11 4 3 2 2 3 2 2" xfId="6224"/>
    <cellStyle name="Normal 11 4 3 2 2 3 2 2 2" xfId="9559"/>
    <cellStyle name="Normal 11 4 3 2 2 3 2 2 2 2" xfId="20275"/>
    <cellStyle name="Normal 11 4 3 2 2 3 2 2 3" xfId="12887"/>
    <cellStyle name="Normal 11 4 3 2 2 3 2 2 3 2" xfId="23603"/>
    <cellStyle name="Normal 11 4 3 2 2 3 2 2 4" xfId="16947"/>
    <cellStyle name="Normal 11 4 3 2 2 3 2 3" xfId="7895"/>
    <cellStyle name="Normal 11 4 3 2 2 3 2 3 2" xfId="18611"/>
    <cellStyle name="Normal 11 4 3 2 2 3 2 4" xfId="11223"/>
    <cellStyle name="Normal 11 4 3 2 2 3 2 4 2" xfId="21939"/>
    <cellStyle name="Normal 11 4 3 2 2 3 2 5" xfId="15283"/>
    <cellStyle name="Normal 11 4 3 2 2 3 3" xfId="5392"/>
    <cellStyle name="Normal 11 4 3 2 2 3 3 2" xfId="8727"/>
    <cellStyle name="Normal 11 4 3 2 2 3 3 2 2" xfId="19443"/>
    <cellStyle name="Normal 11 4 3 2 2 3 3 3" xfId="12055"/>
    <cellStyle name="Normal 11 4 3 2 2 3 3 3 2" xfId="22771"/>
    <cellStyle name="Normal 11 4 3 2 2 3 3 4" xfId="16115"/>
    <cellStyle name="Normal 11 4 3 2 2 3 4" xfId="7063"/>
    <cellStyle name="Normal 11 4 3 2 2 3 4 2" xfId="17779"/>
    <cellStyle name="Normal 11 4 3 2 2 3 5" xfId="10391"/>
    <cellStyle name="Normal 11 4 3 2 2 3 5 2" xfId="21107"/>
    <cellStyle name="Normal 11 4 3 2 2 3 6" xfId="14451"/>
    <cellStyle name="Normal 11 4 3 2 2 4" xfId="4138"/>
    <cellStyle name="Normal 11 4 3 2 2 4 2" xfId="5808"/>
    <cellStyle name="Normal 11 4 3 2 2 4 2 2" xfId="9143"/>
    <cellStyle name="Normal 11 4 3 2 2 4 2 2 2" xfId="19859"/>
    <cellStyle name="Normal 11 4 3 2 2 4 2 3" xfId="12471"/>
    <cellStyle name="Normal 11 4 3 2 2 4 2 3 2" xfId="23187"/>
    <cellStyle name="Normal 11 4 3 2 2 4 2 4" xfId="16531"/>
    <cellStyle name="Normal 11 4 3 2 2 4 3" xfId="7479"/>
    <cellStyle name="Normal 11 4 3 2 2 4 3 2" xfId="18195"/>
    <cellStyle name="Normal 11 4 3 2 2 4 4" xfId="10807"/>
    <cellStyle name="Normal 11 4 3 2 2 4 4 2" xfId="21523"/>
    <cellStyle name="Normal 11 4 3 2 2 4 5" xfId="14867"/>
    <cellStyle name="Normal 11 4 3 2 2 5" xfId="4973"/>
    <cellStyle name="Normal 11 4 3 2 2 5 2" xfId="8311"/>
    <cellStyle name="Normal 11 4 3 2 2 5 2 2" xfId="19027"/>
    <cellStyle name="Normal 11 4 3 2 2 5 3" xfId="11639"/>
    <cellStyle name="Normal 11 4 3 2 2 5 3 2" xfId="22355"/>
    <cellStyle name="Normal 11 4 3 2 2 5 4" xfId="15699"/>
    <cellStyle name="Normal 11 4 3 2 2 6" xfId="6643"/>
    <cellStyle name="Normal 11 4 3 2 2 6 2" xfId="17363"/>
    <cellStyle name="Normal 11 4 3 2 2 7" xfId="9975"/>
    <cellStyle name="Normal 11 4 3 2 2 7 2" xfId="20691"/>
    <cellStyle name="Normal 11 4 3 2 2 8" xfId="14032"/>
    <cellStyle name="Normal 11 4 3 2 3" xfId="2809"/>
    <cellStyle name="Normal 11 4 3 2 3 2" xfId="3923"/>
    <cellStyle name="Normal 11 4 3 2 3 2 2" xfId="4763"/>
    <cellStyle name="Normal 11 4 3 2 3 2 2 2" xfId="6431"/>
    <cellStyle name="Normal 11 4 3 2 3 2 2 2 2" xfId="9766"/>
    <cellStyle name="Normal 11 4 3 2 3 2 2 2 2 2" xfId="20482"/>
    <cellStyle name="Normal 11 4 3 2 3 2 2 2 3" xfId="13094"/>
    <cellStyle name="Normal 11 4 3 2 3 2 2 2 3 2" xfId="23810"/>
    <cellStyle name="Normal 11 4 3 2 3 2 2 2 4" xfId="17154"/>
    <cellStyle name="Normal 11 4 3 2 3 2 2 3" xfId="8102"/>
    <cellStyle name="Normal 11 4 3 2 3 2 2 3 2" xfId="18818"/>
    <cellStyle name="Normal 11 4 3 2 3 2 2 4" xfId="11430"/>
    <cellStyle name="Normal 11 4 3 2 3 2 2 4 2" xfId="22146"/>
    <cellStyle name="Normal 11 4 3 2 3 2 2 5" xfId="15490"/>
    <cellStyle name="Normal 11 4 3 2 3 2 3" xfId="5599"/>
    <cellStyle name="Normal 11 4 3 2 3 2 3 2" xfId="8934"/>
    <cellStyle name="Normal 11 4 3 2 3 2 3 2 2" xfId="19650"/>
    <cellStyle name="Normal 11 4 3 2 3 2 3 3" xfId="12262"/>
    <cellStyle name="Normal 11 4 3 2 3 2 3 3 2" xfId="22978"/>
    <cellStyle name="Normal 11 4 3 2 3 2 3 4" xfId="16322"/>
    <cellStyle name="Normal 11 4 3 2 3 2 4" xfId="7270"/>
    <cellStyle name="Normal 11 4 3 2 3 2 4 2" xfId="17986"/>
    <cellStyle name="Normal 11 4 3 2 3 2 5" xfId="10598"/>
    <cellStyle name="Normal 11 4 3 2 3 2 5 2" xfId="21314"/>
    <cellStyle name="Normal 11 4 3 2 3 2 6" xfId="14658"/>
    <cellStyle name="Normal 11 4 3 2 3 3" xfId="4347"/>
    <cellStyle name="Normal 11 4 3 2 3 3 2" xfId="6015"/>
    <cellStyle name="Normal 11 4 3 2 3 3 2 2" xfId="9350"/>
    <cellStyle name="Normal 11 4 3 2 3 3 2 2 2" xfId="20066"/>
    <cellStyle name="Normal 11 4 3 2 3 3 2 3" xfId="12678"/>
    <cellStyle name="Normal 11 4 3 2 3 3 2 3 2" xfId="23394"/>
    <cellStyle name="Normal 11 4 3 2 3 3 2 4" xfId="16738"/>
    <cellStyle name="Normal 11 4 3 2 3 3 3" xfId="7686"/>
    <cellStyle name="Normal 11 4 3 2 3 3 3 2" xfId="18402"/>
    <cellStyle name="Normal 11 4 3 2 3 3 4" xfId="11014"/>
    <cellStyle name="Normal 11 4 3 2 3 3 4 2" xfId="21730"/>
    <cellStyle name="Normal 11 4 3 2 3 3 5" xfId="15074"/>
    <cellStyle name="Normal 11 4 3 2 3 4" xfId="5183"/>
    <cellStyle name="Normal 11 4 3 2 3 4 2" xfId="8518"/>
    <cellStyle name="Normal 11 4 3 2 3 4 2 2" xfId="19234"/>
    <cellStyle name="Normal 11 4 3 2 3 4 3" xfId="11846"/>
    <cellStyle name="Normal 11 4 3 2 3 4 3 2" xfId="22562"/>
    <cellStyle name="Normal 11 4 3 2 3 4 4" xfId="15906"/>
    <cellStyle name="Normal 11 4 3 2 3 5" xfId="6852"/>
    <cellStyle name="Normal 11 4 3 2 3 5 2" xfId="17570"/>
    <cellStyle name="Normal 11 4 3 2 3 6" xfId="10182"/>
    <cellStyle name="Normal 11 4 3 2 3 6 2" xfId="20898"/>
    <cellStyle name="Normal 11 4 3 2 3 7" xfId="14240"/>
    <cellStyle name="Normal 11 4 3 2 4" xfId="3699"/>
    <cellStyle name="Normal 11 4 3 2 4 2" xfId="4555"/>
    <cellStyle name="Normal 11 4 3 2 4 2 2" xfId="6223"/>
    <cellStyle name="Normal 11 4 3 2 4 2 2 2" xfId="9558"/>
    <cellStyle name="Normal 11 4 3 2 4 2 2 2 2" xfId="20274"/>
    <cellStyle name="Normal 11 4 3 2 4 2 2 3" xfId="12886"/>
    <cellStyle name="Normal 11 4 3 2 4 2 2 3 2" xfId="23602"/>
    <cellStyle name="Normal 11 4 3 2 4 2 2 4" xfId="16946"/>
    <cellStyle name="Normal 11 4 3 2 4 2 3" xfId="7894"/>
    <cellStyle name="Normal 11 4 3 2 4 2 3 2" xfId="18610"/>
    <cellStyle name="Normal 11 4 3 2 4 2 4" xfId="11222"/>
    <cellStyle name="Normal 11 4 3 2 4 2 4 2" xfId="21938"/>
    <cellStyle name="Normal 11 4 3 2 4 2 5" xfId="15282"/>
    <cellStyle name="Normal 11 4 3 2 4 3" xfId="5391"/>
    <cellStyle name="Normal 11 4 3 2 4 3 2" xfId="8726"/>
    <cellStyle name="Normal 11 4 3 2 4 3 2 2" xfId="19442"/>
    <cellStyle name="Normal 11 4 3 2 4 3 3" xfId="12054"/>
    <cellStyle name="Normal 11 4 3 2 4 3 3 2" xfId="22770"/>
    <cellStyle name="Normal 11 4 3 2 4 3 4" xfId="16114"/>
    <cellStyle name="Normal 11 4 3 2 4 4" xfId="7062"/>
    <cellStyle name="Normal 11 4 3 2 4 4 2" xfId="17778"/>
    <cellStyle name="Normal 11 4 3 2 4 5" xfId="10390"/>
    <cellStyle name="Normal 11 4 3 2 4 5 2" xfId="21106"/>
    <cellStyle name="Normal 11 4 3 2 4 6" xfId="14450"/>
    <cellStyle name="Normal 11 4 3 2 5" xfId="4137"/>
    <cellStyle name="Normal 11 4 3 2 5 2" xfId="5807"/>
    <cellStyle name="Normal 11 4 3 2 5 2 2" xfId="9142"/>
    <cellStyle name="Normal 11 4 3 2 5 2 2 2" xfId="19858"/>
    <cellStyle name="Normal 11 4 3 2 5 2 3" xfId="12470"/>
    <cellStyle name="Normal 11 4 3 2 5 2 3 2" xfId="23186"/>
    <cellStyle name="Normal 11 4 3 2 5 2 4" xfId="16530"/>
    <cellStyle name="Normal 11 4 3 2 5 3" xfId="7478"/>
    <cellStyle name="Normal 11 4 3 2 5 3 2" xfId="18194"/>
    <cellStyle name="Normal 11 4 3 2 5 4" xfId="10806"/>
    <cellStyle name="Normal 11 4 3 2 5 4 2" xfId="21522"/>
    <cellStyle name="Normal 11 4 3 2 5 5" xfId="14866"/>
    <cellStyle name="Normal 11 4 3 2 6" xfId="4972"/>
    <cellStyle name="Normal 11 4 3 2 6 2" xfId="8310"/>
    <cellStyle name="Normal 11 4 3 2 6 2 2" xfId="19026"/>
    <cellStyle name="Normal 11 4 3 2 6 3" xfId="11638"/>
    <cellStyle name="Normal 11 4 3 2 6 3 2" xfId="22354"/>
    <cellStyle name="Normal 11 4 3 2 6 4" xfId="15698"/>
    <cellStyle name="Normal 11 4 3 2 7" xfId="6642"/>
    <cellStyle name="Normal 11 4 3 2 7 2" xfId="17362"/>
    <cellStyle name="Normal 11 4 3 2 8" xfId="9974"/>
    <cellStyle name="Normal 11 4 3 2 8 2" xfId="20690"/>
    <cellStyle name="Normal 11 4 3 2 9" xfId="14031"/>
    <cellStyle name="Normal 11 4 3 3" xfId="1096"/>
    <cellStyle name="Normal 11 4 3 3 2" xfId="2811"/>
    <cellStyle name="Normal 11 4 3 3 2 2" xfId="3925"/>
    <cellStyle name="Normal 11 4 3 3 2 2 2" xfId="4765"/>
    <cellStyle name="Normal 11 4 3 3 2 2 2 2" xfId="6433"/>
    <cellStyle name="Normal 11 4 3 3 2 2 2 2 2" xfId="9768"/>
    <cellStyle name="Normal 11 4 3 3 2 2 2 2 2 2" xfId="20484"/>
    <cellStyle name="Normal 11 4 3 3 2 2 2 2 3" xfId="13096"/>
    <cellStyle name="Normal 11 4 3 3 2 2 2 2 3 2" xfId="23812"/>
    <cellStyle name="Normal 11 4 3 3 2 2 2 2 4" xfId="17156"/>
    <cellStyle name="Normal 11 4 3 3 2 2 2 3" xfId="8104"/>
    <cellStyle name="Normal 11 4 3 3 2 2 2 3 2" xfId="18820"/>
    <cellStyle name="Normal 11 4 3 3 2 2 2 4" xfId="11432"/>
    <cellStyle name="Normal 11 4 3 3 2 2 2 4 2" xfId="22148"/>
    <cellStyle name="Normal 11 4 3 3 2 2 2 5" xfId="15492"/>
    <cellStyle name="Normal 11 4 3 3 2 2 3" xfId="5601"/>
    <cellStyle name="Normal 11 4 3 3 2 2 3 2" xfId="8936"/>
    <cellStyle name="Normal 11 4 3 3 2 2 3 2 2" xfId="19652"/>
    <cellStyle name="Normal 11 4 3 3 2 2 3 3" xfId="12264"/>
    <cellStyle name="Normal 11 4 3 3 2 2 3 3 2" xfId="22980"/>
    <cellStyle name="Normal 11 4 3 3 2 2 3 4" xfId="16324"/>
    <cellStyle name="Normal 11 4 3 3 2 2 4" xfId="7272"/>
    <cellStyle name="Normal 11 4 3 3 2 2 4 2" xfId="17988"/>
    <cellStyle name="Normal 11 4 3 3 2 2 5" xfId="10600"/>
    <cellStyle name="Normal 11 4 3 3 2 2 5 2" xfId="21316"/>
    <cellStyle name="Normal 11 4 3 3 2 2 6" xfId="14660"/>
    <cellStyle name="Normal 11 4 3 3 2 3" xfId="4349"/>
    <cellStyle name="Normal 11 4 3 3 2 3 2" xfId="6017"/>
    <cellStyle name="Normal 11 4 3 3 2 3 2 2" xfId="9352"/>
    <cellStyle name="Normal 11 4 3 3 2 3 2 2 2" xfId="20068"/>
    <cellStyle name="Normal 11 4 3 3 2 3 2 3" xfId="12680"/>
    <cellStyle name="Normal 11 4 3 3 2 3 2 3 2" xfId="23396"/>
    <cellStyle name="Normal 11 4 3 3 2 3 2 4" xfId="16740"/>
    <cellStyle name="Normal 11 4 3 3 2 3 3" xfId="7688"/>
    <cellStyle name="Normal 11 4 3 3 2 3 3 2" xfId="18404"/>
    <cellStyle name="Normal 11 4 3 3 2 3 4" xfId="11016"/>
    <cellStyle name="Normal 11 4 3 3 2 3 4 2" xfId="21732"/>
    <cellStyle name="Normal 11 4 3 3 2 3 5" xfId="15076"/>
    <cellStyle name="Normal 11 4 3 3 2 4" xfId="5185"/>
    <cellStyle name="Normal 11 4 3 3 2 4 2" xfId="8520"/>
    <cellStyle name="Normal 11 4 3 3 2 4 2 2" xfId="19236"/>
    <cellStyle name="Normal 11 4 3 3 2 4 3" xfId="11848"/>
    <cellStyle name="Normal 11 4 3 3 2 4 3 2" xfId="22564"/>
    <cellStyle name="Normal 11 4 3 3 2 4 4" xfId="15908"/>
    <cellStyle name="Normal 11 4 3 3 2 5" xfId="6854"/>
    <cellStyle name="Normal 11 4 3 3 2 5 2" xfId="17572"/>
    <cellStyle name="Normal 11 4 3 3 2 6" xfId="10184"/>
    <cellStyle name="Normal 11 4 3 3 2 6 2" xfId="20900"/>
    <cellStyle name="Normal 11 4 3 3 2 7" xfId="14242"/>
    <cellStyle name="Normal 11 4 3 3 3" xfId="3701"/>
    <cellStyle name="Normal 11 4 3 3 3 2" xfId="4557"/>
    <cellStyle name="Normal 11 4 3 3 3 2 2" xfId="6225"/>
    <cellStyle name="Normal 11 4 3 3 3 2 2 2" xfId="9560"/>
    <cellStyle name="Normal 11 4 3 3 3 2 2 2 2" xfId="20276"/>
    <cellStyle name="Normal 11 4 3 3 3 2 2 3" xfId="12888"/>
    <cellStyle name="Normal 11 4 3 3 3 2 2 3 2" xfId="23604"/>
    <cellStyle name="Normal 11 4 3 3 3 2 2 4" xfId="16948"/>
    <cellStyle name="Normal 11 4 3 3 3 2 3" xfId="7896"/>
    <cellStyle name="Normal 11 4 3 3 3 2 3 2" xfId="18612"/>
    <cellStyle name="Normal 11 4 3 3 3 2 4" xfId="11224"/>
    <cellStyle name="Normal 11 4 3 3 3 2 4 2" xfId="21940"/>
    <cellStyle name="Normal 11 4 3 3 3 2 5" xfId="15284"/>
    <cellStyle name="Normal 11 4 3 3 3 3" xfId="5393"/>
    <cellStyle name="Normal 11 4 3 3 3 3 2" xfId="8728"/>
    <cellStyle name="Normal 11 4 3 3 3 3 2 2" xfId="19444"/>
    <cellStyle name="Normal 11 4 3 3 3 3 3" xfId="12056"/>
    <cellStyle name="Normal 11 4 3 3 3 3 3 2" xfId="22772"/>
    <cellStyle name="Normal 11 4 3 3 3 3 4" xfId="16116"/>
    <cellStyle name="Normal 11 4 3 3 3 4" xfId="7064"/>
    <cellStyle name="Normal 11 4 3 3 3 4 2" xfId="17780"/>
    <cellStyle name="Normal 11 4 3 3 3 5" xfId="10392"/>
    <cellStyle name="Normal 11 4 3 3 3 5 2" xfId="21108"/>
    <cellStyle name="Normal 11 4 3 3 3 6" xfId="14452"/>
    <cellStyle name="Normal 11 4 3 3 4" xfId="4139"/>
    <cellStyle name="Normal 11 4 3 3 4 2" xfId="5809"/>
    <cellStyle name="Normal 11 4 3 3 4 2 2" xfId="9144"/>
    <cellStyle name="Normal 11 4 3 3 4 2 2 2" xfId="19860"/>
    <cellStyle name="Normal 11 4 3 3 4 2 3" xfId="12472"/>
    <cellStyle name="Normal 11 4 3 3 4 2 3 2" xfId="23188"/>
    <cellStyle name="Normal 11 4 3 3 4 2 4" xfId="16532"/>
    <cellStyle name="Normal 11 4 3 3 4 3" xfId="7480"/>
    <cellStyle name="Normal 11 4 3 3 4 3 2" xfId="18196"/>
    <cellStyle name="Normal 11 4 3 3 4 4" xfId="10808"/>
    <cellStyle name="Normal 11 4 3 3 4 4 2" xfId="21524"/>
    <cellStyle name="Normal 11 4 3 3 4 5" xfId="14868"/>
    <cellStyle name="Normal 11 4 3 3 5" xfId="4974"/>
    <cellStyle name="Normal 11 4 3 3 5 2" xfId="8312"/>
    <cellStyle name="Normal 11 4 3 3 5 2 2" xfId="19028"/>
    <cellStyle name="Normal 11 4 3 3 5 3" xfId="11640"/>
    <cellStyle name="Normal 11 4 3 3 5 3 2" xfId="22356"/>
    <cellStyle name="Normal 11 4 3 3 5 4" xfId="15700"/>
    <cellStyle name="Normal 11 4 3 3 6" xfId="6644"/>
    <cellStyle name="Normal 11 4 3 3 6 2" xfId="17364"/>
    <cellStyle name="Normal 11 4 3 3 7" xfId="9976"/>
    <cellStyle name="Normal 11 4 3 3 7 2" xfId="20692"/>
    <cellStyle name="Normal 11 4 3 3 8" xfId="14033"/>
    <cellStyle name="Normal 11 4 3 4" xfId="2808"/>
    <cellStyle name="Normal 11 4 3 4 2" xfId="3922"/>
    <cellStyle name="Normal 11 4 3 4 2 2" xfId="4762"/>
    <cellStyle name="Normal 11 4 3 4 2 2 2" xfId="6430"/>
    <cellStyle name="Normal 11 4 3 4 2 2 2 2" xfId="9765"/>
    <cellStyle name="Normal 11 4 3 4 2 2 2 2 2" xfId="20481"/>
    <cellStyle name="Normal 11 4 3 4 2 2 2 3" xfId="13093"/>
    <cellStyle name="Normal 11 4 3 4 2 2 2 3 2" xfId="23809"/>
    <cellStyle name="Normal 11 4 3 4 2 2 2 4" xfId="17153"/>
    <cellStyle name="Normal 11 4 3 4 2 2 3" xfId="8101"/>
    <cellStyle name="Normal 11 4 3 4 2 2 3 2" xfId="18817"/>
    <cellStyle name="Normal 11 4 3 4 2 2 4" xfId="11429"/>
    <cellStyle name="Normal 11 4 3 4 2 2 4 2" xfId="22145"/>
    <cellStyle name="Normal 11 4 3 4 2 2 5" xfId="15489"/>
    <cellStyle name="Normal 11 4 3 4 2 3" xfId="5598"/>
    <cellStyle name="Normal 11 4 3 4 2 3 2" xfId="8933"/>
    <cellStyle name="Normal 11 4 3 4 2 3 2 2" xfId="19649"/>
    <cellStyle name="Normal 11 4 3 4 2 3 3" xfId="12261"/>
    <cellStyle name="Normal 11 4 3 4 2 3 3 2" xfId="22977"/>
    <cellStyle name="Normal 11 4 3 4 2 3 4" xfId="16321"/>
    <cellStyle name="Normal 11 4 3 4 2 4" xfId="7269"/>
    <cellStyle name="Normal 11 4 3 4 2 4 2" xfId="17985"/>
    <cellStyle name="Normal 11 4 3 4 2 5" xfId="10597"/>
    <cellStyle name="Normal 11 4 3 4 2 5 2" xfId="21313"/>
    <cellStyle name="Normal 11 4 3 4 2 6" xfId="14657"/>
    <cellStyle name="Normal 11 4 3 4 3" xfId="4346"/>
    <cellStyle name="Normal 11 4 3 4 3 2" xfId="6014"/>
    <cellStyle name="Normal 11 4 3 4 3 2 2" xfId="9349"/>
    <cellStyle name="Normal 11 4 3 4 3 2 2 2" xfId="20065"/>
    <cellStyle name="Normal 11 4 3 4 3 2 3" xfId="12677"/>
    <cellStyle name="Normal 11 4 3 4 3 2 3 2" xfId="23393"/>
    <cellStyle name="Normal 11 4 3 4 3 2 4" xfId="16737"/>
    <cellStyle name="Normal 11 4 3 4 3 3" xfId="7685"/>
    <cellStyle name="Normal 11 4 3 4 3 3 2" xfId="18401"/>
    <cellStyle name="Normal 11 4 3 4 3 4" xfId="11013"/>
    <cellStyle name="Normal 11 4 3 4 3 4 2" xfId="21729"/>
    <cellStyle name="Normal 11 4 3 4 3 5" xfId="15073"/>
    <cellStyle name="Normal 11 4 3 4 4" xfId="5182"/>
    <cellStyle name="Normal 11 4 3 4 4 2" xfId="8517"/>
    <cellStyle name="Normal 11 4 3 4 4 2 2" xfId="19233"/>
    <cellStyle name="Normal 11 4 3 4 4 3" xfId="11845"/>
    <cellStyle name="Normal 11 4 3 4 4 3 2" xfId="22561"/>
    <cellStyle name="Normal 11 4 3 4 4 4" xfId="15905"/>
    <cellStyle name="Normal 11 4 3 4 5" xfId="6851"/>
    <cellStyle name="Normal 11 4 3 4 5 2" xfId="17569"/>
    <cellStyle name="Normal 11 4 3 4 6" xfId="10181"/>
    <cellStyle name="Normal 11 4 3 4 6 2" xfId="20897"/>
    <cellStyle name="Normal 11 4 3 4 7" xfId="14239"/>
    <cellStyle name="Normal 11 4 3 5" xfId="3698"/>
    <cellStyle name="Normal 11 4 3 5 2" xfId="4554"/>
    <cellStyle name="Normal 11 4 3 5 2 2" xfId="6222"/>
    <cellStyle name="Normal 11 4 3 5 2 2 2" xfId="9557"/>
    <cellStyle name="Normal 11 4 3 5 2 2 2 2" xfId="20273"/>
    <cellStyle name="Normal 11 4 3 5 2 2 3" xfId="12885"/>
    <cellStyle name="Normal 11 4 3 5 2 2 3 2" xfId="23601"/>
    <cellStyle name="Normal 11 4 3 5 2 2 4" xfId="16945"/>
    <cellStyle name="Normal 11 4 3 5 2 3" xfId="7893"/>
    <cellStyle name="Normal 11 4 3 5 2 3 2" xfId="18609"/>
    <cellStyle name="Normal 11 4 3 5 2 4" xfId="11221"/>
    <cellStyle name="Normal 11 4 3 5 2 4 2" xfId="21937"/>
    <cellStyle name="Normal 11 4 3 5 2 5" xfId="15281"/>
    <cellStyle name="Normal 11 4 3 5 3" xfId="5390"/>
    <cellStyle name="Normal 11 4 3 5 3 2" xfId="8725"/>
    <cellStyle name="Normal 11 4 3 5 3 2 2" xfId="19441"/>
    <cellStyle name="Normal 11 4 3 5 3 3" xfId="12053"/>
    <cellStyle name="Normal 11 4 3 5 3 3 2" xfId="22769"/>
    <cellStyle name="Normal 11 4 3 5 3 4" xfId="16113"/>
    <cellStyle name="Normal 11 4 3 5 4" xfId="7061"/>
    <cellStyle name="Normal 11 4 3 5 4 2" xfId="17777"/>
    <cellStyle name="Normal 11 4 3 5 5" xfId="10389"/>
    <cellStyle name="Normal 11 4 3 5 5 2" xfId="21105"/>
    <cellStyle name="Normal 11 4 3 5 6" xfId="14449"/>
    <cellStyle name="Normal 11 4 3 6" xfId="4136"/>
    <cellStyle name="Normal 11 4 3 6 2" xfId="5806"/>
    <cellStyle name="Normal 11 4 3 6 2 2" xfId="9141"/>
    <cellStyle name="Normal 11 4 3 6 2 2 2" xfId="19857"/>
    <cellStyle name="Normal 11 4 3 6 2 3" xfId="12469"/>
    <cellStyle name="Normal 11 4 3 6 2 3 2" xfId="23185"/>
    <cellStyle name="Normal 11 4 3 6 2 4" xfId="16529"/>
    <cellStyle name="Normal 11 4 3 6 3" xfId="7477"/>
    <cellStyle name="Normal 11 4 3 6 3 2" xfId="18193"/>
    <cellStyle name="Normal 11 4 3 6 4" xfId="10805"/>
    <cellStyle name="Normal 11 4 3 6 4 2" xfId="21521"/>
    <cellStyle name="Normal 11 4 3 6 5" xfId="14865"/>
    <cellStyle name="Normal 11 4 3 7" xfId="4971"/>
    <cellStyle name="Normal 11 4 3 7 2" xfId="8309"/>
    <cellStyle name="Normal 11 4 3 7 2 2" xfId="19025"/>
    <cellStyle name="Normal 11 4 3 7 3" xfId="11637"/>
    <cellStyle name="Normal 11 4 3 7 3 2" xfId="22353"/>
    <cellStyle name="Normal 11 4 3 7 4" xfId="15697"/>
    <cellStyle name="Normal 11 4 3 8" xfId="6641"/>
    <cellStyle name="Normal 11 4 3 8 2" xfId="17361"/>
    <cellStyle name="Normal 11 4 3 9" xfId="9973"/>
    <cellStyle name="Normal 11 4 3 9 2" xfId="20689"/>
    <cellStyle name="Normal 11 4 4" xfId="1097"/>
    <cellStyle name="Normal 11 4 4 2" xfId="1098"/>
    <cellStyle name="Normal 11 4 4 2 2" xfId="2813"/>
    <cellStyle name="Normal 11 4 4 2 2 2" xfId="3927"/>
    <cellStyle name="Normal 11 4 4 2 2 2 2" xfId="4767"/>
    <cellStyle name="Normal 11 4 4 2 2 2 2 2" xfId="6435"/>
    <cellStyle name="Normal 11 4 4 2 2 2 2 2 2" xfId="9770"/>
    <cellStyle name="Normal 11 4 4 2 2 2 2 2 2 2" xfId="20486"/>
    <cellStyle name="Normal 11 4 4 2 2 2 2 2 3" xfId="13098"/>
    <cellStyle name="Normal 11 4 4 2 2 2 2 2 3 2" xfId="23814"/>
    <cellStyle name="Normal 11 4 4 2 2 2 2 2 4" xfId="17158"/>
    <cellStyle name="Normal 11 4 4 2 2 2 2 3" xfId="8106"/>
    <cellStyle name="Normal 11 4 4 2 2 2 2 3 2" xfId="18822"/>
    <cellStyle name="Normal 11 4 4 2 2 2 2 4" xfId="11434"/>
    <cellStyle name="Normal 11 4 4 2 2 2 2 4 2" xfId="22150"/>
    <cellStyle name="Normal 11 4 4 2 2 2 2 5" xfId="15494"/>
    <cellStyle name="Normal 11 4 4 2 2 2 3" xfId="5603"/>
    <cellStyle name="Normal 11 4 4 2 2 2 3 2" xfId="8938"/>
    <cellStyle name="Normal 11 4 4 2 2 2 3 2 2" xfId="19654"/>
    <cellStyle name="Normal 11 4 4 2 2 2 3 3" xfId="12266"/>
    <cellStyle name="Normal 11 4 4 2 2 2 3 3 2" xfId="22982"/>
    <cellStyle name="Normal 11 4 4 2 2 2 3 4" xfId="16326"/>
    <cellStyle name="Normal 11 4 4 2 2 2 4" xfId="7274"/>
    <cellStyle name="Normal 11 4 4 2 2 2 4 2" xfId="17990"/>
    <cellStyle name="Normal 11 4 4 2 2 2 5" xfId="10602"/>
    <cellStyle name="Normal 11 4 4 2 2 2 5 2" xfId="21318"/>
    <cellStyle name="Normal 11 4 4 2 2 2 6" xfId="14662"/>
    <cellStyle name="Normal 11 4 4 2 2 3" xfId="4351"/>
    <cellStyle name="Normal 11 4 4 2 2 3 2" xfId="6019"/>
    <cellStyle name="Normal 11 4 4 2 2 3 2 2" xfId="9354"/>
    <cellStyle name="Normal 11 4 4 2 2 3 2 2 2" xfId="20070"/>
    <cellStyle name="Normal 11 4 4 2 2 3 2 3" xfId="12682"/>
    <cellStyle name="Normal 11 4 4 2 2 3 2 3 2" xfId="23398"/>
    <cellStyle name="Normal 11 4 4 2 2 3 2 4" xfId="16742"/>
    <cellStyle name="Normal 11 4 4 2 2 3 3" xfId="7690"/>
    <cellStyle name="Normal 11 4 4 2 2 3 3 2" xfId="18406"/>
    <cellStyle name="Normal 11 4 4 2 2 3 4" xfId="11018"/>
    <cellStyle name="Normal 11 4 4 2 2 3 4 2" xfId="21734"/>
    <cellStyle name="Normal 11 4 4 2 2 3 5" xfId="15078"/>
    <cellStyle name="Normal 11 4 4 2 2 4" xfId="5187"/>
    <cellStyle name="Normal 11 4 4 2 2 4 2" xfId="8522"/>
    <cellStyle name="Normal 11 4 4 2 2 4 2 2" xfId="19238"/>
    <cellStyle name="Normal 11 4 4 2 2 4 3" xfId="11850"/>
    <cellStyle name="Normal 11 4 4 2 2 4 3 2" xfId="22566"/>
    <cellStyle name="Normal 11 4 4 2 2 4 4" xfId="15910"/>
    <cellStyle name="Normal 11 4 4 2 2 5" xfId="6856"/>
    <cellStyle name="Normal 11 4 4 2 2 5 2" xfId="17574"/>
    <cellStyle name="Normal 11 4 4 2 2 6" xfId="10186"/>
    <cellStyle name="Normal 11 4 4 2 2 6 2" xfId="20902"/>
    <cellStyle name="Normal 11 4 4 2 2 7" xfId="14244"/>
    <cellStyle name="Normal 11 4 4 2 3" xfId="3703"/>
    <cellStyle name="Normal 11 4 4 2 3 2" xfId="4559"/>
    <cellStyle name="Normal 11 4 4 2 3 2 2" xfId="6227"/>
    <cellStyle name="Normal 11 4 4 2 3 2 2 2" xfId="9562"/>
    <cellStyle name="Normal 11 4 4 2 3 2 2 2 2" xfId="20278"/>
    <cellStyle name="Normal 11 4 4 2 3 2 2 3" xfId="12890"/>
    <cellStyle name="Normal 11 4 4 2 3 2 2 3 2" xfId="23606"/>
    <cellStyle name="Normal 11 4 4 2 3 2 2 4" xfId="16950"/>
    <cellStyle name="Normal 11 4 4 2 3 2 3" xfId="7898"/>
    <cellStyle name="Normal 11 4 4 2 3 2 3 2" xfId="18614"/>
    <cellStyle name="Normal 11 4 4 2 3 2 4" xfId="11226"/>
    <cellStyle name="Normal 11 4 4 2 3 2 4 2" xfId="21942"/>
    <cellStyle name="Normal 11 4 4 2 3 2 5" xfId="15286"/>
    <cellStyle name="Normal 11 4 4 2 3 3" xfId="5395"/>
    <cellStyle name="Normal 11 4 4 2 3 3 2" xfId="8730"/>
    <cellStyle name="Normal 11 4 4 2 3 3 2 2" xfId="19446"/>
    <cellStyle name="Normal 11 4 4 2 3 3 3" xfId="12058"/>
    <cellStyle name="Normal 11 4 4 2 3 3 3 2" xfId="22774"/>
    <cellStyle name="Normal 11 4 4 2 3 3 4" xfId="16118"/>
    <cellStyle name="Normal 11 4 4 2 3 4" xfId="7066"/>
    <cellStyle name="Normal 11 4 4 2 3 4 2" xfId="17782"/>
    <cellStyle name="Normal 11 4 4 2 3 5" xfId="10394"/>
    <cellStyle name="Normal 11 4 4 2 3 5 2" xfId="21110"/>
    <cellStyle name="Normal 11 4 4 2 3 6" xfId="14454"/>
    <cellStyle name="Normal 11 4 4 2 4" xfId="4141"/>
    <cellStyle name="Normal 11 4 4 2 4 2" xfId="5811"/>
    <cellStyle name="Normal 11 4 4 2 4 2 2" xfId="9146"/>
    <cellStyle name="Normal 11 4 4 2 4 2 2 2" xfId="19862"/>
    <cellStyle name="Normal 11 4 4 2 4 2 3" xfId="12474"/>
    <cellStyle name="Normal 11 4 4 2 4 2 3 2" xfId="23190"/>
    <cellStyle name="Normal 11 4 4 2 4 2 4" xfId="16534"/>
    <cellStyle name="Normal 11 4 4 2 4 3" xfId="7482"/>
    <cellStyle name="Normal 11 4 4 2 4 3 2" xfId="18198"/>
    <cellStyle name="Normal 11 4 4 2 4 4" xfId="10810"/>
    <cellStyle name="Normal 11 4 4 2 4 4 2" xfId="21526"/>
    <cellStyle name="Normal 11 4 4 2 4 5" xfId="14870"/>
    <cellStyle name="Normal 11 4 4 2 5" xfId="4976"/>
    <cellStyle name="Normal 11 4 4 2 5 2" xfId="8314"/>
    <cellStyle name="Normal 11 4 4 2 5 2 2" xfId="19030"/>
    <cellStyle name="Normal 11 4 4 2 5 3" xfId="11642"/>
    <cellStyle name="Normal 11 4 4 2 5 3 2" xfId="22358"/>
    <cellStyle name="Normal 11 4 4 2 5 4" xfId="15702"/>
    <cellStyle name="Normal 11 4 4 2 6" xfId="6646"/>
    <cellStyle name="Normal 11 4 4 2 6 2" xfId="17366"/>
    <cellStyle name="Normal 11 4 4 2 7" xfId="9978"/>
    <cellStyle name="Normal 11 4 4 2 7 2" xfId="20694"/>
    <cellStyle name="Normal 11 4 4 2 8" xfId="14035"/>
    <cellStyle name="Normal 11 4 4 3" xfId="2812"/>
    <cellStyle name="Normal 11 4 4 3 2" xfId="3926"/>
    <cellStyle name="Normal 11 4 4 3 2 2" xfId="4766"/>
    <cellStyle name="Normal 11 4 4 3 2 2 2" xfId="6434"/>
    <cellStyle name="Normal 11 4 4 3 2 2 2 2" xfId="9769"/>
    <cellStyle name="Normal 11 4 4 3 2 2 2 2 2" xfId="20485"/>
    <cellStyle name="Normal 11 4 4 3 2 2 2 3" xfId="13097"/>
    <cellStyle name="Normal 11 4 4 3 2 2 2 3 2" xfId="23813"/>
    <cellStyle name="Normal 11 4 4 3 2 2 2 4" xfId="17157"/>
    <cellStyle name="Normal 11 4 4 3 2 2 3" xfId="8105"/>
    <cellStyle name="Normal 11 4 4 3 2 2 3 2" xfId="18821"/>
    <cellStyle name="Normal 11 4 4 3 2 2 4" xfId="11433"/>
    <cellStyle name="Normal 11 4 4 3 2 2 4 2" xfId="22149"/>
    <cellStyle name="Normal 11 4 4 3 2 2 5" xfId="15493"/>
    <cellStyle name="Normal 11 4 4 3 2 3" xfId="5602"/>
    <cellStyle name="Normal 11 4 4 3 2 3 2" xfId="8937"/>
    <cellStyle name="Normal 11 4 4 3 2 3 2 2" xfId="19653"/>
    <cellStyle name="Normal 11 4 4 3 2 3 3" xfId="12265"/>
    <cellStyle name="Normal 11 4 4 3 2 3 3 2" xfId="22981"/>
    <cellStyle name="Normal 11 4 4 3 2 3 4" xfId="16325"/>
    <cellStyle name="Normal 11 4 4 3 2 4" xfId="7273"/>
    <cellStyle name="Normal 11 4 4 3 2 4 2" xfId="17989"/>
    <cellStyle name="Normal 11 4 4 3 2 5" xfId="10601"/>
    <cellStyle name="Normal 11 4 4 3 2 5 2" xfId="21317"/>
    <cellStyle name="Normal 11 4 4 3 2 6" xfId="14661"/>
    <cellStyle name="Normal 11 4 4 3 3" xfId="4350"/>
    <cellStyle name="Normal 11 4 4 3 3 2" xfId="6018"/>
    <cellStyle name="Normal 11 4 4 3 3 2 2" xfId="9353"/>
    <cellStyle name="Normal 11 4 4 3 3 2 2 2" xfId="20069"/>
    <cellStyle name="Normal 11 4 4 3 3 2 3" xfId="12681"/>
    <cellStyle name="Normal 11 4 4 3 3 2 3 2" xfId="23397"/>
    <cellStyle name="Normal 11 4 4 3 3 2 4" xfId="16741"/>
    <cellStyle name="Normal 11 4 4 3 3 3" xfId="7689"/>
    <cellStyle name="Normal 11 4 4 3 3 3 2" xfId="18405"/>
    <cellStyle name="Normal 11 4 4 3 3 4" xfId="11017"/>
    <cellStyle name="Normal 11 4 4 3 3 4 2" xfId="21733"/>
    <cellStyle name="Normal 11 4 4 3 3 5" xfId="15077"/>
    <cellStyle name="Normal 11 4 4 3 4" xfId="5186"/>
    <cellStyle name="Normal 11 4 4 3 4 2" xfId="8521"/>
    <cellStyle name="Normal 11 4 4 3 4 2 2" xfId="19237"/>
    <cellStyle name="Normal 11 4 4 3 4 3" xfId="11849"/>
    <cellStyle name="Normal 11 4 4 3 4 3 2" xfId="22565"/>
    <cellStyle name="Normal 11 4 4 3 4 4" xfId="15909"/>
    <cellStyle name="Normal 11 4 4 3 5" xfId="6855"/>
    <cellStyle name="Normal 11 4 4 3 5 2" xfId="17573"/>
    <cellStyle name="Normal 11 4 4 3 6" xfId="10185"/>
    <cellStyle name="Normal 11 4 4 3 6 2" xfId="20901"/>
    <cellStyle name="Normal 11 4 4 3 7" xfId="14243"/>
    <cellStyle name="Normal 11 4 4 4" xfId="3702"/>
    <cellStyle name="Normal 11 4 4 4 2" xfId="4558"/>
    <cellStyle name="Normal 11 4 4 4 2 2" xfId="6226"/>
    <cellStyle name="Normal 11 4 4 4 2 2 2" xfId="9561"/>
    <cellStyle name="Normal 11 4 4 4 2 2 2 2" xfId="20277"/>
    <cellStyle name="Normal 11 4 4 4 2 2 3" xfId="12889"/>
    <cellStyle name="Normal 11 4 4 4 2 2 3 2" xfId="23605"/>
    <cellStyle name="Normal 11 4 4 4 2 2 4" xfId="16949"/>
    <cellStyle name="Normal 11 4 4 4 2 3" xfId="7897"/>
    <cellStyle name="Normal 11 4 4 4 2 3 2" xfId="18613"/>
    <cellStyle name="Normal 11 4 4 4 2 4" xfId="11225"/>
    <cellStyle name="Normal 11 4 4 4 2 4 2" xfId="21941"/>
    <cellStyle name="Normal 11 4 4 4 2 5" xfId="15285"/>
    <cellStyle name="Normal 11 4 4 4 3" xfId="5394"/>
    <cellStyle name="Normal 11 4 4 4 3 2" xfId="8729"/>
    <cellStyle name="Normal 11 4 4 4 3 2 2" xfId="19445"/>
    <cellStyle name="Normal 11 4 4 4 3 3" xfId="12057"/>
    <cellStyle name="Normal 11 4 4 4 3 3 2" xfId="22773"/>
    <cellStyle name="Normal 11 4 4 4 3 4" xfId="16117"/>
    <cellStyle name="Normal 11 4 4 4 4" xfId="7065"/>
    <cellStyle name="Normal 11 4 4 4 4 2" xfId="17781"/>
    <cellStyle name="Normal 11 4 4 4 5" xfId="10393"/>
    <cellStyle name="Normal 11 4 4 4 5 2" xfId="21109"/>
    <cellStyle name="Normal 11 4 4 4 6" xfId="14453"/>
    <cellStyle name="Normal 11 4 4 5" xfId="4140"/>
    <cellStyle name="Normal 11 4 4 5 2" xfId="5810"/>
    <cellStyle name="Normal 11 4 4 5 2 2" xfId="9145"/>
    <cellStyle name="Normal 11 4 4 5 2 2 2" xfId="19861"/>
    <cellStyle name="Normal 11 4 4 5 2 3" xfId="12473"/>
    <cellStyle name="Normal 11 4 4 5 2 3 2" xfId="23189"/>
    <cellStyle name="Normal 11 4 4 5 2 4" xfId="16533"/>
    <cellStyle name="Normal 11 4 4 5 3" xfId="7481"/>
    <cellStyle name="Normal 11 4 4 5 3 2" xfId="18197"/>
    <cellStyle name="Normal 11 4 4 5 4" xfId="10809"/>
    <cellStyle name="Normal 11 4 4 5 4 2" xfId="21525"/>
    <cellStyle name="Normal 11 4 4 5 5" xfId="14869"/>
    <cellStyle name="Normal 11 4 4 6" xfId="4975"/>
    <cellStyle name="Normal 11 4 4 6 2" xfId="8313"/>
    <cellStyle name="Normal 11 4 4 6 2 2" xfId="19029"/>
    <cellStyle name="Normal 11 4 4 6 3" xfId="11641"/>
    <cellStyle name="Normal 11 4 4 6 3 2" xfId="22357"/>
    <cellStyle name="Normal 11 4 4 6 4" xfId="15701"/>
    <cellStyle name="Normal 11 4 4 7" xfId="6645"/>
    <cellStyle name="Normal 11 4 4 7 2" xfId="17365"/>
    <cellStyle name="Normal 11 4 4 8" xfId="9977"/>
    <cellStyle name="Normal 11 4 4 8 2" xfId="20693"/>
    <cellStyle name="Normal 11 4 4 9" xfId="14034"/>
    <cellStyle name="Normal 11 4 5" xfId="1099"/>
    <cellStyle name="Normal 11 4 5 2" xfId="2814"/>
    <cellStyle name="Normal 11 4 5 2 2" xfId="3928"/>
    <cellStyle name="Normal 11 4 5 2 2 2" xfId="4768"/>
    <cellStyle name="Normal 11 4 5 2 2 2 2" xfId="6436"/>
    <cellStyle name="Normal 11 4 5 2 2 2 2 2" xfId="9771"/>
    <cellStyle name="Normal 11 4 5 2 2 2 2 2 2" xfId="20487"/>
    <cellStyle name="Normal 11 4 5 2 2 2 2 3" xfId="13099"/>
    <cellStyle name="Normal 11 4 5 2 2 2 2 3 2" xfId="23815"/>
    <cellStyle name="Normal 11 4 5 2 2 2 2 4" xfId="17159"/>
    <cellStyle name="Normal 11 4 5 2 2 2 3" xfId="8107"/>
    <cellStyle name="Normal 11 4 5 2 2 2 3 2" xfId="18823"/>
    <cellStyle name="Normal 11 4 5 2 2 2 4" xfId="11435"/>
    <cellStyle name="Normal 11 4 5 2 2 2 4 2" xfId="22151"/>
    <cellStyle name="Normal 11 4 5 2 2 2 5" xfId="15495"/>
    <cellStyle name="Normal 11 4 5 2 2 3" xfId="5604"/>
    <cellStyle name="Normal 11 4 5 2 2 3 2" xfId="8939"/>
    <cellStyle name="Normal 11 4 5 2 2 3 2 2" xfId="19655"/>
    <cellStyle name="Normal 11 4 5 2 2 3 3" xfId="12267"/>
    <cellStyle name="Normal 11 4 5 2 2 3 3 2" xfId="22983"/>
    <cellStyle name="Normal 11 4 5 2 2 3 4" xfId="16327"/>
    <cellStyle name="Normal 11 4 5 2 2 4" xfId="7275"/>
    <cellStyle name="Normal 11 4 5 2 2 4 2" xfId="17991"/>
    <cellStyle name="Normal 11 4 5 2 2 5" xfId="10603"/>
    <cellStyle name="Normal 11 4 5 2 2 5 2" xfId="21319"/>
    <cellStyle name="Normal 11 4 5 2 2 6" xfId="14663"/>
    <cellStyle name="Normal 11 4 5 2 3" xfId="4352"/>
    <cellStyle name="Normal 11 4 5 2 3 2" xfId="6020"/>
    <cellStyle name="Normal 11 4 5 2 3 2 2" xfId="9355"/>
    <cellStyle name="Normal 11 4 5 2 3 2 2 2" xfId="20071"/>
    <cellStyle name="Normal 11 4 5 2 3 2 3" xfId="12683"/>
    <cellStyle name="Normal 11 4 5 2 3 2 3 2" xfId="23399"/>
    <cellStyle name="Normal 11 4 5 2 3 2 4" xfId="16743"/>
    <cellStyle name="Normal 11 4 5 2 3 3" xfId="7691"/>
    <cellStyle name="Normal 11 4 5 2 3 3 2" xfId="18407"/>
    <cellStyle name="Normal 11 4 5 2 3 4" xfId="11019"/>
    <cellStyle name="Normal 11 4 5 2 3 4 2" xfId="21735"/>
    <cellStyle name="Normal 11 4 5 2 3 5" xfId="15079"/>
    <cellStyle name="Normal 11 4 5 2 4" xfId="5188"/>
    <cellStyle name="Normal 11 4 5 2 4 2" xfId="8523"/>
    <cellStyle name="Normal 11 4 5 2 4 2 2" xfId="19239"/>
    <cellStyle name="Normal 11 4 5 2 4 3" xfId="11851"/>
    <cellStyle name="Normal 11 4 5 2 4 3 2" xfId="22567"/>
    <cellStyle name="Normal 11 4 5 2 4 4" xfId="15911"/>
    <cellStyle name="Normal 11 4 5 2 5" xfId="6857"/>
    <cellStyle name="Normal 11 4 5 2 5 2" xfId="17575"/>
    <cellStyle name="Normal 11 4 5 2 6" xfId="10187"/>
    <cellStyle name="Normal 11 4 5 2 6 2" xfId="20903"/>
    <cellStyle name="Normal 11 4 5 2 7" xfId="14245"/>
    <cellStyle name="Normal 11 4 5 3" xfId="3704"/>
    <cellStyle name="Normal 11 4 5 3 2" xfId="4560"/>
    <cellStyle name="Normal 11 4 5 3 2 2" xfId="6228"/>
    <cellStyle name="Normal 11 4 5 3 2 2 2" xfId="9563"/>
    <cellStyle name="Normal 11 4 5 3 2 2 2 2" xfId="20279"/>
    <cellStyle name="Normal 11 4 5 3 2 2 3" xfId="12891"/>
    <cellStyle name="Normal 11 4 5 3 2 2 3 2" xfId="23607"/>
    <cellStyle name="Normal 11 4 5 3 2 2 4" xfId="16951"/>
    <cellStyle name="Normal 11 4 5 3 2 3" xfId="7899"/>
    <cellStyle name="Normal 11 4 5 3 2 3 2" xfId="18615"/>
    <cellStyle name="Normal 11 4 5 3 2 4" xfId="11227"/>
    <cellStyle name="Normal 11 4 5 3 2 4 2" xfId="21943"/>
    <cellStyle name="Normal 11 4 5 3 2 5" xfId="15287"/>
    <cellStyle name="Normal 11 4 5 3 3" xfId="5396"/>
    <cellStyle name="Normal 11 4 5 3 3 2" xfId="8731"/>
    <cellStyle name="Normal 11 4 5 3 3 2 2" xfId="19447"/>
    <cellStyle name="Normal 11 4 5 3 3 3" xfId="12059"/>
    <cellStyle name="Normal 11 4 5 3 3 3 2" xfId="22775"/>
    <cellStyle name="Normal 11 4 5 3 3 4" xfId="16119"/>
    <cellStyle name="Normal 11 4 5 3 4" xfId="7067"/>
    <cellStyle name="Normal 11 4 5 3 4 2" xfId="17783"/>
    <cellStyle name="Normal 11 4 5 3 5" xfId="10395"/>
    <cellStyle name="Normal 11 4 5 3 5 2" xfId="21111"/>
    <cellStyle name="Normal 11 4 5 3 6" xfId="14455"/>
    <cellStyle name="Normal 11 4 5 4" xfId="4142"/>
    <cellStyle name="Normal 11 4 5 4 2" xfId="5812"/>
    <cellStyle name="Normal 11 4 5 4 2 2" xfId="9147"/>
    <cellStyle name="Normal 11 4 5 4 2 2 2" xfId="19863"/>
    <cellStyle name="Normal 11 4 5 4 2 3" xfId="12475"/>
    <cellStyle name="Normal 11 4 5 4 2 3 2" xfId="23191"/>
    <cellStyle name="Normal 11 4 5 4 2 4" xfId="16535"/>
    <cellStyle name="Normal 11 4 5 4 3" xfId="7483"/>
    <cellStyle name="Normal 11 4 5 4 3 2" xfId="18199"/>
    <cellStyle name="Normal 11 4 5 4 4" xfId="10811"/>
    <cellStyle name="Normal 11 4 5 4 4 2" xfId="21527"/>
    <cellStyle name="Normal 11 4 5 4 5" xfId="14871"/>
    <cellStyle name="Normal 11 4 5 5" xfId="4977"/>
    <cellStyle name="Normal 11 4 5 5 2" xfId="8315"/>
    <cellStyle name="Normal 11 4 5 5 2 2" xfId="19031"/>
    <cellStyle name="Normal 11 4 5 5 3" xfId="11643"/>
    <cellStyle name="Normal 11 4 5 5 3 2" xfId="22359"/>
    <cellStyle name="Normal 11 4 5 5 4" xfId="15703"/>
    <cellStyle name="Normal 11 4 5 6" xfId="6647"/>
    <cellStyle name="Normal 11 4 5 6 2" xfId="17367"/>
    <cellStyle name="Normal 11 4 5 7" xfId="9979"/>
    <cellStyle name="Normal 11 4 5 7 2" xfId="20695"/>
    <cellStyle name="Normal 11 4 5 8" xfId="14036"/>
    <cellStyle name="Normal 11 4 6" xfId="2799"/>
    <cellStyle name="Normal 11 4 6 2" xfId="3913"/>
    <cellStyle name="Normal 11 4 6 2 2" xfId="4753"/>
    <cellStyle name="Normal 11 4 6 2 2 2" xfId="6421"/>
    <cellStyle name="Normal 11 4 6 2 2 2 2" xfId="9756"/>
    <cellStyle name="Normal 11 4 6 2 2 2 2 2" xfId="20472"/>
    <cellStyle name="Normal 11 4 6 2 2 2 3" xfId="13084"/>
    <cellStyle name="Normal 11 4 6 2 2 2 3 2" xfId="23800"/>
    <cellStyle name="Normal 11 4 6 2 2 2 4" xfId="17144"/>
    <cellStyle name="Normal 11 4 6 2 2 3" xfId="8092"/>
    <cellStyle name="Normal 11 4 6 2 2 3 2" xfId="18808"/>
    <cellStyle name="Normal 11 4 6 2 2 4" xfId="11420"/>
    <cellStyle name="Normal 11 4 6 2 2 4 2" xfId="22136"/>
    <cellStyle name="Normal 11 4 6 2 2 5" xfId="15480"/>
    <cellStyle name="Normal 11 4 6 2 3" xfId="5589"/>
    <cellStyle name="Normal 11 4 6 2 3 2" xfId="8924"/>
    <cellStyle name="Normal 11 4 6 2 3 2 2" xfId="19640"/>
    <cellStyle name="Normal 11 4 6 2 3 3" xfId="12252"/>
    <cellStyle name="Normal 11 4 6 2 3 3 2" xfId="22968"/>
    <cellStyle name="Normal 11 4 6 2 3 4" xfId="16312"/>
    <cellStyle name="Normal 11 4 6 2 4" xfId="7260"/>
    <cellStyle name="Normal 11 4 6 2 4 2" xfId="17976"/>
    <cellStyle name="Normal 11 4 6 2 5" xfId="10588"/>
    <cellStyle name="Normal 11 4 6 2 5 2" xfId="21304"/>
    <cellStyle name="Normal 11 4 6 2 6" xfId="14648"/>
    <cellStyle name="Normal 11 4 6 3" xfId="4337"/>
    <cellStyle name="Normal 11 4 6 3 2" xfId="6005"/>
    <cellStyle name="Normal 11 4 6 3 2 2" xfId="9340"/>
    <cellStyle name="Normal 11 4 6 3 2 2 2" xfId="20056"/>
    <cellStyle name="Normal 11 4 6 3 2 3" xfId="12668"/>
    <cellStyle name="Normal 11 4 6 3 2 3 2" xfId="23384"/>
    <cellStyle name="Normal 11 4 6 3 2 4" xfId="16728"/>
    <cellStyle name="Normal 11 4 6 3 3" xfId="7676"/>
    <cellStyle name="Normal 11 4 6 3 3 2" xfId="18392"/>
    <cellStyle name="Normal 11 4 6 3 4" xfId="11004"/>
    <cellStyle name="Normal 11 4 6 3 4 2" xfId="21720"/>
    <cellStyle name="Normal 11 4 6 3 5" xfId="15064"/>
    <cellStyle name="Normal 11 4 6 4" xfId="5173"/>
    <cellStyle name="Normal 11 4 6 4 2" xfId="8508"/>
    <cellStyle name="Normal 11 4 6 4 2 2" xfId="19224"/>
    <cellStyle name="Normal 11 4 6 4 3" xfId="11836"/>
    <cellStyle name="Normal 11 4 6 4 3 2" xfId="22552"/>
    <cellStyle name="Normal 11 4 6 4 4" xfId="15896"/>
    <cellStyle name="Normal 11 4 6 5" xfId="6842"/>
    <cellStyle name="Normal 11 4 6 5 2" xfId="17560"/>
    <cellStyle name="Normal 11 4 6 6" xfId="10172"/>
    <cellStyle name="Normal 11 4 6 6 2" xfId="20888"/>
    <cellStyle name="Normal 11 4 6 7" xfId="14230"/>
    <cellStyle name="Normal 11 4 7" xfId="3689"/>
    <cellStyle name="Normal 11 4 7 2" xfId="4545"/>
    <cellStyle name="Normal 11 4 7 2 2" xfId="6213"/>
    <cellStyle name="Normal 11 4 7 2 2 2" xfId="9548"/>
    <cellStyle name="Normal 11 4 7 2 2 2 2" xfId="20264"/>
    <cellStyle name="Normal 11 4 7 2 2 3" xfId="12876"/>
    <cellStyle name="Normal 11 4 7 2 2 3 2" xfId="23592"/>
    <cellStyle name="Normal 11 4 7 2 2 4" xfId="16936"/>
    <cellStyle name="Normal 11 4 7 2 3" xfId="7884"/>
    <cellStyle name="Normal 11 4 7 2 3 2" xfId="18600"/>
    <cellStyle name="Normal 11 4 7 2 4" xfId="11212"/>
    <cellStyle name="Normal 11 4 7 2 4 2" xfId="21928"/>
    <cellStyle name="Normal 11 4 7 2 5" xfId="15272"/>
    <cellStyle name="Normal 11 4 7 3" xfId="5381"/>
    <cellStyle name="Normal 11 4 7 3 2" xfId="8716"/>
    <cellStyle name="Normal 11 4 7 3 2 2" xfId="19432"/>
    <cellStyle name="Normal 11 4 7 3 3" xfId="12044"/>
    <cellStyle name="Normal 11 4 7 3 3 2" xfId="22760"/>
    <cellStyle name="Normal 11 4 7 3 4" xfId="16104"/>
    <cellStyle name="Normal 11 4 7 4" xfId="7052"/>
    <cellStyle name="Normal 11 4 7 4 2" xfId="17768"/>
    <cellStyle name="Normal 11 4 7 5" xfId="10380"/>
    <cellStyle name="Normal 11 4 7 5 2" xfId="21096"/>
    <cellStyle name="Normal 11 4 7 6" xfId="14440"/>
    <cellStyle name="Normal 11 4 8" xfId="4127"/>
    <cellStyle name="Normal 11 4 8 2" xfId="5797"/>
    <cellStyle name="Normal 11 4 8 2 2" xfId="9132"/>
    <cellStyle name="Normal 11 4 8 2 2 2" xfId="19848"/>
    <cellStyle name="Normal 11 4 8 2 3" xfId="12460"/>
    <cellStyle name="Normal 11 4 8 2 3 2" xfId="23176"/>
    <cellStyle name="Normal 11 4 8 2 4" xfId="16520"/>
    <cellStyle name="Normal 11 4 8 3" xfId="7468"/>
    <cellStyle name="Normal 11 4 8 3 2" xfId="18184"/>
    <cellStyle name="Normal 11 4 8 4" xfId="10796"/>
    <cellStyle name="Normal 11 4 8 4 2" xfId="21512"/>
    <cellStyle name="Normal 11 4 8 5" xfId="14856"/>
    <cellStyle name="Normal 11 4 9" xfId="4962"/>
    <cellStyle name="Normal 11 4 9 2" xfId="8300"/>
    <cellStyle name="Normal 11 4 9 2 2" xfId="19016"/>
    <cellStyle name="Normal 11 4 9 3" xfId="11628"/>
    <cellStyle name="Normal 11 4 9 3 2" xfId="22344"/>
    <cellStyle name="Normal 11 4 9 4" xfId="15688"/>
    <cellStyle name="Normal 11 5" xfId="1100"/>
    <cellStyle name="Normal 11 5 10" xfId="9980"/>
    <cellStyle name="Normal 11 5 10 2" xfId="20696"/>
    <cellStyle name="Normal 11 5 11" xfId="14037"/>
    <cellStyle name="Normal 11 5 2" xfId="1101"/>
    <cellStyle name="Normal 11 5 2 10" xfId="14038"/>
    <cellStyle name="Normal 11 5 2 2" xfId="1102"/>
    <cellStyle name="Normal 11 5 2 2 2" xfId="1103"/>
    <cellStyle name="Normal 11 5 2 2 2 2" xfId="2818"/>
    <cellStyle name="Normal 11 5 2 2 2 2 2" xfId="3932"/>
    <cellStyle name="Normal 11 5 2 2 2 2 2 2" xfId="4772"/>
    <cellStyle name="Normal 11 5 2 2 2 2 2 2 2" xfId="6440"/>
    <cellStyle name="Normal 11 5 2 2 2 2 2 2 2 2" xfId="9775"/>
    <cellStyle name="Normal 11 5 2 2 2 2 2 2 2 2 2" xfId="20491"/>
    <cellStyle name="Normal 11 5 2 2 2 2 2 2 2 3" xfId="13103"/>
    <cellStyle name="Normal 11 5 2 2 2 2 2 2 2 3 2" xfId="23819"/>
    <cellStyle name="Normal 11 5 2 2 2 2 2 2 2 4" xfId="17163"/>
    <cellStyle name="Normal 11 5 2 2 2 2 2 2 3" xfId="8111"/>
    <cellStyle name="Normal 11 5 2 2 2 2 2 2 3 2" xfId="18827"/>
    <cellStyle name="Normal 11 5 2 2 2 2 2 2 4" xfId="11439"/>
    <cellStyle name="Normal 11 5 2 2 2 2 2 2 4 2" xfId="22155"/>
    <cellStyle name="Normal 11 5 2 2 2 2 2 2 5" xfId="15499"/>
    <cellStyle name="Normal 11 5 2 2 2 2 2 3" xfId="5608"/>
    <cellStyle name="Normal 11 5 2 2 2 2 2 3 2" xfId="8943"/>
    <cellStyle name="Normal 11 5 2 2 2 2 2 3 2 2" xfId="19659"/>
    <cellStyle name="Normal 11 5 2 2 2 2 2 3 3" xfId="12271"/>
    <cellStyle name="Normal 11 5 2 2 2 2 2 3 3 2" xfId="22987"/>
    <cellStyle name="Normal 11 5 2 2 2 2 2 3 4" xfId="16331"/>
    <cellStyle name="Normal 11 5 2 2 2 2 2 4" xfId="7279"/>
    <cellStyle name="Normal 11 5 2 2 2 2 2 4 2" xfId="17995"/>
    <cellStyle name="Normal 11 5 2 2 2 2 2 5" xfId="10607"/>
    <cellStyle name="Normal 11 5 2 2 2 2 2 5 2" xfId="21323"/>
    <cellStyle name="Normal 11 5 2 2 2 2 2 6" xfId="14667"/>
    <cellStyle name="Normal 11 5 2 2 2 2 3" xfId="4356"/>
    <cellStyle name="Normal 11 5 2 2 2 2 3 2" xfId="6024"/>
    <cellStyle name="Normal 11 5 2 2 2 2 3 2 2" xfId="9359"/>
    <cellStyle name="Normal 11 5 2 2 2 2 3 2 2 2" xfId="20075"/>
    <cellStyle name="Normal 11 5 2 2 2 2 3 2 3" xfId="12687"/>
    <cellStyle name="Normal 11 5 2 2 2 2 3 2 3 2" xfId="23403"/>
    <cellStyle name="Normal 11 5 2 2 2 2 3 2 4" xfId="16747"/>
    <cellStyle name="Normal 11 5 2 2 2 2 3 3" xfId="7695"/>
    <cellStyle name="Normal 11 5 2 2 2 2 3 3 2" xfId="18411"/>
    <cellStyle name="Normal 11 5 2 2 2 2 3 4" xfId="11023"/>
    <cellStyle name="Normal 11 5 2 2 2 2 3 4 2" xfId="21739"/>
    <cellStyle name="Normal 11 5 2 2 2 2 3 5" xfId="15083"/>
    <cellStyle name="Normal 11 5 2 2 2 2 4" xfId="5192"/>
    <cellStyle name="Normal 11 5 2 2 2 2 4 2" xfId="8527"/>
    <cellStyle name="Normal 11 5 2 2 2 2 4 2 2" xfId="19243"/>
    <cellStyle name="Normal 11 5 2 2 2 2 4 3" xfId="11855"/>
    <cellStyle name="Normal 11 5 2 2 2 2 4 3 2" xfId="22571"/>
    <cellStyle name="Normal 11 5 2 2 2 2 4 4" xfId="15915"/>
    <cellStyle name="Normal 11 5 2 2 2 2 5" xfId="6861"/>
    <cellStyle name="Normal 11 5 2 2 2 2 5 2" xfId="17579"/>
    <cellStyle name="Normal 11 5 2 2 2 2 6" xfId="10191"/>
    <cellStyle name="Normal 11 5 2 2 2 2 6 2" xfId="20907"/>
    <cellStyle name="Normal 11 5 2 2 2 2 7" xfId="14249"/>
    <cellStyle name="Normal 11 5 2 2 2 3" xfId="3708"/>
    <cellStyle name="Normal 11 5 2 2 2 3 2" xfId="4564"/>
    <cellStyle name="Normal 11 5 2 2 2 3 2 2" xfId="6232"/>
    <cellStyle name="Normal 11 5 2 2 2 3 2 2 2" xfId="9567"/>
    <cellStyle name="Normal 11 5 2 2 2 3 2 2 2 2" xfId="20283"/>
    <cellStyle name="Normal 11 5 2 2 2 3 2 2 3" xfId="12895"/>
    <cellStyle name="Normal 11 5 2 2 2 3 2 2 3 2" xfId="23611"/>
    <cellStyle name="Normal 11 5 2 2 2 3 2 2 4" xfId="16955"/>
    <cellStyle name="Normal 11 5 2 2 2 3 2 3" xfId="7903"/>
    <cellStyle name="Normal 11 5 2 2 2 3 2 3 2" xfId="18619"/>
    <cellStyle name="Normal 11 5 2 2 2 3 2 4" xfId="11231"/>
    <cellStyle name="Normal 11 5 2 2 2 3 2 4 2" xfId="21947"/>
    <cellStyle name="Normal 11 5 2 2 2 3 2 5" xfId="15291"/>
    <cellStyle name="Normal 11 5 2 2 2 3 3" xfId="5400"/>
    <cellStyle name="Normal 11 5 2 2 2 3 3 2" xfId="8735"/>
    <cellStyle name="Normal 11 5 2 2 2 3 3 2 2" xfId="19451"/>
    <cellStyle name="Normal 11 5 2 2 2 3 3 3" xfId="12063"/>
    <cellStyle name="Normal 11 5 2 2 2 3 3 3 2" xfId="22779"/>
    <cellStyle name="Normal 11 5 2 2 2 3 3 4" xfId="16123"/>
    <cellStyle name="Normal 11 5 2 2 2 3 4" xfId="7071"/>
    <cellStyle name="Normal 11 5 2 2 2 3 4 2" xfId="17787"/>
    <cellStyle name="Normal 11 5 2 2 2 3 5" xfId="10399"/>
    <cellStyle name="Normal 11 5 2 2 2 3 5 2" xfId="21115"/>
    <cellStyle name="Normal 11 5 2 2 2 3 6" xfId="14459"/>
    <cellStyle name="Normal 11 5 2 2 2 4" xfId="4146"/>
    <cellStyle name="Normal 11 5 2 2 2 4 2" xfId="5816"/>
    <cellStyle name="Normal 11 5 2 2 2 4 2 2" xfId="9151"/>
    <cellStyle name="Normal 11 5 2 2 2 4 2 2 2" xfId="19867"/>
    <cellStyle name="Normal 11 5 2 2 2 4 2 3" xfId="12479"/>
    <cellStyle name="Normal 11 5 2 2 2 4 2 3 2" xfId="23195"/>
    <cellStyle name="Normal 11 5 2 2 2 4 2 4" xfId="16539"/>
    <cellStyle name="Normal 11 5 2 2 2 4 3" xfId="7487"/>
    <cellStyle name="Normal 11 5 2 2 2 4 3 2" xfId="18203"/>
    <cellStyle name="Normal 11 5 2 2 2 4 4" xfId="10815"/>
    <cellStyle name="Normal 11 5 2 2 2 4 4 2" xfId="21531"/>
    <cellStyle name="Normal 11 5 2 2 2 4 5" xfId="14875"/>
    <cellStyle name="Normal 11 5 2 2 2 5" xfId="4981"/>
    <cellStyle name="Normal 11 5 2 2 2 5 2" xfId="8319"/>
    <cellStyle name="Normal 11 5 2 2 2 5 2 2" xfId="19035"/>
    <cellStyle name="Normal 11 5 2 2 2 5 3" xfId="11647"/>
    <cellStyle name="Normal 11 5 2 2 2 5 3 2" xfId="22363"/>
    <cellStyle name="Normal 11 5 2 2 2 5 4" xfId="15707"/>
    <cellStyle name="Normal 11 5 2 2 2 6" xfId="6651"/>
    <cellStyle name="Normal 11 5 2 2 2 6 2" xfId="17371"/>
    <cellStyle name="Normal 11 5 2 2 2 7" xfId="9983"/>
    <cellStyle name="Normal 11 5 2 2 2 7 2" xfId="20699"/>
    <cellStyle name="Normal 11 5 2 2 2 8" xfId="14040"/>
    <cellStyle name="Normal 11 5 2 2 3" xfId="2817"/>
    <cellStyle name="Normal 11 5 2 2 3 2" xfId="3931"/>
    <cellStyle name="Normal 11 5 2 2 3 2 2" xfId="4771"/>
    <cellStyle name="Normal 11 5 2 2 3 2 2 2" xfId="6439"/>
    <cellStyle name="Normal 11 5 2 2 3 2 2 2 2" xfId="9774"/>
    <cellStyle name="Normal 11 5 2 2 3 2 2 2 2 2" xfId="20490"/>
    <cellStyle name="Normal 11 5 2 2 3 2 2 2 3" xfId="13102"/>
    <cellStyle name="Normal 11 5 2 2 3 2 2 2 3 2" xfId="23818"/>
    <cellStyle name="Normal 11 5 2 2 3 2 2 2 4" xfId="17162"/>
    <cellStyle name="Normal 11 5 2 2 3 2 2 3" xfId="8110"/>
    <cellStyle name="Normal 11 5 2 2 3 2 2 3 2" xfId="18826"/>
    <cellStyle name="Normal 11 5 2 2 3 2 2 4" xfId="11438"/>
    <cellStyle name="Normal 11 5 2 2 3 2 2 4 2" xfId="22154"/>
    <cellStyle name="Normal 11 5 2 2 3 2 2 5" xfId="15498"/>
    <cellStyle name="Normal 11 5 2 2 3 2 3" xfId="5607"/>
    <cellStyle name="Normal 11 5 2 2 3 2 3 2" xfId="8942"/>
    <cellStyle name="Normal 11 5 2 2 3 2 3 2 2" xfId="19658"/>
    <cellStyle name="Normal 11 5 2 2 3 2 3 3" xfId="12270"/>
    <cellStyle name="Normal 11 5 2 2 3 2 3 3 2" xfId="22986"/>
    <cellStyle name="Normal 11 5 2 2 3 2 3 4" xfId="16330"/>
    <cellStyle name="Normal 11 5 2 2 3 2 4" xfId="7278"/>
    <cellStyle name="Normal 11 5 2 2 3 2 4 2" xfId="17994"/>
    <cellStyle name="Normal 11 5 2 2 3 2 5" xfId="10606"/>
    <cellStyle name="Normal 11 5 2 2 3 2 5 2" xfId="21322"/>
    <cellStyle name="Normal 11 5 2 2 3 2 6" xfId="14666"/>
    <cellStyle name="Normal 11 5 2 2 3 3" xfId="4355"/>
    <cellStyle name="Normal 11 5 2 2 3 3 2" xfId="6023"/>
    <cellStyle name="Normal 11 5 2 2 3 3 2 2" xfId="9358"/>
    <cellStyle name="Normal 11 5 2 2 3 3 2 2 2" xfId="20074"/>
    <cellStyle name="Normal 11 5 2 2 3 3 2 3" xfId="12686"/>
    <cellStyle name="Normal 11 5 2 2 3 3 2 3 2" xfId="23402"/>
    <cellStyle name="Normal 11 5 2 2 3 3 2 4" xfId="16746"/>
    <cellStyle name="Normal 11 5 2 2 3 3 3" xfId="7694"/>
    <cellStyle name="Normal 11 5 2 2 3 3 3 2" xfId="18410"/>
    <cellStyle name="Normal 11 5 2 2 3 3 4" xfId="11022"/>
    <cellStyle name="Normal 11 5 2 2 3 3 4 2" xfId="21738"/>
    <cellStyle name="Normal 11 5 2 2 3 3 5" xfId="15082"/>
    <cellStyle name="Normal 11 5 2 2 3 4" xfId="5191"/>
    <cellStyle name="Normal 11 5 2 2 3 4 2" xfId="8526"/>
    <cellStyle name="Normal 11 5 2 2 3 4 2 2" xfId="19242"/>
    <cellStyle name="Normal 11 5 2 2 3 4 3" xfId="11854"/>
    <cellStyle name="Normal 11 5 2 2 3 4 3 2" xfId="22570"/>
    <cellStyle name="Normal 11 5 2 2 3 4 4" xfId="15914"/>
    <cellStyle name="Normal 11 5 2 2 3 5" xfId="6860"/>
    <cellStyle name="Normal 11 5 2 2 3 5 2" xfId="17578"/>
    <cellStyle name="Normal 11 5 2 2 3 6" xfId="10190"/>
    <cellStyle name="Normal 11 5 2 2 3 6 2" xfId="20906"/>
    <cellStyle name="Normal 11 5 2 2 3 7" xfId="14248"/>
    <cellStyle name="Normal 11 5 2 2 4" xfId="3707"/>
    <cellStyle name="Normal 11 5 2 2 4 2" xfId="4563"/>
    <cellStyle name="Normal 11 5 2 2 4 2 2" xfId="6231"/>
    <cellStyle name="Normal 11 5 2 2 4 2 2 2" xfId="9566"/>
    <cellStyle name="Normal 11 5 2 2 4 2 2 2 2" xfId="20282"/>
    <cellStyle name="Normal 11 5 2 2 4 2 2 3" xfId="12894"/>
    <cellStyle name="Normal 11 5 2 2 4 2 2 3 2" xfId="23610"/>
    <cellStyle name="Normal 11 5 2 2 4 2 2 4" xfId="16954"/>
    <cellStyle name="Normal 11 5 2 2 4 2 3" xfId="7902"/>
    <cellStyle name="Normal 11 5 2 2 4 2 3 2" xfId="18618"/>
    <cellStyle name="Normal 11 5 2 2 4 2 4" xfId="11230"/>
    <cellStyle name="Normal 11 5 2 2 4 2 4 2" xfId="21946"/>
    <cellStyle name="Normal 11 5 2 2 4 2 5" xfId="15290"/>
    <cellStyle name="Normal 11 5 2 2 4 3" xfId="5399"/>
    <cellStyle name="Normal 11 5 2 2 4 3 2" xfId="8734"/>
    <cellStyle name="Normal 11 5 2 2 4 3 2 2" xfId="19450"/>
    <cellStyle name="Normal 11 5 2 2 4 3 3" xfId="12062"/>
    <cellStyle name="Normal 11 5 2 2 4 3 3 2" xfId="22778"/>
    <cellStyle name="Normal 11 5 2 2 4 3 4" xfId="16122"/>
    <cellStyle name="Normal 11 5 2 2 4 4" xfId="7070"/>
    <cellStyle name="Normal 11 5 2 2 4 4 2" xfId="17786"/>
    <cellStyle name="Normal 11 5 2 2 4 5" xfId="10398"/>
    <cellStyle name="Normal 11 5 2 2 4 5 2" xfId="21114"/>
    <cellStyle name="Normal 11 5 2 2 4 6" xfId="14458"/>
    <cellStyle name="Normal 11 5 2 2 5" xfId="4145"/>
    <cellStyle name="Normal 11 5 2 2 5 2" xfId="5815"/>
    <cellStyle name="Normal 11 5 2 2 5 2 2" xfId="9150"/>
    <cellStyle name="Normal 11 5 2 2 5 2 2 2" xfId="19866"/>
    <cellStyle name="Normal 11 5 2 2 5 2 3" xfId="12478"/>
    <cellStyle name="Normal 11 5 2 2 5 2 3 2" xfId="23194"/>
    <cellStyle name="Normal 11 5 2 2 5 2 4" xfId="16538"/>
    <cellStyle name="Normal 11 5 2 2 5 3" xfId="7486"/>
    <cellStyle name="Normal 11 5 2 2 5 3 2" xfId="18202"/>
    <cellStyle name="Normal 11 5 2 2 5 4" xfId="10814"/>
    <cellStyle name="Normal 11 5 2 2 5 4 2" xfId="21530"/>
    <cellStyle name="Normal 11 5 2 2 5 5" xfId="14874"/>
    <cellStyle name="Normal 11 5 2 2 6" xfId="4980"/>
    <cellStyle name="Normal 11 5 2 2 6 2" xfId="8318"/>
    <cellStyle name="Normal 11 5 2 2 6 2 2" xfId="19034"/>
    <cellStyle name="Normal 11 5 2 2 6 3" xfId="11646"/>
    <cellStyle name="Normal 11 5 2 2 6 3 2" xfId="22362"/>
    <cellStyle name="Normal 11 5 2 2 6 4" xfId="15706"/>
    <cellStyle name="Normal 11 5 2 2 7" xfId="6650"/>
    <cellStyle name="Normal 11 5 2 2 7 2" xfId="17370"/>
    <cellStyle name="Normal 11 5 2 2 8" xfId="9982"/>
    <cellStyle name="Normal 11 5 2 2 8 2" xfId="20698"/>
    <cellStyle name="Normal 11 5 2 2 9" xfId="14039"/>
    <cellStyle name="Normal 11 5 2 3" xfId="1104"/>
    <cellStyle name="Normal 11 5 2 3 2" xfId="2819"/>
    <cellStyle name="Normal 11 5 2 3 2 2" xfId="3933"/>
    <cellStyle name="Normal 11 5 2 3 2 2 2" xfId="4773"/>
    <cellStyle name="Normal 11 5 2 3 2 2 2 2" xfId="6441"/>
    <cellStyle name="Normal 11 5 2 3 2 2 2 2 2" xfId="9776"/>
    <cellStyle name="Normal 11 5 2 3 2 2 2 2 2 2" xfId="20492"/>
    <cellStyle name="Normal 11 5 2 3 2 2 2 2 3" xfId="13104"/>
    <cellStyle name="Normal 11 5 2 3 2 2 2 2 3 2" xfId="23820"/>
    <cellStyle name="Normal 11 5 2 3 2 2 2 2 4" xfId="17164"/>
    <cellStyle name="Normal 11 5 2 3 2 2 2 3" xfId="8112"/>
    <cellStyle name="Normal 11 5 2 3 2 2 2 3 2" xfId="18828"/>
    <cellStyle name="Normal 11 5 2 3 2 2 2 4" xfId="11440"/>
    <cellStyle name="Normal 11 5 2 3 2 2 2 4 2" xfId="22156"/>
    <cellStyle name="Normal 11 5 2 3 2 2 2 5" xfId="15500"/>
    <cellStyle name="Normal 11 5 2 3 2 2 3" xfId="5609"/>
    <cellStyle name="Normal 11 5 2 3 2 2 3 2" xfId="8944"/>
    <cellStyle name="Normal 11 5 2 3 2 2 3 2 2" xfId="19660"/>
    <cellStyle name="Normal 11 5 2 3 2 2 3 3" xfId="12272"/>
    <cellStyle name="Normal 11 5 2 3 2 2 3 3 2" xfId="22988"/>
    <cellStyle name="Normal 11 5 2 3 2 2 3 4" xfId="16332"/>
    <cellStyle name="Normal 11 5 2 3 2 2 4" xfId="7280"/>
    <cellStyle name="Normal 11 5 2 3 2 2 4 2" xfId="17996"/>
    <cellStyle name="Normal 11 5 2 3 2 2 5" xfId="10608"/>
    <cellStyle name="Normal 11 5 2 3 2 2 5 2" xfId="21324"/>
    <cellStyle name="Normal 11 5 2 3 2 2 6" xfId="14668"/>
    <cellStyle name="Normal 11 5 2 3 2 3" xfId="4357"/>
    <cellStyle name="Normal 11 5 2 3 2 3 2" xfId="6025"/>
    <cellStyle name="Normal 11 5 2 3 2 3 2 2" xfId="9360"/>
    <cellStyle name="Normal 11 5 2 3 2 3 2 2 2" xfId="20076"/>
    <cellStyle name="Normal 11 5 2 3 2 3 2 3" xfId="12688"/>
    <cellStyle name="Normal 11 5 2 3 2 3 2 3 2" xfId="23404"/>
    <cellStyle name="Normal 11 5 2 3 2 3 2 4" xfId="16748"/>
    <cellStyle name="Normal 11 5 2 3 2 3 3" xfId="7696"/>
    <cellStyle name="Normal 11 5 2 3 2 3 3 2" xfId="18412"/>
    <cellStyle name="Normal 11 5 2 3 2 3 4" xfId="11024"/>
    <cellStyle name="Normal 11 5 2 3 2 3 4 2" xfId="21740"/>
    <cellStyle name="Normal 11 5 2 3 2 3 5" xfId="15084"/>
    <cellStyle name="Normal 11 5 2 3 2 4" xfId="5193"/>
    <cellStyle name="Normal 11 5 2 3 2 4 2" xfId="8528"/>
    <cellStyle name="Normal 11 5 2 3 2 4 2 2" xfId="19244"/>
    <cellStyle name="Normal 11 5 2 3 2 4 3" xfId="11856"/>
    <cellStyle name="Normal 11 5 2 3 2 4 3 2" xfId="22572"/>
    <cellStyle name="Normal 11 5 2 3 2 4 4" xfId="15916"/>
    <cellStyle name="Normal 11 5 2 3 2 5" xfId="6862"/>
    <cellStyle name="Normal 11 5 2 3 2 5 2" xfId="17580"/>
    <cellStyle name="Normal 11 5 2 3 2 6" xfId="10192"/>
    <cellStyle name="Normal 11 5 2 3 2 6 2" xfId="20908"/>
    <cellStyle name="Normal 11 5 2 3 2 7" xfId="14250"/>
    <cellStyle name="Normal 11 5 2 3 3" xfId="3709"/>
    <cellStyle name="Normal 11 5 2 3 3 2" xfId="4565"/>
    <cellStyle name="Normal 11 5 2 3 3 2 2" xfId="6233"/>
    <cellStyle name="Normal 11 5 2 3 3 2 2 2" xfId="9568"/>
    <cellStyle name="Normal 11 5 2 3 3 2 2 2 2" xfId="20284"/>
    <cellStyle name="Normal 11 5 2 3 3 2 2 3" xfId="12896"/>
    <cellStyle name="Normal 11 5 2 3 3 2 2 3 2" xfId="23612"/>
    <cellStyle name="Normal 11 5 2 3 3 2 2 4" xfId="16956"/>
    <cellStyle name="Normal 11 5 2 3 3 2 3" xfId="7904"/>
    <cellStyle name="Normal 11 5 2 3 3 2 3 2" xfId="18620"/>
    <cellStyle name="Normal 11 5 2 3 3 2 4" xfId="11232"/>
    <cellStyle name="Normal 11 5 2 3 3 2 4 2" xfId="21948"/>
    <cellStyle name="Normal 11 5 2 3 3 2 5" xfId="15292"/>
    <cellStyle name="Normal 11 5 2 3 3 3" xfId="5401"/>
    <cellStyle name="Normal 11 5 2 3 3 3 2" xfId="8736"/>
    <cellStyle name="Normal 11 5 2 3 3 3 2 2" xfId="19452"/>
    <cellStyle name="Normal 11 5 2 3 3 3 3" xfId="12064"/>
    <cellStyle name="Normal 11 5 2 3 3 3 3 2" xfId="22780"/>
    <cellStyle name="Normal 11 5 2 3 3 3 4" xfId="16124"/>
    <cellStyle name="Normal 11 5 2 3 3 4" xfId="7072"/>
    <cellStyle name="Normal 11 5 2 3 3 4 2" xfId="17788"/>
    <cellStyle name="Normal 11 5 2 3 3 5" xfId="10400"/>
    <cellStyle name="Normal 11 5 2 3 3 5 2" xfId="21116"/>
    <cellStyle name="Normal 11 5 2 3 3 6" xfId="14460"/>
    <cellStyle name="Normal 11 5 2 3 4" xfId="4147"/>
    <cellStyle name="Normal 11 5 2 3 4 2" xfId="5817"/>
    <cellStyle name="Normal 11 5 2 3 4 2 2" xfId="9152"/>
    <cellStyle name="Normal 11 5 2 3 4 2 2 2" xfId="19868"/>
    <cellStyle name="Normal 11 5 2 3 4 2 3" xfId="12480"/>
    <cellStyle name="Normal 11 5 2 3 4 2 3 2" xfId="23196"/>
    <cellStyle name="Normal 11 5 2 3 4 2 4" xfId="16540"/>
    <cellStyle name="Normal 11 5 2 3 4 3" xfId="7488"/>
    <cellStyle name="Normal 11 5 2 3 4 3 2" xfId="18204"/>
    <cellStyle name="Normal 11 5 2 3 4 4" xfId="10816"/>
    <cellStyle name="Normal 11 5 2 3 4 4 2" xfId="21532"/>
    <cellStyle name="Normal 11 5 2 3 4 5" xfId="14876"/>
    <cellStyle name="Normal 11 5 2 3 5" xfId="4982"/>
    <cellStyle name="Normal 11 5 2 3 5 2" xfId="8320"/>
    <cellStyle name="Normal 11 5 2 3 5 2 2" xfId="19036"/>
    <cellStyle name="Normal 11 5 2 3 5 3" xfId="11648"/>
    <cellStyle name="Normal 11 5 2 3 5 3 2" xfId="22364"/>
    <cellStyle name="Normal 11 5 2 3 5 4" xfId="15708"/>
    <cellStyle name="Normal 11 5 2 3 6" xfId="6652"/>
    <cellStyle name="Normal 11 5 2 3 6 2" xfId="17372"/>
    <cellStyle name="Normal 11 5 2 3 7" xfId="9984"/>
    <cellStyle name="Normal 11 5 2 3 7 2" xfId="20700"/>
    <cellStyle name="Normal 11 5 2 3 8" xfId="14041"/>
    <cellStyle name="Normal 11 5 2 4" xfId="2816"/>
    <cellStyle name="Normal 11 5 2 4 2" xfId="3930"/>
    <cellStyle name="Normal 11 5 2 4 2 2" xfId="4770"/>
    <cellStyle name="Normal 11 5 2 4 2 2 2" xfId="6438"/>
    <cellStyle name="Normal 11 5 2 4 2 2 2 2" xfId="9773"/>
    <cellStyle name="Normal 11 5 2 4 2 2 2 2 2" xfId="20489"/>
    <cellStyle name="Normal 11 5 2 4 2 2 2 3" xfId="13101"/>
    <cellStyle name="Normal 11 5 2 4 2 2 2 3 2" xfId="23817"/>
    <cellStyle name="Normal 11 5 2 4 2 2 2 4" xfId="17161"/>
    <cellStyle name="Normal 11 5 2 4 2 2 3" xfId="8109"/>
    <cellStyle name="Normal 11 5 2 4 2 2 3 2" xfId="18825"/>
    <cellStyle name="Normal 11 5 2 4 2 2 4" xfId="11437"/>
    <cellStyle name="Normal 11 5 2 4 2 2 4 2" xfId="22153"/>
    <cellStyle name="Normal 11 5 2 4 2 2 5" xfId="15497"/>
    <cellStyle name="Normal 11 5 2 4 2 3" xfId="5606"/>
    <cellStyle name="Normal 11 5 2 4 2 3 2" xfId="8941"/>
    <cellStyle name="Normal 11 5 2 4 2 3 2 2" xfId="19657"/>
    <cellStyle name="Normal 11 5 2 4 2 3 3" xfId="12269"/>
    <cellStyle name="Normal 11 5 2 4 2 3 3 2" xfId="22985"/>
    <cellStyle name="Normal 11 5 2 4 2 3 4" xfId="16329"/>
    <cellStyle name="Normal 11 5 2 4 2 4" xfId="7277"/>
    <cellStyle name="Normal 11 5 2 4 2 4 2" xfId="17993"/>
    <cellStyle name="Normal 11 5 2 4 2 5" xfId="10605"/>
    <cellStyle name="Normal 11 5 2 4 2 5 2" xfId="21321"/>
    <cellStyle name="Normal 11 5 2 4 2 6" xfId="14665"/>
    <cellStyle name="Normal 11 5 2 4 3" xfId="4354"/>
    <cellStyle name="Normal 11 5 2 4 3 2" xfId="6022"/>
    <cellStyle name="Normal 11 5 2 4 3 2 2" xfId="9357"/>
    <cellStyle name="Normal 11 5 2 4 3 2 2 2" xfId="20073"/>
    <cellStyle name="Normal 11 5 2 4 3 2 3" xfId="12685"/>
    <cellStyle name="Normal 11 5 2 4 3 2 3 2" xfId="23401"/>
    <cellStyle name="Normal 11 5 2 4 3 2 4" xfId="16745"/>
    <cellStyle name="Normal 11 5 2 4 3 3" xfId="7693"/>
    <cellStyle name="Normal 11 5 2 4 3 3 2" xfId="18409"/>
    <cellStyle name="Normal 11 5 2 4 3 4" xfId="11021"/>
    <cellStyle name="Normal 11 5 2 4 3 4 2" xfId="21737"/>
    <cellStyle name="Normal 11 5 2 4 3 5" xfId="15081"/>
    <cellStyle name="Normal 11 5 2 4 4" xfId="5190"/>
    <cellStyle name="Normal 11 5 2 4 4 2" xfId="8525"/>
    <cellStyle name="Normal 11 5 2 4 4 2 2" xfId="19241"/>
    <cellStyle name="Normal 11 5 2 4 4 3" xfId="11853"/>
    <cellStyle name="Normal 11 5 2 4 4 3 2" xfId="22569"/>
    <cellStyle name="Normal 11 5 2 4 4 4" xfId="15913"/>
    <cellStyle name="Normal 11 5 2 4 5" xfId="6859"/>
    <cellStyle name="Normal 11 5 2 4 5 2" xfId="17577"/>
    <cellStyle name="Normal 11 5 2 4 6" xfId="10189"/>
    <cellStyle name="Normal 11 5 2 4 6 2" xfId="20905"/>
    <cellStyle name="Normal 11 5 2 4 7" xfId="14247"/>
    <cellStyle name="Normal 11 5 2 5" xfId="3706"/>
    <cellStyle name="Normal 11 5 2 5 2" xfId="4562"/>
    <cellStyle name="Normal 11 5 2 5 2 2" xfId="6230"/>
    <cellStyle name="Normal 11 5 2 5 2 2 2" xfId="9565"/>
    <cellStyle name="Normal 11 5 2 5 2 2 2 2" xfId="20281"/>
    <cellStyle name="Normal 11 5 2 5 2 2 3" xfId="12893"/>
    <cellStyle name="Normal 11 5 2 5 2 2 3 2" xfId="23609"/>
    <cellStyle name="Normal 11 5 2 5 2 2 4" xfId="16953"/>
    <cellStyle name="Normal 11 5 2 5 2 3" xfId="7901"/>
    <cellStyle name="Normal 11 5 2 5 2 3 2" xfId="18617"/>
    <cellStyle name="Normal 11 5 2 5 2 4" xfId="11229"/>
    <cellStyle name="Normal 11 5 2 5 2 4 2" xfId="21945"/>
    <cellStyle name="Normal 11 5 2 5 2 5" xfId="15289"/>
    <cellStyle name="Normal 11 5 2 5 3" xfId="5398"/>
    <cellStyle name="Normal 11 5 2 5 3 2" xfId="8733"/>
    <cellStyle name="Normal 11 5 2 5 3 2 2" xfId="19449"/>
    <cellStyle name="Normal 11 5 2 5 3 3" xfId="12061"/>
    <cellStyle name="Normal 11 5 2 5 3 3 2" xfId="22777"/>
    <cellStyle name="Normal 11 5 2 5 3 4" xfId="16121"/>
    <cellStyle name="Normal 11 5 2 5 4" xfId="7069"/>
    <cellStyle name="Normal 11 5 2 5 4 2" xfId="17785"/>
    <cellStyle name="Normal 11 5 2 5 5" xfId="10397"/>
    <cellStyle name="Normal 11 5 2 5 5 2" xfId="21113"/>
    <cellStyle name="Normal 11 5 2 5 6" xfId="14457"/>
    <cellStyle name="Normal 11 5 2 6" xfId="4144"/>
    <cellStyle name="Normal 11 5 2 6 2" xfId="5814"/>
    <cellStyle name="Normal 11 5 2 6 2 2" xfId="9149"/>
    <cellStyle name="Normal 11 5 2 6 2 2 2" xfId="19865"/>
    <cellStyle name="Normal 11 5 2 6 2 3" xfId="12477"/>
    <cellStyle name="Normal 11 5 2 6 2 3 2" xfId="23193"/>
    <cellStyle name="Normal 11 5 2 6 2 4" xfId="16537"/>
    <cellStyle name="Normal 11 5 2 6 3" xfId="7485"/>
    <cellStyle name="Normal 11 5 2 6 3 2" xfId="18201"/>
    <cellStyle name="Normal 11 5 2 6 4" xfId="10813"/>
    <cellStyle name="Normal 11 5 2 6 4 2" xfId="21529"/>
    <cellStyle name="Normal 11 5 2 6 5" xfId="14873"/>
    <cellStyle name="Normal 11 5 2 7" xfId="4979"/>
    <cellStyle name="Normal 11 5 2 7 2" xfId="8317"/>
    <cellStyle name="Normal 11 5 2 7 2 2" xfId="19033"/>
    <cellStyle name="Normal 11 5 2 7 3" xfId="11645"/>
    <cellStyle name="Normal 11 5 2 7 3 2" xfId="22361"/>
    <cellStyle name="Normal 11 5 2 7 4" xfId="15705"/>
    <cellStyle name="Normal 11 5 2 8" xfId="6649"/>
    <cellStyle name="Normal 11 5 2 8 2" xfId="17369"/>
    <cellStyle name="Normal 11 5 2 9" xfId="9981"/>
    <cellStyle name="Normal 11 5 2 9 2" xfId="20697"/>
    <cellStyle name="Normal 11 5 3" xfId="1105"/>
    <cellStyle name="Normal 11 5 3 2" xfId="1106"/>
    <cellStyle name="Normal 11 5 3 2 2" xfId="2821"/>
    <cellStyle name="Normal 11 5 3 2 2 2" xfId="3935"/>
    <cellStyle name="Normal 11 5 3 2 2 2 2" xfId="4775"/>
    <cellStyle name="Normal 11 5 3 2 2 2 2 2" xfId="6443"/>
    <cellStyle name="Normal 11 5 3 2 2 2 2 2 2" xfId="9778"/>
    <cellStyle name="Normal 11 5 3 2 2 2 2 2 2 2" xfId="20494"/>
    <cellStyle name="Normal 11 5 3 2 2 2 2 2 3" xfId="13106"/>
    <cellStyle name="Normal 11 5 3 2 2 2 2 2 3 2" xfId="23822"/>
    <cellStyle name="Normal 11 5 3 2 2 2 2 2 4" xfId="17166"/>
    <cellStyle name="Normal 11 5 3 2 2 2 2 3" xfId="8114"/>
    <cellStyle name="Normal 11 5 3 2 2 2 2 3 2" xfId="18830"/>
    <cellStyle name="Normal 11 5 3 2 2 2 2 4" xfId="11442"/>
    <cellStyle name="Normal 11 5 3 2 2 2 2 4 2" xfId="22158"/>
    <cellStyle name="Normal 11 5 3 2 2 2 2 5" xfId="15502"/>
    <cellStyle name="Normal 11 5 3 2 2 2 3" xfId="5611"/>
    <cellStyle name="Normal 11 5 3 2 2 2 3 2" xfId="8946"/>
    <cellStyle name="Normal 11 5 3 2 2 2 3 2 2" xfId="19662"/>
    <cellStyle name="Normal 11 5 3 2 2 2 3 3" xfId="12274"/>
    <cellStyle name="Normal 11 5 3 2 2 2 3 3 2" xfId="22990"/>
    <cellStyle name="Normal 11 5 3 2 2 2 3 4" xfId="16334"/>
    <cellStyle name="Normal 11 5 3 2 2 2 4" xfId="7282"/>
    <cellStyle name="Normal 11 5 3 2 2 2 4 2" xfId="17998"/>
    <cellStyle name="Normal 11 5 3 2 2 2 5" xfId="10610"/>
    <cellStyle name="Normal 11 5 3 2 2 2 5 2" xfId="21326"/>
    <cellStyle name="Normal 11 5 3 2 2 2 6" xfId="14670"/>
    <cellStyle name="Normal 11 5 3 2 2 3" xfId="4359"/>
    <cellStyle name="Normal 11 5 3 2 2 3 2" xfId="6027"/>
    <cellStyle name="Normal 11 5 3 2 2 3 2 2" xfId="9362"/>
    <cellStyle name="Normal 11 5 3 2 2 3 2 2 2" xfId="20078"/>
    <cellStyle name="Normal 11 5 3 2 2 3 2 3" xfId="12690"/>
    <cellStyle name="Normal 11 5 3 2 2 3 2 3 2" xfId="23406"/>
    <cellStyle name="Normal 11 5 3 2 2 3 2 4" xfId="16750"/>
    <cellStyle name="Normal 11 5 3 2 2 3 3" xfId="7698"/>
    <cellStyle name="Normal 11 5 3 2 2 3 3 2" xfId="18414"/>
    <cellStyle name="Normal 11 5 3 2 2 3 4" xfId="11026"/>
    <cellStyle name="Normal 11 5 3 2 2 3 4 2" xfId="21742"/>
    <cellStyle name="Normal 11 5 3 2 2 3 5" xfId="15086"/>
    <cellStyle name="Normal 11 5 3 2 2 4" xfId="5195"/>
    <cellStyle name="Normal 11 5 3 2 2 4 2" xfId="8530"/>
    <cellStyle name="Normal 11 5 3 2 2 4 2 2" xfId="19246"/>
    <cellStyle name="Normal 11 5 3 2 2 4 3" xfId="11858"/>
    <cellStyle name="Normal 11 5 3 2 2 4 3 2" xfId="22574"/>
    <cellStyle name="Normal 11 5 3 2 2 4 4" xfId="15918"/>
    <cellStyle name="Normal 11 5 3 2 2 5" xfId="6864"/>
    <cellStyle name="Normal 11 5 3 2 2 5 2" xfId="17582"/>
    <cellStyle name="Normal 11 5 3 2 2 6" xfId="10194"/>
    <cellStyle name="Normal 11 5 3 2 2 6 2" xfId="20910"/>
    <cellStyle name="Normal 11 5 3 2 2 7" xfId="14252"/>
    <cellStyle name="Normal 11 5 3 2 3" xfId="3711"/>
    <cellStyle name="Normal 11 5 3 2 3 2" xfId="4567"/>
    <cellStyle name="Normal 11 5 3 2 3 2 2" xfId="6235"/>
    <cellStyle name="Normal 11 5 3 2 3 2 2 2" xfId="9570"/>
    <cellStyle name="Normal 11 5 3 2 3 2 2 2 2" xfId="20286"/>
    <cellStyle name="Normal 11 5 3 2 3 2 2 3" xfId="12898"/>
    <cellStyle name="Normal 11 5 3 2 3 2 2 3 2" xfId="23614"/>
    <cellStyle name="Normal 11 5 3 2 3 2 2 4" xfId="16958"/>
    <cellStyle name="Normal 11 5 3 2 3 2 3" xfId="7906"/>
    <cellStyle name="Normal 11 5 3 2 3 2 3 2" xfId="18622"/>
    <cellStyle name="Normal 11 5 3 2 3 2 4" xfId="11234"/>
    <cellStyle name="Normal 11 5 3 2 3 2 4 2" xfId="21950"/>
    <cellStyle name="Normal 11 5 3 2 3 2 5" xfId="15294"/>
    <cellStyle name="Normal 11 5 3 2 3 3" xfId="5403"/>
    <cellStyle name="Normal 11 5 3 2 3 3 2" xfId="8738"/>
    <cellStyle name="Normal 11 5 3 2 3 3 2 2" xfId="19454"/>
    <cellStyle name="Normal 11 5 3 2 3 3 3" xfId="12066"/>
    <cellStyle name="Normal 11 5 3 2 3 3 3 2" xfId="22782"/>
    <cellStyle name="Normal 11 5 3 2 3 3 4" xfId="16126"/>
    <cellStyle name="Normal 11 5 3 2 3 4" xfId="7074"/>
    <cellStyle name="Normal 11 5 3 2 3 4 2" xfId="17790"/>
    <cellStyle name="Normal 11 5 3 2 3 5" xfId="10402"/>
    <cellStyle name="Normal 11 5 3 2 3 5 2" xfId="21118"/>
    <cellStyle name="Normal 11 5 3 2 3 6" xfId="14462"/>
    <cellStyle name="Normal 11 5 3 2 4" xfId="4149"/>
    <cellStyle name="Normal 11 5 3 2 4 2" xfId="5819"/>
    <cellStyle name="Normal 11 5 3 2 4 2 2" xfId="9154"/>
    <cellStyle name="Normal 11 5 3 2 4 2 2 2" xfId="19870"/>
    <cellStyle name="Normal 11 5 3 2 4 2 3" xfId="12482"/>
    <cellStyle name="Normal 11 5 3 2 4 2 3 2" xfId="23198"/>
    <cellStyle name="Normal 11 5 3 2 4 2 4" xfId="16542"/>
    <cellStyle name="Normal 11 5 3 2 4 3" xfId="7490"/>
    <cellStyle name="Normal 11 5 3 2 4 3 2" xfId="18206"/>
    <cellStyle name="Normal 11 5 3 2 4 4" xfId="10818"/>
    <cellStyle name="Normal 11 5 3 2 4 4 2" xfId="21534"/>
    <cellStyle name="Normal 11 5 3 2 4 5" xfId="14878"/>
    <cellStyle name="Normal 11 5 3 2 5" xfId="4984"/>
    <cellStyle name="Normal 11 5 3 2 5 2" xfId="8322"/>
    <cellStyle name="Normal 11 5 3 2 5 2 2" xfId="19038"/>
    <cellStyle name="Normal 11 5 3 2 5 3" xfId="11650"/>
    <cellStyle name="Normal 11 5 3 2 5 3 2" xfId="22366"/>
    <cellStyle name="Normal 11 5 3 2 5 4" xfId="15710"/>
    <cellStyle name="Normal 11 5 3 2 6" xfId="6654"/>
    <cellStyle name="Normal 11 5 3 2 6 2" xfId="17374"/>
    <cellStyle name="Normal 11 5 3 2 7" xfId="9986"/>
    <cellStyle name="Normal 11 5 3 2 7 2" xfId="20702"/>
    <cellStyle name="Normal 11 5 3 2 8" xfId="14043"/>
    <cellStyle name="Normal 11 5 3 3" xfId="2820"/>
    <cellStyle name="Normal 11 5 3 3 2" xfId="3934"/>
    <cellStyle name="Normal 11 5 3 3 2 2" xfId="4774"/>
    <cellStyle name="Normal 11 5 3 3 2 2 2" xfId="6442"/>
    <cellStyle name="Normal 11 5 3 3 2 2 2 2" xfId="9777"/>
    <cellStyle name="Normal 11 5 3 3 2 2 2 2 2" xfId="20493"/>
    <cellStyle name="Normal 11 5 3 3 2 2 2 3" xfId="13105"/>
    <cellStyle name="Normal 11 5 3 3 2 2 2 3 2" xfId="23821"/>
    <cellStyle name="Normal 11 5 3 3 2 2 2 4" xfId="17165"/>
    <cellStyle name="Normal 11 5 3 3 2 2 3" xfId="8113"/>
    <cellStyle name="Normal 11 5 3 3 2 2 3 2" xfId="18829"/>
    <cellStyle name="Normal 11 5 3 3 2 2 4" xfId="11441"/>
    <cellStyle name="Normal 11 5 3 3 2 2 4 2" xfId="22157"/>
    <cellStyle name="Normal 11 5 3 3 2 2 5" xfId="15501"/>
    <cellStyle name="Normal 11 5 3 3 2 3" xfId="5610"/>
    <cellStyle name="Normal 11 5 3 3 2 3 2" xfId="8945"/>
    <cellStyle name="Normal 11 5 3 3 2 3 2 2" xfId="19661"/>
    <cellStyle name="Normal 11 5 3 3 2 3 3" xfId="12273"/>
    <cellStyle name="Normal 11 5 3 3 2 3 3 2" xfId="22989"/>
    <cellStyle name="Normal 11 5 3 3 2 3 4" xfId="16333"/>
    <cellStyle name="Normal 11 5 3 3 2 4" xfId="7281"/>
    <cellStyle name="Normal 11 5 3 3 2 4 2" xfId="17997"/>
    <cellStyle name="Normal 11 5 3 3 2 5" xfId="10609"/>
    <cellStyle name="Normal 11 5 3 3 2 5 2" xfId="21325"/>
    <cellStyle name="Normal 11 5 3 3 2 6" xfId="14669"/>
    <cellStyle name="Normal 11 5 3 3 3" xfId="4358"/>
    <cellStyle name="Normal 11 5 3 3 3 2" xfId="6026"/>
    <cellStyle name="Normal 11 5 3 3 3 2 2" xfId="9361"/>
    <cellStyle name="Normal 11 5 3 3 3 2 2 2" xfId="20077"/>
    <cellStyle name="Normal 11 5 3 3 3 2 3" xfId="12689"/>
    <cellStyle name="Normal 11 5 3 3 3 2 3 2" xfId="23405"/>
    <cellStyle name="Normal 11 5 3 3 3 2 4" xfId="16749"/>
    <cellStyle name="Normal 11 5 3 3 3 3" xfId="7697"/>
    <cellStyle name="Normal 11 5 3 3 3 3 2" xfId="18413"/>
    <cellStyle name="Normal 11 5 3 3 3 4" xfId="11025"/>
    <cellStyle name="Normal 11 5 3 3 3 4 2" xfId="21741"/>
    <cellStyle name="Normal 11 5 3 3 3 5" xfId="15085"/>
    <cellStyle name="Normal 11 5 3 3 4" xfId="5194"/>
    <cellStyle name="Normal 11 5 3 3 4 2" xfId="8529"/>
    <cellStyle name="Normal 11 5 3 3 4 2 2" xfId="19245"/>
    <cellStyle name="Normal 11 5 3 3 4 3" xfId="11857"/>
    <cellStyle name="Normal 11 5 3 3 4 3 2" xfId="22573"/>
    <cellStyle name="Normal 11 5 3 3 4 4" xfId="15917"/>
    <cellStyle name="Normal 11 5 3 3 5" xfId="6863"/>
    <cellStyle name="Normal 11 5 3 3 5 2" xfId="17581"/>
    <cellStyle name="Normal 11 5 3 3 6" xfId="10193"/>
    <cellStyle name="Normal 11 5 3 3 6 2" xfId="20909"/>
    <cellStyle name="Normal 11 5 3 3 7" xfId="14251"/>
    <cellStyle name="Normal 11 5 3 4" xfId="3710"/>
    <cellStyle name="Normal 11 5 3 4 2" xfId="4566"/>
    <cellStyle name="Normal 11 5 3 4 2 2" xfId="6234"/>
    <cellStyle name="Normal 11 5 3 4 2 2 2" xfId="9569"/>
    <cellStyle name="Normal 11 5 3 4 2 2 2 2" xfId="20285"/>
    <cellStyle name="Normal 11 5 3 4 2 2 3" xfId="12897"/>
    <cellStyle name="Normal 11 5 3 4 2 2 3 2" xfId="23613"/>
    <cellStyle name="Normal 11 5 3 4 2 2 4" xfId="16957"/>
    <cellStyle name="Normal 11 5 3 4 2 3" xfId="7905"/>
    <cellStyle name="Normal 11 5 3 4 2 3 2" xfId="18621"/>
    <cellStyle name="Normal 11 5 3 4 2 4" xfId="11233"/>
    <cellStyle name="Normal 11 5 3 4 2 4 2" xfId="21949"/>
    <cellStyle name="Normal 11 5 3 4 2 5" xfId="15293"/>
    <cellStyle name="Normal 11 5 3 4 3" xfId="5402"/>
    <cellStyle name="Normal 11 5 3 4 3 2" xfId="8737"/>
    <cellStyle name="Normal 11 5 3 4 3 2 2" xfId="19453"/>
    <cellStyle name="Normal 11 5 3 4 3 3" xfId="12065"/>
    <cellStyle name="Normal 11 5 3 4 3 3 2" xfId="22781"/>
    <cellStyle name="Normal 11 5 3 4 3 4" xfId="16125"/>
    <cellStyle name="Normal 11 5 3 4 4" xfId="7073"/>
    <cellStyle name="Normal 11 5 3 4 4 2" xfId="17789"/>
    <cellStyle name="Normal 11 5 3 4 5" xfId="10401"/>
    <cellStyle name="Normal 11 5 3 4 5 2" xfId="21117"/>
    <cellStyle name="Normal 11 5 3 4 6" xfId="14461"/>
    <cellStyle name="Normal 11 5 3 5" xfId="4148"/>
    <cellStyle name="Normal 11 5 3 5 2" xfId="5818"/>
    <cellStyle name="Normal 11 5 3 5 2 2" xfId="9153"/>
    <cellStyle name="Normal 11 5 3 5 2 2 2" xfId="19869"/>
    <cellStyle name="Normal 11 5 3 5 2 3" xfId="12481"/>
    <cellStyle name="Normal 11 5 3 5 2 3 2" xfId="23197"/>
    <cellStyle name="Normal 11 5 3 5 2 4" xfId="16541"/>
    <cellStyle name="Normal 11 5 3 5 3" xfId="7489"/>
    <cellStyle name="Normal 11 5 3 5 3 2" xfId="18205"/>
    <cellStyle name="Normal 11 5 3 5 4" xfId="10817"/>
    <cellStyle name="Normal 11 5 3 5 4 2" xfId="21533"/>
    <cellStyle name="Normal 11 5 3 5 5" xfId="14877"/>
    <cellStyle name="Normal 11 5 3 6" xfId="4983"/>
    <cellStyle name="Normal 11 5 3 6 2" xfId="8321"/>
    <cellStyle name="Normal 11 5 3 6 2 2" xfId="19037"/>
    <cellStyle name="Normal 11 5 3 6 3" xfId="11649"/>
    <cellStyle name="Normal 11 5 3 6 3 2" xfId="22365"/>
    <cellStyle name="Normal 11 5 3 6 4" xfId="15709"/>
    <cellStyle name="Normal 11 5 3 7" xfId="6653"/>
    <cellStyle name="Normal 11 5 3 7 2" xfId="17373"/>
    <cellStyle name="Normal 11 5 3 8" xfId="9985"/>
    <cellStyle name="Normal 11 5 3 8 2" xfId="20701"/>
    <cellStyle name="Normal 11 5 3 9" xfId="14042"/>
    <cellStyle name="Normal 11 5 4" xfId="1107"/>
    <cellStyle name="Normal 11 5 4 2" xfId="2822"/>
    <cellStyle name="Normal 11 5 4 2 2" xfId="3936"/>
    <cellStyle name="Normal 11 5 4 2 2 2" xfId="4776"/>
    <cellStyle name="Normal 11 5 4 2 2 2 2" xfId="6444"/>
    <cellStyle name="Normal 11 5 4 2 2 2 2 2" xfId="9779"/>
    <cellStyle name="Normal 11 5 4 2 2 2 2 2 2" xfId="20495"/>
    <cellStyle name="Normal 11 5 4 2 2 2 2 3" xfId="13107"/>
    <cellStyle name="Normal 11 5 4 2 2 2 2 3 2" xfId="23823"/>
    <cellStyle name="Normal 11 5 4 2 2 2 2 4" xfId="17167"/>
    <cellStyle name="Normal 11 5 4 2 2 2 3" xfId="8115"/>
    <cellStyle name="Normal 11 5 4 2 2 2 3 2" xfId="18831"/>
    <cellStyle name="Normal 11 5 4 2 2 2 4" xfId="11443"/>
    <cellStyle name="Normal 11 5 4 2 2 2 4 2" xfId="22159"/>
    <cellStyle name="Normal 11 5 4 2 2 2 5" xfId="15503"/>
    <cellStyle name="Normal 11 5 4 2 2 3" xfId="5612"/>
    <cellStyle name="Normal 11 5 4 2 2 3 2" xfId="8947"/>
    <cellStyle name="Normal 11 5 4 2 2 3 2 2" xfId="19663"/>
    <cellStyle name="Normal 11 5 4 2 2 3 3" xfId="12275"/>
    <cellStyle name="Normal 11 5 4 2 2 3 3 2" xfId="22991"/>
    <cellStyle name="Normal 11 5 4 2 2 3 4" xfId="16335"/>
    <cellStyle name="Normal 11 5 4 2 2 4" xfId="7283"/>
    <cellStyle name="Normal 11 5 4 2 2 4 2" xfId="17999"/>
    <cellStyle name="Normal 11 5 4 2 2 5" xfId="10611"/>
    <cellStyle name="Normal 11 5 4 2 2 5 2" xfId="21327"/>
    <cellStyle name="Normal 11 5 4 2 2 6" xfId="14671"/>
    <cellStyle name="Normal 11 5 4 2 3" xfId="4360"/>
    <cellStyle name="Normal 11 5 4 2 3 2" xfId="6028"/>
    <cellStyle name="Normal 11 5 4 2 3 2 2" xfId="9363"/>
    <cellStyle name="Normal 11 5 4 2 3 2 2 2" xfId="20079"/>
    <cellStyle name="Normal 11 5 4 2 3 2 3" xfId="12691"/>
    <cellStyle name="Normal 11 5 4 2 3 2 3 2" xfId="23407"/>
    <cellStyle name="Normal 11 5 4 2 3 2 4" xfId="16751"/>
    <cellStyle name="Normal 11 5 4 2 3 3" xfId="7699"/>
    <cellStyle name="Normal 11 5 4 2 3 3 2" xfId="18415"/>
    <cellStyle name="Normal 11 5 4 2 3 4" xfId="11027"/>
    <cellStyle name="Normal 11 5 4 2 3 4 2" xfId="21743"/>
    <cellStyle name="Normal 11 5 4 2 3 5" xfId="15087"/>
    <cellStyle name="Normal 11 5 4 2 4" xfId="5196"/>
    <cellStyle name="Normal 11 5 4 2 4 2" xfId="8531"/>
    <cellStyle name="Normal 11 5 4 2 4 2 2" xfId="19247"/>
    <cellStyle name="Normal 11 5 4 2 4 3" xfId="11859"/>
    <cellStyle name="Normal 11 5 4 2 4 3 2" xfId="22575"/>
    <cellStyle name="Normal 11 5 4 2 4 4" xfId="15919"/>
    <cellStyle name="Normal 11 5 4 2 5" xfId="6865"/>
    <cellStyle name="Normal 11 5 4 2 5 2" xfId="17583"/>
    <cellStyle name="Normal 11 5 4 2 6" xfId="10195"/>
    <cellStyle name="Normal 11 5 4 2 6 2" xfId="20911"/>
    <cellStyle name="Normal 11 5 4 2 7" xfId="14253"/>
    <cellStyle name="Normal 11 5 4 3" xfId="3712"/>
    <cellStyle name="Normal 11 5 4 3 2" xfId="4568"/>
    <cellStyle name="Normal 11 5 4 3 2 2" xfId="6236"/>
    <cellStyle name="Normal 11 5 4 3 2 2 2" xfId="9571"/>
    <cellStyle name="Normal 11 5 4 3 2 2 2 2" xfId="20287"/>
    <cellStyle name="Normal 11 5 4 3 2 2 3" xfId="12899"/>
    <cellStyle name="Normal 11 5 4 3 2 2 3 2" xfId="23615"/>
    <cellStyle name="Normal 11 5 4 3 2 2 4" xfId="16959"/>
    <cellStyle name="Normal 11 5 4 3 2 3" xfId="7907"/>
    <cellStyle name="Normal 11 5 4 3 2 3 2" xfId="18623"/>
    <cellStyle name="Normal 11 5 4 3 2 4" xfId="11235"/>
    <cellStyle name="Normal 11 5 4 3 2 4 2" xfId="21951"/>
    <cellStyle name="Normal 11 5 4 3 2 5" xfId="15295"/>
    <cellStyle name="Normal 11 5 4 3 3" xfId="5404"/>
    <cellStyle name="Normal 11 5 4 3 3 2" xfId="8739"/>
    <cellStyle name="Normal 11 5 4 3 3 2 2" xfId="19455"/>
    <cellStyle name="Normal 11 5 4 3 3 3" xfId="12067"/>
    <cellStyle name="Normal 11 5 4 3 3 3 2" xfId="22783"/>
    <cellStyle name="Normal 11 5 4 3 3 4" xfId="16127"/>
    <cellStyle name="Normal 11 5 4 3 4" xfId="7075"/>
    <cellStyle name="Normal 11 5 4 3 4 2" xfId="17791"/>
    <cellStyle name="Normal 11 5 4 3 5" xfId="10403"/>
    <cellStyle name="Normal 11 5 4 3 5 2" xfId="21119"/>
    <cellStyle name="Normal 11 5 4 3 6" xfId="14463"/>
    <cellStyle name="Normal 11 5 4 4" xfId="4150"/>
    <cellStyle name="Normal 11 5 4 4 2" xfId="5820"/>
    <cellStyle name="Normal 11 5 4 4 2 2" xfId="9155"/>
    <cellStyle name="Normal 11 5 4 4 2 2 2" xfId="19871"/>
    <cellStyle name="Normal 11 5 4 4 2 3" xfId="12483"/>
    <cellStyle name="Normal 11 5 4 4 2 3 2" xfId="23199"/>
    <cellStyle name="Normal 11 5 4 4 2 4" xfId="16543"/>
    <cellStyle name="Normal 11 5 4 4 3" xfId="7491"/>
    <cellStyle name="Normal 11 5 4 4 3 2" xfId="18207"/>
    <cellStyle name="Normal 11 5 4 4 4" xfId="10819"/>
    <cellStyle name="Normal 11 5 4 4 4 2" xfId="21535"/>
    <cellStyle name="Normal 11 5 4 4 5" xfId="14879"/>
    <cellStyle name="Normal 11 5 4 5" xfId="4985"/>
    <cellStyle name="Normal 11 5 4 5 2" xfId="8323"/>
    <cellStyle name="Normal 11 5 4 5 2 2" xfId="19039"/>
    <cellStyle name="Normal 11 5 4 5 3" xfId="11651"/>
    <cellStyle name="Normal 11 5 4 5 3 2" xfId="22367"/>
    <cellStyle name="Normal 11 5 4 5 4" xfId="15711"/>
    <cellStyle name="Normal 11 5 4 6" xfId="6655"/>
    <cellStyle name="Normal 11 5 4 6 2" xfId="17375"/>
    <cellStyle name="Normal 11 5 4 7" xfId="9987"/>
    <cellStyle name="Normal 11 5 4 7 2" xfId="20703"/>
    <cellStyle name="Normal 11 5 4 8" xfId="14044"/>
    <cellStyle name="Normal 11 5 5" xfId="2815"/>
    <cellStyle name="Normal 11 5 5 2" xfId="3929"/>
    <cellStyle name="Normal 11 5 5 2 2" xfId="4769"/>
    <cellStyle name="Normal 11 5 5 2 2 2" xfId="6437"/>
    <cellStyle name="Normal 11 5 5 2 2 2 2" xfId="9772"/>
    <cellStyle name="Normal 11 5 5 2 2 2 2 2" xfId="20488"/>
    <cellStyle name="Normal 11 5 5 2 2 2 3" xfId="13100"/>
    <cellStyle name="Normal 11 5 5 2 2 2 3 2" xfId="23816"/>
    <cellStyle name="Normal 11 5 5 2 2 2 4" xfId="17160"/>
    <cellStyle name="Normal 11 5 5 2 2 3" xfId="8108"/>
    <cellStyle name="Normal 11 5 5 2 2 3 2" xfId="18824"/>
    <cellStyle name="Normal 11 5 5 2 2 4" xfId="11436"/>
    <cellStyle name="Normal 11 5 5 2 2 4 2" xfId="22152"/>
    <cellStyle name="Normal 11 5 5 2 2 5" xfId="15496"/>
    <cellStyle name="Normal 11 5 5 2 3" xfId="5605"/>
    <cellStyle name="Normal 11 5 5 2 3 2" xfId="8940"/>
    <cellStyle name="Normal 11 5 5 2 3 2 2" xfId="19656"/>
    <cellStyle name="Normal 11 5 5 2 3 3" xfId="12268"/>
    <cellStyle name="Normal 11 5 5 2 3 3 2" xfId="22984"/>
    <cellStyle name="Normal 11 5 5 2 3 4" xfId="16328"/>
    <cellStyle name="Normal 11 5 5 2 4" xfId="7276"/>
    <cellStyle name="Normal 11 5 5 2 4 2" xfId="17992"/>
    <cellStyle name="Normal 11 5 5 2 5" xfId="10604"/>
    <cellStyle name="Normal 11 5 5 2 5 2" xfId="21320"/>
    <cellStyle name="Normal 11 5 5 2 6" xfId="14664"/>
    <cellStyle name="Normal 11 5 5 3" xfId="4353"/>
    <cellStyle name="Normal 11 5 5 3 2" xfId="6021"/>
    <cellStyle name="Normal 11 5 5 3 2 2" xfId="9356"/>
    <cellStyle name="Normal 11 5 5 3 2 2 2" xfId="20072"/>
    <cellStyle name="Normal 11 5 5 3 2 3" xfId="12684"/>
    <cellStyle name="Normal 11 5 5 3 2 3 2" xfId="23400"/>
    <cellStyle name="Normal 11 5 5 3 2 4" xfId="16744"/>
    <cellStyle name="Normal 11 5 5 3 3" xfId="7692"/>
    <cellStyle name="Normal 11 5 5 3 3 2" xfId="18408"/>
    <cellStyle name="Normal 11 5 5 3 4" xfId="11020"/>
    <cellStyle name="Normal 11 5 5 3 4 2" xfId="21736"/>
    <cellStyle name="Normal 11 5 5 3 5" xfId="15080"/>
    <cellStyle name="Normal 11 5 5 4" xfId="5189"/>
    <cellStyle name="Normal 11 5 5 4 2" xfId="8524"/>
    <cellStyle name="Normal 11 5 5 4 2 2" xfId="19240"/>
    <cellStyle name="Normal 11 5 5 4 3" xfId="11852"/>
    <cellStyle name="Normal 11 5 5 4 3 2" xfId="22568"/>
    <cellStyle name="Normal 11 5 5 4 4" xfId="15912"/>
    <cellStyle name="Normal 11 5 5 5" xfId="6858"/>
    <cellStyle name="Normal 11 5 5 5 2" xfId="17576"/>
    <cellStyle name="Normal 11 5 5 6" xfId="10188"/>
    <cellStyle name="Normal 11 5 5 6 2" xfId="20904"/>
    <cellStyle name="Normal 11 5 5 7" xfId="14246"/>
    <cellStyle name="Normal 11 5 6" xfId="3705"/>
    <cellStyle name="Normal 11 5 6 2" xfId="4561"/>
    <cellStyle name="Normal 11 5 6 2 2" xfId="6229"/>
    <cellStyle name="Normal 11 5 6 2 2 2" xfId="9564"/>
    <cellStyle name="Normal 11 5 6 2 2 2 2" xfId="20280"/>
    <cellStyle name="Normal 11 5 6 2 2 3" xfId="12892"/>
    <cellStyle name="Normal 11 5 6 2 2 3 2" xfId="23608"/>
    <cellStyle name="Normal 11 5 6 2 2 4" xfId="16952"/>
    <cellStyle name="Normal 11 5 6 2 3" xfId="7900"/>
    <cellStyle name="Normal 11 5 6 2 3 2" xfId="18616"/>
    <cellStyle name="Normal 11 5 6 2 4" xfId="11228"/>
    <cellStyle name="Normal 11 5 6 2 4 2" xfId="21944"/>
    <cellStyle name="Normal 11 5 6 2 5" xfId="15288"/>
    <cellStyle name="Normal 11 5 6 3" xfId="5397"/>
    <cellStyle name="Normal 11 5 6 3 2" xfId="8732"/>
    <cellStyle name="Normal 11 5 6 3 2 2" xfId="19448"/>
    <cellStyle name="Normal 11 5 6 3 3" xfId="12060"/>
    <cellStyle name="Normal 11 5 6 3 3 2" xfId="22776"/>
    <cellStyle name="Normal 11 5 6 3 4" xfId="16120"/>
    <cellStyle name="Normal 11 5 6 4" xfId="7068"/>
    <cellStyle name="Normal 11 5 6 4 2" xfId="17784"/>
    <cellStyle name="Normal 11 5 6 5" xfId="10396"/>
    <cellStyle name="Normal 11 5 6 5 2" xfId="21112"/>
    <cellStyle name="Normal 11 5 6 6" xfId="14456"/>
    <cellStyle name="Normal 11 5 7" xfId="4143"/>
    <cellStyle name="Normal 11 5 7 2" xfId="5813"/>
    <cellStyle name="Normal 11 5 7 2 2" xfId="9148"/>
    <cellStyle name="Normal 11 5 7 2 2 2" xfId="19864"/>
    <cellStyle name="Normal 11 5 7 2 3" xfId="12476"/>
    <cellStyle name="Normal 11 5 7 2 3 2" xfId="23192"/>
    <cellStyle name="Normal 11 5 7 2 4" xfId="16536"/>
    <cellStyle name="Normal 11 5 7 3" xfId="7484"/>
    <cellStyle name="Normal 11 5 7 3 2" xfId="18200"/>
    <cellStyle name="Normal 11 5 7 4" xfId="10812"/>
    <cellStyle name="Normal 11 5 7 4 2" xfId="21528"/>
    <cellStyle name="Normal 11 5 7 5" xfId="14872"/>
    <cellStyle name="Normal 11 5 8" xfId="4978"/>
    <cellStyle name="Normal 11 5 8 2" xfId="8316"/>
    <cellStyle name="Normal 11 5 8 2 2" xfId="19032"/>
    <cellStyle name="Normal 11 5 8 3" xfId="11644"/>
    <cellStyle name="Normal 11 5 8 3 2" xfId="22360"/>
    <cellStyle name="Normal 11 5 8 4" xfId="15704"/>
    <cellStyle name="Normal 11 5 9" xfId="6648"/>
    <cellStyle name="Normal 11 5 9 2" xfId="17368"/>
    <cellStyle name="Normal 11 6" xfId="1108"/>
    <cellStyle name="Normal 11 6 10" xfId="9988"/>
    <cellStyle name="Normal 11 6 10 2" xfId="20704"/>
    <cellStyle name="Normal 11 6 11" xfId="14045"/>
    <cellStyle name="Normal 11 6 2" xfId="1109"/>
    <cellStyle name="Normal 11 6 2 10" xfId="14046"/>
    <cellStyle name="Normal 11 6 2 2" xfId="1110"/>
    <cellStyle name="Normal 11 6 2 2 2" xfId="1111"/>
    <cellStyle name="Normal 11 6 2 2 2 2" xfId="2826"/>
    <cellStyle name="Normal 11 6 2 2 2 2 2" xfId="3940"/>
    <cellStyle name="Normal 11 6 2 2 2 2 2 2" xfId="4780"/>
    <cellStyle name="Normal 11 6 2 2 2 2 2 2 2" xfId="6448"/>
    <cellStyle name="Normal 11 6 2 2 2 2 2 2 2 2" xfId="9783"/>
    <cellStyle name="Normal 11 6 2 2 2 2 2 2 2 2 2" xfId="20499"/>
    <cellStyle name="Normal 11 6 2 2 2 2 2 2 2 3" xfId="13111"/>
    <cellStyle name="Normal 11 6 2 2 2 2 2 2 2 3 2" xfId="23827"/>
    <cellStyle name="Normal 11 6 2 2 2 2 2 2 2 4" xfId="17171"/>
    <cellStyle name="Normal 11 6 2 2 2 2 2 2 3" xfId="8119"/>
    <cellStyle name="Normal 11 6 2 2 2 2 2 2 3 2" xfId="18835"/>
    <cellStyle name="Normal 11 6 2 2 2 2 2 2 4" xfId="11447"/>
    <cellStyle name="Normal 11 6 2 2 2 2 2 2 4 2" xfId="22163"/>
    <cellStyle name="Normal 11 6 2 2 2 2 2 2 5" xfId="15507"/>
    <cellStyle name="Normal 11 6 2 2 2 2 2 3" xfId="5616"/>
    <cellStyle name="Normal 11 6 2 2 2 2 2 3 2" xfId="8951"/>
    <cellStyle name="Normal 11 6 2 2 2 2 2 3 2 2" xfId="19667"/>
    <cellStyle name="Normal 11 6 2 2 2 2 2 3 3" xfId="12279"/>
    <cellStyle name="Normal 11 6 2 2 2 2 2 3 3 2" xfId="22995"/>
    <cellStyle name="Normal 11 6 2 2 2 2 2 3 4" xfId="16339"/>
    <cellStyle name="Normal 11 6 2 2 2 2 2 4" xfId="7287"/>
    <cellStyle name="Normal 11 6 2 2 2 2 2 4 2" xfId="18003"/>
    <cellStyle name="Normal 11 6 2 2 2 2 2 5" xfId="10615"/>
    <cellStyle name="Normal 11 6 2 2 2 2 2 5 2" xfId="21331"/>
    <cellStyle name="Normal 11 6 2 2 2 2 2 6" xfId="14675"/>
    <cellStyle name="Normal 11 6 2 2 2 2 3" xfId="4364"/>
    <cellStyle name="Normal 11 6 2 2 2 2 3 2" xfId="6032"/>
    <cellStyle name="Normal 11 6 2 2 2 2 3 2 2" xfId="9367"/>
    <cellStyle name="Normal 11 6 2 2 2 2 3 2 2 2" xfId="20083"/>
    <cellStyle name="Normal 11 6 2 2 2 2 3 2 3" xfId="12695"/>
    <cellStyle name="Normal 11 6 2 2 2 2 3 2 3 2" xfId="23411"/>
    <cellStyle name="Normal 11 6 2 2 2 2 3 2 4" xfId="16755"/>
    <cellStyle name="Normal 11 6 2 2 2 2 3 3" xfId="7703"/>
    <cellStyle name="Normal 11 6 2 2 2 2 3 3 2" xfId="18419"/>
    <cellStyle name="Normal 11 6 2 2 2 2 3 4" xfId="11031"/>
    <cellStyle name="Normal 11 6 2 2 2 2 3 4 2" xfId="21747"/>
    <cellStyle name="Normal 11 6 2 2 2 2 3 5" xfId="15091"/>
    <cellStyle name="Normal 11 6 2 2 2 2 4" xfId="5200"/>
    <cellStyle name="Normal 11 6 2 2 2 2 4 2" xfId="8535"/>
    <cellStyle name="Normal 11 6 2 2 2 2 4 2 2" xfId="19251"/>
    <cellStyle name="Normal 11 6 2 2 2 2 4 3" xfId="11863"/>
    <cellStyle name="Normal 11 6 2 2 2 2 4 3 2" xfId="22579"/>
    <cellStyle name="Normal 11 6 2 2 2 2 4 4" xfId="15923"/>
    <cellStyle name="Normal 11 6 2 2 2 2 5" xfId="6869"/>
    <cellStyle name="Normal 11 6 2 2 2 2 5 2" xfId="17587"/>
    <cellStyle name="Normal 11 6 2 2 2 2 6" xfId="10199"/>
    <cellStyle name="Normal 11 6 2 2 2 2 6 2" xfId="20915"/>
    <cellStyle name="Normal 11 6 2 2 2 2 7" xfId="14257"/>
    <cellStyle name="Normal 11 6 2 2 2 3" xfId="3716"/>
    <cellStyle name="Normal 11 6 2 2 2 3 2" xfId="4572"/>
    <cellStyle name="Normal 11 6 2 2 2 3 2 2" xfId="6240"/>
    <cellStyle name="Normal 11 6 2 2 2 3 2 2 2" xfId="9575"/>
    <cellStyle name="Normal 11 6 2 2 2 3 2 2 2 2" xfId="20291"/>
    <cellStyle name="Normal 11 6 2 2 2 3 2 2 3" xfId="12903"/>
    <cellStyle name="Normal 11 6 2 2 2 3 2 2 3 2" xfId="23619"/>
    <cellStyle name="Normal 11 6 2 2 2 3 2 2 4" xfId="16963"/>
    <cellStyle name="Normal 11 6 2 2 2 3 2 3" xfId="7911"/>
    <cellStyle name="Normal 11 6 2 2 2 3 2 3 2" xfId="18627"/>
    <cellStyle name="Normal 11 6 2 2 2 3 2 4" xfId="11239"/>
    <cellStyle name="Normal 11 6 2 2 2 3 2 4 2" xfId="21955"/>
    <cellStyle name="Normal 11 6 2 2 2 3 2 5" xfId="15299"/>
    <cellStyle name="Normal 11 6 2 2 2 3 3" xfId="5408"/>
    <cellStyle name="Normal 11 6 2 2 2 3 3 2" xfId="8743"/>
    <cellStyle name="Normal 11 6 2 2 2 3 3 2 2" xfId="19459"/>
    <cellStyle name="Normal 11 6 2 2 2 3 3 3" xfId="12071"/>
    <cellStyle name="Normal 11 6 2 2 2 3 3 3 2" xfId="22787"/>
    <cellStyle name="Normal 11 6 2 2 2 3 3 4" xfId="16131"/>
    <cellStyle name="Normal 11 6 2 2 2 3 4" xfId="7079"/>
    <cellStyle name="Normal 11 6 2 2 2 3 4 2" xfId="17795"/>
    <cellStyle name="Normal 11 6 2 2 2 3 5" xfId="10407"/>
    <cellStyle name="Normal 11 6 2 2 2 3 5 2" xfId="21123"/>
    <cellStyle name="Normal 11 6 2 2 2 3 6" xfId="14467"/>
    <cellStyle name="Normal 11 6 2 2 2 4" xfId="4154"/>
    <cellStyle name="Normal 11 6 2 2 2 4 2" xfId="5824"/>
    <cellStyle name="Normal 11 6 2 2 2 4 2 2" xfId="9159"/>
    <cellStyle name="Normal 11 6 2 2 2 4 2 2 2" xfId="19875"/>
    <cellStyle name="Normal 11 6 2 2 2 4 2 3" xfId="12487"/>
    <cellStyle name="Normal 11 6 2 2 2 4 2 3 2" xfId="23203"/>
    <cellStyle name="Normal 11 6 2 2 2 4 2 4" xfId="16547"/>
    <cellStyle name="Normal 11 6 2 2 2 4 3" xfId="7495"/>
    <cellStyle name="Normal 11 6 2 2 2 4 3 2" xfId="18211"/>
    <cellStyle name="Normal 11 6 2 2 2 4 4" xfId="10823"/>
    <cellStyle name="Normal 11 6 2 2 2 4 4 2" xfId="21539"/>
    <cellStyle name="Normal 11 6 2 2 2 4 5" xfId="14883"/>
    <cellStyle name="Normal 11 6 2 2 2 5" xfId="4989"/>
    <cellStyle name="Normal 11 6 2 2 2 5 2" xfId="8327"/>
    <cellStyle name="Normal 11 6 2 2 2 5 2 2" xfId="19043"/>
    <cellStyle name="Normal 11 6 2 2 2 5 3" xfId="11655"/>
    <cellStyle name="Normal 11 6 2 2 2 5 3 2" xfId="22371"/>
    <cellStyle name="Normal 11 6 2 2 2 5 4" xfId="15715"/>
    <cellStyle name="Normal 11 6 2 2 2 6" xfId="6659"/>
    <cellStyle name="Normal 11 6 2 2 2 6 2" xfId="17379"/>
    <cellStyle name="Normal 11 6 2 2 2 7" xfId="9991"/>
    <cellStyle name="Normal 11 6 2 2 2 7 2" xfId="20707"/>
    <cellStyle name="Normal 11 6 2 2 2 8" xfId="14048"/>
    <cellStyle name="Normal 11 6 2 2 3" xfId="2825"/>
    <cellStyle name="Normal 11 6 2 2 3 2" xfId="3939"/>
    <cellStyle name="Normal 11 6 2 2 3 2 2" xfId="4779"/>
    <cellStyle name="Normal 11 6 2 2 3 2 2 2" xfId="6447"/>
    <cellStyle name="Normal 11 6 2 2 3 2 2 2 2" xfId="9782"/>
    <cellStyle name="Normal 11 6 2 2 3 2 2 2 2 2" xfId="20498"/>
    <cellStyle name="Normal 11 6 2 2 3 2 2 2 3" xfId="13110"/>
    <cellStyle name="Normal 11 6 2 2 3 2 2 2 3 2" xfId="23826"/>
    <cellStyle name="Normal 11 6 2 2 3 2 2 2 4" xfId="17170"/>
    <cellStyle name="Normal 11 6 2 2 3 2 2 3" xfId="8118"/>
    <cellStyle name="Normal 11 6 2 2 3 2 2 3 2" xfId="18834"/>
    <cellStyle name="Normal 11 6 2 2 3 2 2 4" xfId="11446"/>
    <cellStyle name="Normal 11 6 2 2 3 2 2 4 2" xfId="22162"/>
    <cellStyle name="Normal 11 6 2 2 3 2 2 5" xfId="15506"/>
    <cellStyle name="Normal 11 6 2 2 3 2 3" xfId="5615"/>
    <cellStyle name="Normal 11 6 2 2 3 2 3 2" xfId="8950"/>
    <cellStyle name="Normal 11 6 2 2 3 2 3 2 2" xfId="19666"/>
    <cellStyle name="Normal 11 6 2 2 3 2 3 3" xfId="12278"/>
    <cellStyle name="Normal 11 6 2 2 3 2 3 3 2" xfId="22994"/>
    <cellStyle name="Normal 11 6 2 2 3 2 3 4" xfId="16338"/>
    <cellStyle name="Normal 11 6 2 2 3 2 4" xfId="7286"/>
    <cellStyle name="Normal 11 6 2 2 3 2 4 2" xfId="18002"/>
    <cellStyle name="Normal 11 6 2 2 3 2 5" xfId="10614"/>
    <cellStyle name="Normal 11 6 2 2 3 2 5 2" xfId="21330"/>
    <cellStyle name="Normal 11 6 2 2 3 2 6" xfId="14674"/>
    <cellStyle name="Normal 11 6 2 2 3 3" xfId="4363"/>
    <cellStyle name="Normal 11 6 2 2 3 3 2" xfId="6031"/>
    <cellStyle name="Normal 11 6 2 2 3 3 2 2" xfId="9366"/>
    <cellStyle name="Normal 11 6 2 2 3 3 2 2 2" xfId="20082"/>
    <cellStyle name="Normal 11 6 2 2 3 3 2 3" xfId="12694"/>
    <cellStyle name="Normal 11 6 2 2 3 3 2 3 2" xfId="23410"/>
    <cellStyle name="Normal 11 6 2 2 3 3 2 4" xfId="16754"/>
    <cellStyle name="Normal 11 6 2 2 3 3 3" xfId="7702"/>
    <cellStyle name="Normal 11 6 2 2 3 3 3 2" xfId="18418"/>
    <cellStyle name="Normal 11 6 2 2 3 3 4" xfId="11030"/>
    <cellStyle name="Normal 11 6 2 2 3 3 4 2" xfId="21746"/>
    <cellStyle name="Normal 11 6 2 2 3 3 5" xfId="15090"/>
    <cellStyle name="Normal 11 6 2 2 3 4" xfId="5199"/>
    <cellStyle name="Normal 11 6 2 2 3 4 2" xfId="8534"/>
    <cellStyle name="Normal 11 6 2 2 3 4 2 2" xfId="19250"/>
    <cellStyle name="Normal 11 6 2 2 3 4 3" xfId="11862"/>
    <cellStyle name="Normal 11 6 2 2 3 4 3 2" xfId="22578"/>
    <cellStyle name="Normal 11 6 2 2 3 4 4" xfId="15922"/>
    <cellStyle name="Normal 11 6 2 2 3 5" xfId="6868"/>
    <cellStyle name="Normal 11 6 2 2 3 5 2" xfId="17586"/>
    <cellStyle name="Normal 11 6 2 2 3 6" xfId="10198"/>
    <cellStyle name="Normal 11 6 2 2 3 6 2" xfId="20914"/>
    <cellStyle name="Normal 11 6 2 2 3 7" xfId="14256"/>
    <cellStyle name="Normal 11 6 2 2 4" xfId="3715"/>
    <cellStyle name="Normal 11 6 2 2 4 2" xfId="4571"/>
    <cellStyle name="Normal 11 6 2 2 4 2 2" xfId="6239"/>
    <cellStyle name="Normal 11 6 2 2 4 2 2 2" xfId="9574"/>
    <cellStyle name="Normal 11 6 2 2 4 2 2 2 2" xfId="20290"/>
    <cellStyle name="Normal 11 6 2 2 4 2 2 3" xfId="12902"/>
    <cellStyle name="Normal 11 6 2 2 4 2 2 3 2" xfId="23618"/>
    <cellStyle name="Normal 11 6 2 2 4 2 2 4" xfId="16962"/>
    <cellStyle name="Normal 11 6 2 2 4 2 3" xfId="7910"/>
    <cellStyle name="Normal 11 6 2 2 4 2 3 2" xfId="18626"/>
    <cellStyle name="Normal 11 6 2 2 4 2 4" xfId="11238"/>
    <cellStyle name="Normal 11 6 2 2 4 2 4 2" xfId="21954"/>
    <cellStyle name="Normal 11 6 2 2 4 2 5" xfId="15298"/>
    <cellStyle name="Normal 11 6 2 2 4 3" xfId="5407"/>
    <cellStyle name="Normal 11 6 2 2 4 3 2" xfId="8742"/>
    <cellStyle name="Normal 11 6 2 2 4 3 2 2" xfId="19458"/>
    <cellStyle name="Normal 11 6 2 2 4 3 3" xfId="12070"/>
    <cellStyle name="Normal 11 6 2 2 4 3 3 2" xfId="22786"/>
    <cellStyle name="Normal 11 6 2 2 4 3 4" xfId="16130"/>
    <cellStyle name="Normal 11 6 2 2 4 4" xfId="7078"/>
    <cellStyle name="Normal 11 6 2 2 4 4 2" xfId="17794"/>
    <cellStyle name="Normal 11 6 2 2 4 5" xfId="10406"/>
    <cellStyle name="Normal 11 6 2 2 4 5 2" xfId="21122"/>
    <cellStyle name="Normal 11 6 2 2 4 6" xfId="14466"/>
    <cellStyle name="Normal 11 6 2 2 5" xfId="4153"/>
    <cellStyle name="Normal 11 6 2 2 5 2" xfId="5823"/>
    <cellStyle name="Normal 11 6 2 2 5 2 2" xfId="9158"/>
    <cellStyle name="Normal 11 6 2 2 5 2 2 2" xfId="19874"/>
    <cellStyle name="Normal 11 6 2 2 5 2 3" xfId="12486"/>
    <cellStyle name="Normal 11 6 2 2 5 2 3 2" xfId="23202"/>
    <cellStyle name="Normal 11 6 2 2 5 2 4" xfId="16546"/>
    <cellStyle name="Normal 11 6 2 2 5 3" xfId="7494"/>
    <cellStyle name="Normal 11 6 2 2 5 3 2" xfId="18210"/>
    <cellStyle name="Normal 11 6 2 2 5 4" xfId="10822"/>
    <cellStyle name="Normal 11 6 2 2 5 4 2" xfId="21538"/>
    <cellStyle name="Normal 11 6 2 2 5 5" xfId="14882"/>
    <cellStyle name="Normal 11 6 2 2 6" xfId="4988"/>
    <cellStyle name="Normal 11 6 2 2 6 2" xfId="8326"/>
    <cellStyle name="Normal 11 6 2 2 6 2 2" xfId="19042"/>
    <cellStyle name="Normal 11 6 2 2 6 3" xfId="11654"/>
    <cellStyle name="Normal 11 6 2 2 6 3 2" xfId="22370"/>
    <cellStyle name="Normal 11 6 2 2 6 4" xfId="15714"/>
    <cellStyle name="Normal 11 6 2 2 7" xfId="6658"/>
    <cellStyle name="Normal 11 6 2 2 7 2" xfId="17378"/>
    <cellStyle name="Normal 11 6 2 2 8" xfId="9990"/>
    <cellStyle name="Normal 11 6 2 2 8 2" xfId="20706"/>
    <cellStyle name="Normal 11 6 2 2 9" xfId="14047"/>
    <cellStyle name="Normal 11 6 2 3" xfId="1112"/>
    <cellStyle name="Normal 11 6 2 3 2" xfId="2827"/>
    <cellStyle name="Normal 11 6 2 3 2 2" xfId="3941"/>
    <cellStyle name="Normal 11 6 2 3 2 2 2" xfId="4781"/>
    <cellStyle name="Normal 11 6 2 3 2 2 2 2" xfId="6449"/>
    <cellStyle name="Normal 11 6 2 3 2 2 2 2 2" xfId="9784"/>
    <cellStyle name="Normal 11 6 2 3 2 2 2 2 2 2" xfId="20500"/>
    <cellStyle name="Normal 11 6 2 3 2 2 2 2 3" xfId="13112"/>
    <cellStyle name="Normal 11 6 2 3 2 2 2 2 3 2" xfId="23828"/>
    <cellStyle name="Normal 11 6 2 3 2 2 2 2 4" xfId="17172"/>
    <cellStyle name="Normal 11 6 2 3 2 2 2 3" xfId="8120"/>
    <cellStyle name="Normal 11 6 2 3 2 2 2 3 2" xfId="18836"/>
    <cellStyle name="Normal 11 6 2 3 2 2 2 4" xfId="11448"/>
    <cellStyle name="Normal 11 6 2 3 2 2 2 4 2" xfId="22164"/>
    <cellStyle name="Normal 11 6 2 3 2 2 2 5" xfId="15508"/>
    <cellStyle name="Normal 11 6 2 3 2 2 3" xfId="5617"/>
    <cellStyle name="Normal 11 6 2 3 2 2 3 2" xfId="8952"/>
    <cellStyle name="Normal 11 6 2 3 2 2 3 2 2" xfId="19668"/>
    <cellStyle name="Normal 11 6 2 3 2 2 3 3" xfId="12280"/>
    <cellStyle name="Normal 11 6 2 3 2 2 3 3 2" xfId="22996"/>
    <cellStyle name="Normal 11 6 2 3 2 2 3 4" xfId="16340"/>
    <cellStyle name="Normal 11 6 2 3 2 2 4" xfId="7288"/>
    <cellStyle name="Normal 11 6 2 3 2 2 4 2" xfId="18004"/>
    <cellStyle name="Normal 11 6 2 3 2 2 5" xfId="10616"/>
    <cellStyle name="Normal 11 6 2 3 2 2 5 2" xfId="21332"/>
    <cellStyle name="Normal 11 6 2 3 2 2 6" xfId="14676"/>
    <cellStyle name="Normal 11 6 2 3 2 3" xfId="4365"/>
    <cellStyle name="Normal 11 6 2 3 2 3 2" xfId="6033"/>
    <cellStyle name="Normal 11 6 2 3 2 3 2 2" xfId="9368"/>
    <cellStyle name="Normal 11 6 2 3 2 3 2 2 2" xfId="20084"/>
    <cellStyle name="Normal 11 6 2 3 2 3 2 3" xfId="12696"/>
    <cellStyle name="Normal 11 6 2 3 2 3 2 3 2" xfId="23412"/>
    <cellStyle name="Normal 11 6 2 3 2 3 2 4" xfId="16756"/>
    <cellStyle name="Normal 11 6 2 3 2 3 3" xfId="7704"/>
    <cellStyle name="Normal 11 6 2 3 2 3 3 2" xfId="18420"/>
    <cellStyle name="Normal 11 6 2 3 2 3 4" xfId="11032"/>
    <cellStyle name="Normal 11 6 2 3 2 3 4 2" xfId="21748"/>
    <cellStyle name="Normal 11 6 2 3 2 3 5" xfId="15092"/>
    <cellStyle name="Normal 11 6 2 3 2 4" xfId="5201"/>
    <cellStyle name="Normal 11 6 2 3 2 4 2" xfId="8536"/>
    <cellStyle name="Normal 11 6 2 3 2 4 2 2" xfId="19252"/>
    <cellStyle name="Normal 11 6 2 3 2 4 3" xfId="11864"/>
    <cellStyle name="Normal 11 6 2 3 2 4 3 2" xfId="22580"/>
    <cellStyle name="Normal 11 6 2 3 2 4 4" xfId="15924"/>
    <cellStyle name="Normal 11 6 2 3 2 5" xfId="6870"/>
    <cellStyle name="Normal 11 6 2 3 2 5 2" xfId="17588"/>
    <cellStyle name="Normal 11 6 2 3 2 6" xfId="10200"/>
    <cellStyle name="Normal 11 6 2 3 2 6 2" xfId="20916"/>
    <cellStyle name="Normal 11 6 2 3 2 7" xfId="14258"/>
    <cellStyle name="Normal 11 6 2 3 3" xfId="3717"/>
    <cellStyle name="Normal 11 6 2 3 3 2" xfId="4573"/>
    <cellStyle name="Normal 11 6 2 3 3 2 2" xfId="6241"/>
    <cellStyle name="Normal 11 6 2 3 3 2 2 2" xfId="9576"/>
    <cellStyle name="Normal 11 6 2 3 3 2 2 2 2" xfId="20292"/>
    <cellStyle name="Normal 11 6 2 3 3 2 2 3" xfId="12904"/>
    <cellStyle name="Normal 11 6 2 3 3 2 2 3 2" xfId="23620"/>
    <cellStyle name="Normal 11 6 2 3 3 2 2 4" xfId="16964"/>
    <cellStyle name="Normal 11 6 2 3 3 2 3" xfId="7912"/>
    <cellStyle name="Normal 11 6 2 3 3 2 3 2" xfId="18628"/>
    <cellStyle name="Normal 11 6 2 3 3 2 4" xfId="11240"/>
    <cellStyle name="Normal 11 6 2 3 3 2 4 2" xfId="21956"/>
    <cellStyle name="Normal 11 6 2 3 3 2 5" xfId="15300"/>
    <cellStyle name="Normal 11 6 2 3 3 3" xfId="5409"/>
    <cellStyle name="Normal 11 6 2 3 3 3 2" xfId="8744"/>
    <cellStyle name="Normal 11 6 2 3 3 3 2 2" xfId="19460"/>
    <cellStyle name="Normal 11 6 2 3 3 3 3" xfId="12072"/>
    <cellStyle name="Normal 11 6 2 3 3 3 3 2" xfId="22788"/>
    <cellStyle name="Normal 11 6 2 3 3 3 4" xfId="16132"/>
    <cellStyle name="Normal 11 6 2 3 3 4" xfId="7080"/>
    <cellStyle name="Normal 11 6 2 3 3 4 2" xfId="17796"/>
    <cellStyle name="Normal 11 6 2 3 3 5" xfId="10408"/>
    <cellStyle name="Normal 11 6 2 3 3 5 2" xfId="21124"/>
    <cellStyle name="Normal 11 6 2 3 3 6" xfId="14468"/>
    <cellStyle name="Normal 11 6 2 3 4" xfId="4155"/>
    <cellStyle name="Normal 11 6 2 3 4 2" xfId="5825"/>
    <cellStyle name="Normal 11 6 2 3 4 2 2" xfId="9160"/>
    <cellStyle name="Normal 11 6 2 3 4 2 2 2" xfId="19876"/>
    <cellStyle name="Normal 11 6 2 3 4 2 3" xfId="12488"/>
    <cellStyle name="Normal 11 6 2 3 4 2 3 2" xfId="23204"/>
    <cellStyle name="Normal 11 6 2 3 4 2 4" xfId="16548"/>
    <cellStyle name="Normal 11 6 2 3 4 3" xfId="7496"/>
    <cellStyle name="Normal 11 6 2 3 4 3 2" xfId="18212"/>
    <cellStyle name="Normal 11 6 2 3 4 4" xfId="10824"/>
    <cellStyle name="Normal 11 6 2 3 4 4 2" xfId="21540"/>
    <cellStyle name="Normal 11 6 2 3 4 5" xfId="14884"/>
    <cellStyle name="Normal 11 6 2 3 5" xfId="4990"/>
    <cellStyle name="Normal 11 6 2 3 5 2" xfId="8328"/>
    <cellStyle name="Normal 11 6 2 3 5 2 2" xfId="19044"/>
    <cellStyle name="Normal 11 6 2 3 5 3" xfId="11656"/>
    <cellStyle name="Normal 11 6 2 3 5 3 2" xfId="22372"/>
    <cellStyle name="Normal 11 6 2 3 5 4" xfId="15716"/>
    <cellStyle name="Normal 11 6 2 3 6" xfId="6660"/>
    <cellStyle name="Normal 11 6 2 3 6 2" xfId="17380"/>
    <cellStyle name="Normal 11 6 2 3 7" xfId="9992"/>
    <cellStyle name="Normal 11 6 2 3 7 2" xfId="20708"/>
    <cellStyle name="Normal 11 6 2 3 8" xfId="14049"/>
    <cellStyle name="Normal 11 6 2 4" xfId="2824"/>
    <cellStyle name="Normal 11 6 2 4 2" xfId="3938"/>
    <cellStyle name="Normal 11 6 2 4 2 2" xfId="4778"/>
    <cellStyle name="Normal 11 6 2 4 2 2 2" xfId="6446"/>
    <cellStyle name="Normal 11 6 2 4 2 2 2 2" xfId="9781"/>
    <cellStyle name="Normal 11 6 2 4 2 2 2 2 2" xfId="20497"/>
    <cellStyle name="Normal 11 6 2 4 2 2 2 3" xfId="13109"/>
    <cellStyle name="Normal 11 6 2 4 2 2 2 3 2" xfId="23825"/>
    <cellStyle name="Normal 11 6 2 4 2 2 2 4" xfId="17169"/>
    <cellStyle name="Normal 11 6 2 4 2 2 3" xfId="8117"/>
    <cellStyle name="Normal 11 6 2 4 2 2 3 2" xfId="18833"/>
    <cellStyle name="Normal 11 6 2 4 2 2 4" xfId="11445"/>
    <cellStyle name="Normal 11 6 2 4 2 2 4 2" xfId="22161"/>
    <cellStyle name="Normal 11 6 2 4 2 2 5" xfId="15505"/>
    <cellStyle name="Normal 11 6 2 4 2 3" xfId="5614"/>
    <cellStyle name="Normal 11 6 2 4 2 3 2" xfId="8949"/>
    <cellStyle name="Normal 11 6 2 4 2 3 2 2" xfId="19665"/>
    <cellStyle name="Normal 11 6 2 4 2 3 3" xfId="12277"/>
    <cellStyle name="Normal 11 6 2 4 2 3 3 2" xfId="22993"/>
    <cellStyle name="Normal 11 6 2 4 2 3 4" xfId="16337"/>
    <cellStyle name="Normal 11 6 2 4 2 4" xfId="7285"/>
    <cellStyle name="Normal 11 6 2 4 2 4 2" xfId="18001"/>
    <cellStyle name="Normal 11 6 2 4 2 5" xfId="10613"/>
    <cellStyle name="Normal 11 6 2 4 2 5 2" xfId="21329"/>
    <cellStyle name="Normal 11 6 2 4 2 6" xfId="14673"/>
    <cellStyle name="Normal 11 6 2 4 3" xfId="4362"/>
    <cellStyle name="Normal 11 6 2 4 3 2" xfId="6030"/>
    <cellStyle name="Normal 11 6 2 4 3 2 2" xfId="9365"/>
    <cellStyle name="Normal 11 6 2 4 3 2 2 2" xfId="20081"/>
    <cellStyle name="Normal 11 6 2 4 3 2 3" xfId="12693"/>
    <cellStyle name="Normal 11 6 2 4 3 2 3 2" xfId="23409"/>
    <cellStyle name="Normal 11 6 2 4 3 2 4" xfId="16753"/>
    <cellStyle name="Normal 11 6 2 4 3 3" xfId="7701"/>
    <cellStyle name="Normal 11 6 2 4 3 3 2" xfId="18417"/>
    <cellStyle name="Normal 11 6 2 4 3 4" xfId="11029"/>
    <cellStyle name="Normal 11 6 2 4 3 4 2" xfId="21745"/>
    <cellStyle name="Normal 11 6 2 4 3 5" xfId="15089"/>
    <cellStyle name="Normal 11 6 2 4 4" xfId="5198"/>
    <cellStyle name="Normal 11 6 2 4 4 2" xfId="8533"/>
    <cellStyle name="Normal 11 6 2 4 4 2 2" xfId="19249"/>
    <cellStyle name="Normal 11 6 2 4 4 3" xfId="11861"/>
    <cellStyle name="Normal 11 6 2 4 4 3 2" xfId="22577"/>
    <cellStyle name="Normal 11 6 2 4 4 4" xfId="15921"/>
    <cellStyle name="Normal 11 6 2 4 5" xfId="6867"/>
    <cellStyle name="Normal 11 6 2 4 5 2" xfId="17585"/>
    <cellStyle name="Normal 11 6 2 4 6" xfId="10197"/>
    <cellStyle name="Normal 11 6 2 4 6 2" xfId="20913"/>
    <cellStyle name="Normal 11 6 2 4 7" xfId="14255"/>
    <cellStyle name="Normal 11 6 2 5" xfId="3714"/>
    <cellStyle name="Normal 11 6 2 5 2" xfId="4570"/>
    <cellStyle name="Normal 11 6 2 5 2 2" xfId="6238"/>
    <cellStyle name="Normal 11 6 2 5 2 2 2" xfId="9573"/>
    <cellStyle name="Normal 11 6 2 5 2 2 2 2" xfId="20289"/>
    <cellStyle name="Normal 11 6 2 5 2 2 3" xfId="12901"/>
    <cellStyle name="Normal 11 6 2 5 2 2 3 2" xfId="23617"/>
    <cellStyle name="Normal 11 6 2 5 2 2 4" xfId="16961"/>
    <cellStyle name="Normal 11 6 2 5 2 3" xfId="7909"/>
    <cellStyle name="Normal 11 6 2 5 2 3 2" xfId="18625"/>
    <cellStyle name="Normal 11 6 2 5 2 4" xfId="11237"/>
    <cellStyle name="Normal 11 6 2 5 2 4 2" xfId="21953"/>
    <cellStyle name="Normal 11 6 2 5 2 5" xfId="15297"/>
    <cellStyle name="Normal 11 6 2 5 3" xfId="5406"/>
    <cellStyle name="Normal 11 6 2 5 3 2" xfId="8741"/>
    <cellStyle name="Normal 11 6 2 5 3 2 2" xfId="19457"/>
    <cellStyle name="Normal 11 6 2 5 3 3" xfId="12069"/>
    <cellStyle name="Normal 11 6 2 5 3 3 2" xfId="22785"/>
    <cellStyle name="Normal 11 6 2 5 3 4" xfId="16129"/>
    <cellStyle name="Normal 11 6 2 5 4" xfId="7077"/>
    <cellStyle name="Normal 11 6 2 5 4 2" xfId="17793"/>
    <cellStyle name="Normal 11 6 2 5 5" xfId="10405"/>
    <cellStyle name="Normal 11 6 2 5 5 2" xfId="21121"/>
    <cellStyle name="Normal 11 6 2 5 6" xfId="14465"/>
    <cellStyle name="Normal 11 6 2 6" xfId="4152"/>
    <cellStyle name="Normal 11 6 2 6 2" xfId="5822"/>
    <cellStyle name="Normal 11 6 2 6 2 2" xfId="9157"/>
    <cellStyle name="Normal 11 6 2 6 2 2 2" xfId="19873"/>
    <cellStyle name="Normal 11 6 2 6 2 3" xfId="12485"/>
    <cellStyle name="Normal 11 6 2 6 2 3 2" xfId="23201"/>
    <cellStyle name="Normal 11 6 2 6 2 4" xfId="16545"/>
    <cellStyle name="Normal 11 6 2 6 3" xfId="7493"/>
    <cellStyle name="Normal 11 6 2 6 3 2" xfId="18209"/>
    <cellStyle name="Normal 11 6 2 6 4" xfId="10821"/>
    <cellStyle name="Normal 11 6 2 6 4 2" xfId="21537"/>
    <cellStyle name="Normal 11 6 2 6 5" xfId="14881"/>
    <cellStyle name="Normal 11 6 2 7" xfId="4987"/>
    <cellStyle name="Normal 11 6 2 7 2" xfId="8325"/>
    <cellStyle name="Normal 11 6 2 7 2 2" xfId="19041"/>
    <cellStyle name="Normal 11 6 2 7 3" xfId="11653"/>
    <cellStyle name="Normal 11 6 2 7 3 2" xfId="22369"/>
    <cellStyle name="Normal 11 6 2 7 4" xfId="15713"/>
    <cellStyle name="Normal 11 6 2 8" xfId="6657"/>
    <cellStyle name="Normal 11 6 2 8 2" xfId="17377"/>
    <cellStyle name="Normal 11 6 2 9" xfId="9989"/>
    <cellStyle name="Normal 11 6 2 9 2" xfId="20705"/>
    <cellStyle name="Normal 11 6 3" xfId="1113"/>
    <cellStyle name="Normal 11 6 3 2" xfId="1114"/>
    <cellStyle name="Normal 11 6 3 2 2" xfId="2829"/>
    <cellStyle name="Normal 11 6 3 2 2 2" xfId="3943"/>
    <cellStyle name="Normal 11 6 3 2 2 2 2" xfId="4783"/>
    <cellStyle name="Normal 11 6 3 2 2 2 2 2" xfId="6451"/>
    <cellStyle name="Normal 11 6 3 2 2 2 2 2 2" xfId="9786"/>
    <cellStyle name="Normal 11 6 3 2 2 2 2 2 2 2" xfId="20502"/>
    <cellStyle name="Normal 11 6 3 2 2 2 2 2 3" xfId="13114"/>
    <cellStyle name="Normal 11 6 3 2 2 2 2 2 3 2" xfId="23830"/>
    <cellStyle name="Normal 11 6 3 2 2 2 2 2 4" xfId="17174"/>
    <cellStyle name="Normal 11 6 3 2 2 2 2 3" xfId="8122"/>
    <cellStyle name="Normal 11 6 3 2 2 2 2 3 2" xfId="18838"/>
    <cellStyle name="Normal 11 6 3 2 2 2 2 4" xfId="11450"/>
    <cellStyle name="Normal 11 6 3 2 2 2 2 4 2" xfId="22166"/>
    <cellStyle name="Normal 11 6 3 2 2 2 2 5" xfId="15510"/>
    <cellStyle name="Normal 11 6 3 2 2 2 3" xfId="5619"/>
    <cellStyle name="Normal 11 6 3 2 2 2 3 2" xfId="8954"/>
    <cellStyle name="Normal 11 6 3 2 2 2 3 2 2" xfId="19670"/>
    <cellStyle name="Normal 11 6 3 2 2 2 3 3" xfId="12282"/>
    <cellStyle name="Normal 11 6 3 2 2 2 3 3 2" xfId="22998"/>
    <cellStyle name="Normal 11 6 3 2 2 2 3 4" xfId="16342"/>
    <cellStyle name="Normal 11 6 3 2 2 2 4" xfId="7290"/>
    <cellStyle name="Normal 11 6 3 2 2 2 4 2" xfId="18006"/>
    <cellStyle name="Normal 11 6 3 2 2 2 5" xfId="10618"/>
    <cellStyle name="Normal 11 6 3 2 2 2 5 2" xfId="21334"/>
    <cellStyle name="Normal 11 6 3 2 2 2 6" xfId="14678"/>
    <cellStyle name="Normal 11 6 3 2 2 3" xfId="4367"/>
    <cellStyle name="Normal 11 6 3 2 2 3 2" xfId="6035"/>
    <cellStyle name="Normal 11 6 3 2 2 3 2 2" xfId="9370"/>
    <cellStyle name="Normal 11 6 3 2 2 3 2 2 2" xfId="20086"/>
    <cellStyle name="Normal 11 6 3 2 2 3 2 3" xfId="12698"/>
    <cellStyle name="Normal 11 6 3 2 2 3 2 3 2" xfId="23414"/>
    <cellStyle name="Normal 11 6 3 2 2 3 2 4" xfId="16758"/>
    <cellStyle name="Normal 11 6 3 2 2 3 3" xfId="7706"/>
    <cellStyle name="Normal 11 6 3 2 2 3 3 2" xfId="18422"/>
    <cellStyle name="Normal 11 6 3 2 2 3 4" xfId="11034"/>
    <cellStyle name="Normal 11 6 3 2 2 3 4 2" xfId="21750"/>
    <cellStyle name="Normal 11 6 3 2 2 3 5" xfId="15094"/>
    <cellStyle name="Normal 11 6 3 2 2 4" xfId="5203"/>
    <cellStyle name="Normal 11 6 3 2 2 4 2" xfId="8538"/>
    <cellStyle name="Normal 11 6 3 2 2 4 2 2" xfId="19254"/>
    <cellStyle name="Normal 11 6 3 2 2 4 3" xfId="11866"/>
    <cellStyle name="Normal 11 6 3 2 2 4 3 2" xfId="22582"/>
    <cellStyle name="Normal 11 6 3 2 2 4 4" xfId="15926"/>
    <cellStyle name="Normal 11 6 3 2 2 5" xfId="6872"/>
    <cellStyle name="Normal 11 6 3 2 2 5 2" xfId="17590"/>
    <cellStyle name="Normal 11 6 3 2 2 6" xfId="10202"/>
    <cellStyle name="Normal 11 6 3 2 2 6 2" xfId="20918"/>
    <cellStyle name="Normal 11 6 3 2 2 7" xfId="14260"/>
    <cellStyle name="Normal 11 6 3 2 3" xfId="3719"/>
    <cellStyle name="Normal 11 6 3 2 3 2" xfId="4575"/>
    <cellStyle name="Normal 11 6 3 2 3 2 2" xfId="6243"/>
    <cellStyle name="Normal 11 6 3 2 3 2 2 2" xfId="9578"/>
    <cellStyle name="Normal 11 6 3 2 3 2 2 2 2" xfId="20294"/>
    <cellStyle name="Normal 11 6 3 2 3 2 2 3" xfId="12906"/>
    <cellStyle name="Normal 11 6 3 2 3 2 2 3 2" xfId="23622"/>
    <cellStyle name="Normal 11 6 3 2 3 2 2 4" xfId="16966"/>
    <cellStyle name="Normal 11 6 3 2 3 2 3" xfId="7914"/>
    <cellStyle name="Normal 11 6 3 2 3 2 3 2" xfId="18630"/>
    <cellStyle name="Normal 11 6 3 2 3 2 4" xfId="11242"/>
    <cellStyle name="Normal 11 6 3 2 3 2 4 2" xfId="21958"/>
    <cellStyle name="Normal 11 6 3 2 3 2 5" xfId="15302"/>
    <cellStyle name="Normal 11 6 3 2 3 3" xfId="5411"/>
    <cellStyle name="Normal 11 6 3 2 3 3 2" xfId="8746"/>
    <cellStyle name="Normal 11 6 3 2 3 3 2 2" xfId="19462"/>
    <cellStyle name="Normal 11 6 3 2 3 3 3" xfId="12074"/>
    <cellStyle name="Normal 11 6 3 2 3 3 3 2" xfId="22790"/>
    <cellStyle name="Normal 11 6 3 2 3 3 4" xfId="16134"/>
    <cellStyle name="Normal 11 6 3 2 3 4" xfId="7082"/>
    <cellStyle name="Normal 11 6 3 2 3 4 2" xfId="17798"/>
    <cellStyle name="Normal 11 6 3 2 3 5" xfId="10410"/>
    <cellStyle name="Normal 11 6 3 2 3 5 2" xfId="21126"/>
    <cellStyle name="Normal 11 6 3 2 3 6" xfId="14470"/>
    <cellStyle name="Normal 11 6 3 2 4" xfId="4157"/>
    <cellStyle name="Normal 11 6 3 2 4 2" xfId="5827"/>
    <cellStyle name="Normal 11 6 3 2 4 2 2" xfId="9162"/>
    <cellStyle name="Normal 11 6 3 2 4 2 2 2" xfId="19878"/>
    <cellStyle name="Normal 11 6 3 2 4 2 3" xfId="12490"/>
    <cellStyle name="Normal 11 6 3 2 4 2 3 2" xfId="23206"/>
    <cellStyle name="Normal 11 6 3 2 4 2 4" xfId="16550"/>
    <cellStyle name="Normal 11 6 3 2 4 3" xfId="7498"/>
    <cellStyle name="Normal 11 6 3 2 4 3 2" xfId="18214"/>
    <cellStyle name="Normal 11 6 3 2 4 4" xfId="10826"/>
    <cellStyle name="Normal 11 6 3 2 4 4 2" xfId="21542"/>
    <cellStyle name="Normal 11 6 3 2 4 5" xfId="14886"/>
    <cellStyle name="Normal 11 6 3 2 5" xfId="4992"/>
    <cellStyle name="Normal 11 6 3 2 5 2" xfId="8330"/>
    <cellStyle name="Normal 11 6 3 2 5 2 2" xfId="19046"/>
    <cellStyle name="Normal 11 6 3 2 5 3" xfId="11658"/>
    <cellStyle name="Normal 11 6 3 2 5 3 2" xfId="22374"/>
    <cellStyle name="Normal 11 6 3 2 5 4" xfId="15718"/>
    <cellStyle name="Normal 11 6 3 2 6" xfId="6662"/>
    <cellStyle name="Normal 11 6 3 2 6 2" xfId="17382"/>
    <cellStyle name="Normal 11 6 3 2 7" xfId="9994"/>
    <cellStyle name="Normal 11 6 3 2 7 2" xfId="20710"/>
    <cellStyle name="Normal 11 6 3 2 8" xfId="14051"/>
    <cellStyle name="Normal 11 6 3 3" xfId="2828"/>
    <cellStyle name="Normal 11 6 3 3 2" xfId="3942"/>
    <cellStyle name="Normal 11 6 3 3 2 2" xfId="4782"/>
    <cellStyle name="Normal 11 6 3 3 2 2 2" xfId="6450"/>
    <cellStyle name="Normal 11 6 3 3 2 2 2 2" xfId="9785"/>
    <cellStyle name="Normal 11 6 3 3 2 2 2 2 2" xfId="20501"/>
    <cellStyle name="Normal 11 6 3 3 2 2 2 3" xfId="13113"/>
    <cellStyle name="Normal 11 6 3 3 2 2 2 3 2" xfId="23829"/>
    <cellStyle name="Normal 11 6 3 3 2 2 2 4" xfId="17173"/>
    <cellStyle name="Normal 11 6 3 3 2 2 3" xfId="8121"/>
    <cellStyle name="Normal 11 6 3 3 2 2 3 2" xfId="18837"/>
    <cellStyle name="Normal 11 6 3 3 2 2 4" xfId="11449"/>
    <cellStyle name="Normal 11 6 3 3 2 2 4 2" xfId="22165"/>
    <cellStyle name="Normal 11 6 3 3 2 2 5" xfId="15509"/>
    <cellStyle name="Normal 11 6 3 3 2 3" xfId="5618"/>
    <cellStyle name="Normal 11 6 3 3 2 3 2" xfId="8953"/>
    <cellStyle name="Normal 11 6 3 3 2 3 2 2" xfId="19669"/>
    <cellStyle name="Normal 11 6 3 3 2 3 3" xfId="12281"/>
    <cellStyle name="Normal 11 6 3 3 2 3 3 2" xfId="22997"/>
    <cellStyle name="Normal 11 6 3 3 2 3 4" xfId="16341"/>
    <cellStyle name="Normal 11 6 3 3 2 4" xfId="7289"/>
    <cellStyle name="Normal 11 6 3 3 2 4 2" xfId="18005"/>
    <cellStyle name="Normal 11 6 3 3 2 5" xfId="10617"/>
    <cellStyle name="Normal 11 6 3 3 2 5 2" xfId="21333"/>
    <cellStyle name="Normal 11 6 3 3 2 6" xfId="14677"/>
    <cellStyle name="Normal 11 6 3 3 3" xfId="4366"/>
    <cellStyle name="Normal 11 6 3 3 3 2" xfId="6034"/>
    <cellStyle name="Normal 11 6 3 3 3 2 2" xfId="9369"/>
    <cellStyle name="Normal 11 6 3 3 3 2 2 2" xfId="20085"/>
    <cellStyle name="Normal 11 6 3 3 3 2 3" xfId="12697"/>
    <cellStyle name="Normal 11 6 3 3 3 2 3 2" xfId="23413"/>
    <cellStyle name="Normal 11 6 3 3 3 2 4" xfId="16757"/>
    <cellStyle name="Normal 11 6 3 3 3 3" xfId="7705"/>
    <cellStyle name="Normal 11 6 3 3 3 3 2" xfId="18421"/>
    <cellStyle name="Normal 11 6 3 3 3 4" xfId="11033"/>
    <cellStyle name="Normal 11 6 3 3 3 4 2" xfId="21749"/>
    <cellStyle name="Normal 11 6 3 3 3 5" xfId="15093"/>
    <cellStyle name="Normal 11 6 3 3 4" xfId="5202"/>
    <cellStyle name="Normal 11 6 3 3 4 2" xfId="8537"/>
    <cellStyle name="Normal 11 6 3 3 4 2 2" xfId="19253"/>
    <cellStyle name="Normal 11 6 3 3 4 3" xfId="11865"/>
    <cellStyle name="Normal 11 6 3 3 4 3 2" xfId="22581"/>
    <cellStyle name="Normal 11 6 3 3 4 4" xfId="15925"/>
    <cellStyle name="Normal 11 6 3 3 5" xfId="6871"/>
    <cellStyle name="Normal 11 6 3 3 5 2" xfId="17589"/>
    <cellStyle name="Normal 11 6 3 3 6" xfId="10201"/>
    <cellStyle name="Normal 11 6 3 3 6 2" xfId="20917"/>
    <cellStyle name="Normal 11 6 3 3 7" xfId="14259"/>
    <cellStyle name="Normal 11 6 3 4" xfId="3718"/>
    <cellStyle name="Normal 11 6 3 4 2" xfId="4574"/>
    <cellStyle name="Normal 11 6 3 4 2 2" xfId="6242"/>
    <cellStyle name="Normal 11 6 3 4 2 2 2" xfId="9577"/>
    <cellStyle name="Normal 11 6 3 4 2 2 2 2" xfId="20293"/>
    <cellStyle name="Normal 11 6 3 4 2 2 3" xfId="12905"/>
    <cellStyle name="Normal 11 6 3 4 2 2 3 2" xfId="23621"/>
    <cellStyle name="Normal 11 6 3 4 2 2 4" xfId="16965"/>
    <cellStyle name="Normal 11 6 3 4 2 3" xfId="7913"/>
    <cellStyle name="Normal 11 6 3 4 2 3 2" xfId="18629"/>
    <cellStyle name="Normal 11 6 3 4 2 4" xfId="11241"/>
    <cellStyle name="Normal 11 6 3 4 2 4 2" xfId="21957"/>
    <cellStyle name="Normal 11 6 3 4 2 5" xfId="15301"/>
    <cellStyle name="Normal 11 6 3 4 3" xfId="5410"/>
    <cellStyle name="Normal 11 6 3 4 3 2" xfId="8745"/>
    <cellStyle name="Normal 11 6 3 4 3 2 2" xfId="19461"/>
    <cellStyle name="Normal 11 6 3 4 3 3" xfId="12073"/>
    <cellStyle name="Normal 11 6 3 4 3 3 2" xfId="22789"/>
    <cellStyle name="Normal 11 6 3 4 3 4" xfId="16133"/>
    <cellStyle name="Normal 11 6 3 4 4" xfId="7081"/>
    <cellStyle name="Normal 11 6 3 4 4 2" xfId="17797"/>
    <cellStyle name="Normal 11 6 3 4 5" xfId="10409"/>
    <cellStyle name="Normal 11 6 3 4 5 2" xfId="21125"/>
    <cellStyle name="Normal 11 6 3 4 6" xfId="14469"/>
    <cellStyle name="Normal 11 6 3 5" xfId="4156"/>
    <cellStyle name="Normal 11 6 3 5 2" xfId="5826"/>
    <cellStyle name="Normal 11 6 3 5 2 2" xfId="9161"/>
    <cellStyle name="Normal 11 6 3 5 2 2 2" xfId="19877"/>
    <cellStyle name="Normal 11 6 3 5 2 3" xfId="12489"/>
    <cellStyle name="Normal 11 6 3 5 2 3 2" xfId="23205"/>
    <cellStyle name="Normal 11 6 3 5 2 4" xfId="16549"/>
    <cellStyle name="Normal 11 6 3 5 3" xfId="7497"/>
    <cellStyle name="Normal 11 6 3 5 3 2" xfId="18213"/>
    <cellStyle name="Normal 11 6 3 5 4" xfId="10825"/>
    <cellStyle name="Normal 11 6 3 5 4 2" xfId="21541"/>
    <cellStyle name="Normal 11 6 3 5 5" xfId="14885"/>
    <cellStyle name="Normal 11 6 3 6" xfId="4991"/>
    <cellStyle name="Normal 11 6 3 6 2" xfId="8329"/>
    <cellStyle name="Normal 11 6 3 6 2 2" xfId="19045"/>
    <cellStyle name="Normal 11 6 3 6 3" xfId="11657"/>
    <cellStyle name="Normal 11 6 3 6 3 2" xfId="22373"/>
    <cellStyle name="Normal 11 6 3 6 4" xfId="15717"/>
    <cellStyle name="Normal 11 6 3 7" xfId="6661"/>
    <cellStyle name="Normal 11 6 3 7 2" xfId="17381"/>
    <cellStyle name="Normal 11 6 3 8" xfId="9993"/>
    <cellStyle name="Normal 11 6 3 8 2" xfId="20709"/>
    <cellStyle name="Normal 11 6 3 9" xfId="14050"/>
    <cellStyle name="Normal 11 6 4" xfId="1115"/>
    <cellStyle name="Normal 11 6 4 2" xfId="2830"/>
    <cellStyle name="Normal 11 6 4 2 2" xfId="3944"/>
    <cellStyle name="Normal 11 6 4 2 2 2" xfId="4784"/>
    <cellStyle name="Normal 11 6 4 2 2 2 2" xfId="6452"/>
    <cellStyle name="Normal 11 6 4 2 2 2 2 2" xfId="9787"/>
    <cellStyle name="Normal 11 6 4 2 2 2 2 2 2" xfId="20503"/>
    <cellStyle name="Normal 11 6 4 2 2 2 2 3" xfId="13115"/>
    <cellStyle name="Normal 11 6 4 2 2 2 2 3 2" xfId="23831"/>
    <cellStyle name="Normal 11 6 4 2 2 2 2 4" xfId="17175"/>
    <cellStyle name="Normal 11 6 4 2 2 2 3" xfId="8123"/>
    <cellStyle name="Normal 11 6 4 2 2 2 3 2" xfId="18839"/>
    <cellStyle name="Normal 11 6 4 2 2 2 4" xfId="11451"/>
    <cellStyle name="Normal 11 6 4 2 2 2 4 2" xfId="22167"/>
    <cellStyle name="Normal 11 6 4 2 2 2 5" xfId="15511"/>
    <cellStyle name="Normal 11 6 4 2 2 3" xfId="5620"/>
    <cellStyle name="Normal 11 6 4 2 2 3 2" xfId="8955"/>
    <cellStyle name="Normal 11 6 4 2 2 3 2 2" xfId="19671"/>
    <cellStyle name="Normal 11 6 4 2 2 3 3" xfId="12283"/>
    <cellStyle name="Normal 11 6 4 2 2 3 3 2" xfId="22999"/>
    <cellStyle name="Normal 11 6 4 2 2 3 4" xfId="16343"/>
    <cellStyle name="Normal 11 6 4 2 2 4" xfId="7291"/>
    <cellStyle name="Normal 11 6 4 2 2 4 2" xfId="18007"/>
    <cellStyle name="Normal 11 6 4 2 2 5" xfId="10619"/>
    <cellStyle name="Normal 11 6 4 2 2 5 2" xfId="21335"/>
    <cellStyle name="Normal 11 6 4 2 2 6" xfId="14679"/>
    <cellStyle name="Normal 11 6 4 2 3" xfId="4368"/>
    <cellStyle name="Normal 11 6 4 2 3 2" xfId="6036"/>
    <cellStyle name="Normal 11 6 4 2 3 2 2" xfId="9371"/>
    <cellStyle name="Normal 11 6 4 2 3 2 2 2" xfId="20087"/>
    <cellStyle name="Normal 11 6 4 2 3 2 3" xfId="12699"/>
    <cellStyle name="Normal 11 6 4 2 3 2 3 2" xfId="23415"/>
    <cellStyle name="Normal 11 6 4 2 3 2 4" xfId="16759"/>
    <cellStyle name="Normal 11 6 4 2 3 3" xfId="7707"/>
    <cellStyle name="Normal 11 6 4 2 3 3 2" xfId="18423"/>
    <cellStyle name="Normal 11 6 4 2 3 4" xfId="11035"/>
    <cellStyle name="Normal 11 6 4 2 3 4 2" xfId="21751"/>
    <cellStyle name="Normal 11 6 4 2 3 5" xfId="15095"/>
    <cellStyle name="Normal 11 6 4 2 4" xfId="5204"/>
    <cellStyle name="Normal 11 6 4 2 4 2" xfId="8539"/>
    <cellStyle name="Normal 11 6 4 2 4 2 2" xfId="19255"/>
    <cellStyle name="Normal 11 6 4 2 4 3" xfId="11867"/>
    <cellStyle name="Normal 11 6 4 2 4 3 2" xfId="22583"/>
    <cellStyle name="Normal 11 6 4 2 4 4" xfId="15927"/>
    <cellStyle name="Normal 11 6 4 2 5" xfId="6873"/>
    <cellStyle name="Normal 11 6 4 2 5 2" xfId="17591"/>
    <cellStyle name="Normal 11 6 4 2 6" xfId="10203"/>
    <cellStyle name="Normal 11 6 4 2 6 2" xfId="20919"/>
    <cellStyle name="Normal 11 6 4 2 7" xfId="14261"/>
    <cellStyle name="Normal 11 6 4 3" xfId="3720"/>
    <cellStyle name="Normal 11 6 4 3 2" xfId="4576"/>
    <cellStyle name="Normal 11 6 4 3 2 2" xfId="6244"/>
    <cellStyle name="Normal 11 6 4 3 2 2 2" xfId="9579"/>
    <cellStyle name="Normal 11 6 4 3 2 2 2 2" xfId="20295"/>
    <cellStyle name="Normal 11 6 4 3 2 2 3" xfId="12907"/>
    <cellStyle name="Normal 11 6 4 3 2 2 3 2" xfId="23623"/>
    <cellStyle name="Normal 11 6 4 3 2 2 4" xfId="16967"/>
    <cellStyle name="Normal 11 6 4 3 2 3" xfId="7915"/>
    <cellStyle name="Normal 11 6 4 3 2 3 2" xfId="18631"/>
    <cellStyle name="Normal 11 6 4 3 2 4" xfId="11243"/>
    <cellStyle name="Normal 11 6 4 3 2 4 2" xfId="21959"/>
    <cellStyle name="Normal 11 6 4 3 2 5" xfId="15303"/>
    <cellStyle name="Normal 11 6 4 3 3" xfId="5412"/>
    <cellStyle name="Normal 11 6 4 3 3 2" xfId="8747"/>
    <cellStyle name="Normal 11 6 4 3 3 2 2" xfId="19463"/>
    <cellStyle name="Normal 11 6 4 3 3 3" xfId="12075"/>
    <cellStyle name="Normal 11 6 4 3 3 3 2" xfId="22791"/>
    <cellStyle name="Normal 11 6 4 3 3 4" xfId="16135"/>
    <cellStyle name="Normal 11 6 4 3 4" xfId="7083"/>
    <cellStyle name="Normal 11 6 4 3 4 2" xfId="17799"/>
    <cellStyle name="Normal 11 6 4 3 5" xfId="10411"/>
    <cellStyle name="Normal 11 6 4 3 5 2" xfId="21127"/>
    <cellStyle name="Normal 11 6 4 3 6" xfId="14471"/>
    <cellStyle name="Normal 11 6 4 4" xfId="4158"/>
    <cellStyle name="Normal 11 6 4 4 2" xfId="5828"/>
    <cellStyle name="Normal 11 6 4 4 2 2" xfId="9163"/>
    <cellStyle name="Normal 11 6 4 4 2 2 2" xfId="19879"/>
    <cellStyle name="Normal 11 6 4 4 2 3" xfId="12491"/>
    <cellStyle name="Normal 11 6 4 4 2 3 2" xfId="23207"/>
    <cellStyle name="Normal 11 6 4 4 2 4" xfId="16551"/>
    <cellStyle name="Normal 11 6 4 4 3" xfId="7499"/>
    <cellStyle name="Normal 11 6 4 4 3 2" xfId="18215"/>
    <cellStyle name="Normal 11 6 4 4 4" xfId="10827"/>
    <cellStyle name="Normal 11 6 4 4 4 2" xfId="21543"/>
    <cellStyle name="Normal 11 6 4 4 5" xfId="14887"/>
    <cellStyle name="Normal 11 6 4 5" xfId="4993"/>
    <cellStyle name="Normal 11 6 4 5 2" xfId="8331"/>
    <cellStyle name="Normal 11 6 4 5 2 2" xfId="19047"/>
    <cellStyle name="Normal 11 6 4 5 3" xfId="11659"/>
    <cellStyle name="Normal 11 6 4 5 3 2" xfId="22375"/>
    <cellStyle name="Normal 11 6 4 5 4" xfId="15719"/>
    <cellStyle name="Normal 11 6 4 6" xfId="6663"/>
    <cellStyle name="Normal 11 6 4 6 2" xfId="17383"/>
    <cellStyle name="Normal 11 6 4 7" xfId="9995"/>
    <cellStyle name="Normal 11 6 4 7 2" xfId="20711"/>
    <cellStyle name="Normal 11 6 4 8" xfId="14052"/>
    <cellStyle name="Normal 11 6 5" xfId="2823"/>
    <cellStyle name="Normal 11 6 5 2" xfId="3937"/>
    <cellStyle name="Normal 11 6 5 2 2" xfId="4777"/>
    <cellStyle name="Normal 11 6 5 2 2 2" xfId="6445"/>
    <cellStyle name="Normal 11 6 5 2 2 2 2" xfId="9780"/>
    <cellStyle name="Normal 11 6 5 2 2 2 2 2" xfId="20496"/>
    <cellStyle name="Normal 11 6 5 2 2 2 3" xfId="13108"/>
    <cellStyle name="Normal 11 6 5 2 2 2 3 2" xfId="23824"/>
    <cellStyle name="Normal 11 6 5 2 2 2 4" xfId="17168"/>
    <cellStyle name="Normal 11 6 5 2 2 3" xfId="8116"/>
    <cellStyle name="Normal 11 6 5 2 2 3 2" xfId="18832"/>
    <cellStyle name="Normal 11 6 5 2 2 4" xfId="11444"/>
    <cellStyle name="Normal 11 6 5 2 2 4 2" xfId="22160"/>
    <cellStyle name="Normal 11 6 5 2 2 5" xfId="15504"/>
    <cellStyle name="Normal 11 6 5 2 3" xfId="5613"/>
    <cellStyle name="Normal 11 6 5 2 3 2" xfId="8948"/>
    <cellStyle name="Normal 11 6 5 2 3 2 2" xfId="19664"/>
    <cellStyle name="Normal 11 6 5 2 3 3" xfId="12276"/>
    <cellStyle name="Normal 11 6 5 2 3 3 2" xfId="22992"/>
    <cellStyle name="Normal 11 6 5 2 3 4" xfId="16336"/>
    <cellStyle name="Normal 11 6 5 2 4" xfId="7284"/>
    <cellStyle name="Normal 11 6 5 2 4 2" xfId="18000"/>
    <cellStyle name="Normal 11 6 5 2 5" xfId="10612"/>
    <cellStyle name="Normal 11 6 5 2 5 2" xfId="21328"/>
    <cellStyle name="Normal 11 6 5 2 6" xfId="14672"/>
    <cellStyle name="Normal 11 6 5 3" xfId="4361"/>
    <cellStyle name="Normal 11 6 5 3 2" xfId="6029"/>
    <cellStyle name="Normal 11 6 5 3 2 2" xfId="9364"/>
    <cellStyle name="Normal 11 6 5 3 2 2 2" xfId="20080"/>
    <cellStyle name="Normal 11 6 5 3 2 3" xfId="12692"/>
    <cellStyle name="Normal 11 6 5 3 2 3 2" xfId="23408"/>
    <cellStyle name="Normal 11 6 5 3 2 4" xfId="16752"/>
    <cellStyle name="Normal 11 6 5 3 3" xfId="7700"/>
    <cellStyle name="Normal 11 6 5 3 3 2" xfId="18416"/>
    <cellStyle name="Normal 11 6 5 3 4" xfId="11028"/>
    <cellStyle name="Normal 11 6 5 3 4 2" xfId="21744"/>
    <cellStyle name="Normal 11 6 5 3 5" xfId="15088"/>
    <cellStyle name="Normal 11 6 5 4" xfId="5197"/>
    <cellStyle name="Normal 11 6 5 4 2" xfId="8532"/>
    <cellStyle name="Normal 11 6 5 4 2 2" xfId="19248"/>
    <cellStyle name="Normal 11 6 5 4 3" xfId="11860"/>
    <cellStyle name="Normal 11 6 5 4 3 2" xfId="22576"/>
    <cellStyle name="Normal 11 6 5 4 4" xfId="15920"/>
    <cellStyle name="Normal 11 6 5 5" xfId="6866"/>
    <cellStyle name="Normal 11 6 5 5 2" xfId="17584"/>
    <cellStyle name="Normal 11 6 5 6" xfId="10196"/>
    <cellStyle name="Normal 11 6 5 6 2" xfId="20912"/>
    <cellStyle name="Normal 11 6 5 7" xfId="14254"/>
    <cellStyle name="Normal 11 6 6" xfId="3713"/>
    <cellStyle name="Normal 11 6 6 2" xfId="4569"/>
    <cellStyle name="Normal 11 6 6 2 2" xfId="6237"/>
    <cellStyle name="Normal 11 6 6 2 2 2" xfId="9572"/>
    <cellStyle name="Normal 11 6 6 2 2 2 2" xfId="20288"/>
    <cellStyle name="Normal 11 6 6 2 2 3" xfId="12900"/>
    <cellStyle name="Normal 11 6 6 2 2 3 2" xfId="23616"/>
    <cellStyle name="Normal 11 6 6 2 2 4" xfId="16960"/>
    <cellStyle name="Normal 11 6 6 2 3" xfId="7908"/>
    <cellStyle name="Normal 11 6 6 2 3 2" xfId="18624"/>
    <cellStyle name="Normal 11 6 6 2 4" xfId="11236"/>
    <cellStyle name="Normal 11 6 6 2 4 2" xfId="21952"/>
    <cellStyle name="Normal 11 6 6 2 5" xfId="15296"/>
    <cellStyle name="Normal 11 6 6 3" xfId="5405"/>
    <cellStyle name="Normal 11 6 6 3 2" xfId="8740"/>
    <cellStyle name="Normal 11 6 6 3 2 2" xfId="19456"/>
    <cellStyle name="Normal 11 6 6 3 3" xfId="12068"/>
    <cellStyle name="Normal 11 6 6 3 3 2" xfId="22784"/>
    <cellStyle name="Normal 11 6 6 3 4" xfId="16128"/>
    <cellStyle name="Normal 11 6 6 4" xfId="7076"/>
    <cellStyle name="Normal 11 6 6 4 2" xfId="17792"/>
    <cellStyle name="Normal 11 6 6 5" xfId="10404"/>
    <cellStyle name="Normal 11 6 6 5 2" xfId="21120"/>
    <cellStyle name="Normal 11 6 6 6" xfId="14464"/>
    <cellStyle name="Normal 11 6 7" xfId="4151"/>
    <cellStyle name="Normal 11 6 7 2" xfId="5821"/>
    <cellStyle name="Normal 11 6 7 2 2" xfId="9156"/>
    <cellStyle name="Normal 11 6 7 2 2 2" xfId="19872"/>
    <cellStyle name="Normal 11 6 7 2 3" xfId="12484"/>
    <cellStyle name="Normal 11 6 7 2 3 2" xfId="23200"/>
    <cellStyle name="Normal 11 6 7 2 4" xfId="16544"/>
    <cellStyle name="Normal 11 6 7 3" xfId="7492"/>
    <cellStyle name="Normal 11 6 7 3 2" xfId="18208"/>
    <cellStyle name="Normal 11 6 7 4" xfId="10820"/>
    <cellStyle name="Normal 11 6 7 4 2" xfId="21536"/>
    <cellStyle name="Normal 11 6 7 5" xfId="14880"/>
    <cellStyle name="Normal 11 6 8" xfId="4986"/>
    <cellStyle name="Normal 11 6 8 2" xfId="8324"/>
    <cellStyle name="Normal 11 6 8 2 2" xfId="19040"/>
    <cellStyle name="Normal 11 6 8 3" xfId="11652"/>
    <cellStyle name="Normal 11 6 8 3 2" xfId="22368"/>
    <cellStyle name="Normal 11 6 8 4" xfId="15712"/>
    <cellStyle name="Normal 11 6 9" xfId="6656"/>
    <cellStyle name="Normal 11 6 9 2" xfId="17376"/>
    <cellStyle name="Normal 11 7" xfId="1116"/>
    <cellStyle name="Normal 11 7 2" xfId="1117"/>
    <cellStyle name="Normal 11 7 2 2" xfId="2832"/>
    <cellStyle name="Normal 11 7 3" xfId="1118"/>
    <cellStyle name="Normal 11 7 3 2" xfId="2833"/>
    <cellStyle name="Normal 11 7 3 2 2" xfId="3945"/>
    <cellStyle name="Normal 11 7 3 2 2 2" xfId="4785"/>
    <cellStyle name="Normal 11 7 3 2 2 2 2" xfId="6453"/>
    <cellStyle name="Normal 11 7 3 2 2 2 2 2" xfId="9788"/>
    <cellStyle name="Normal 11 7 3 2 2 2 2 2 2" xfId="20504"/>
    <cellStyle name="Normal 11 7 3 2 2 2 2 3" xfId="13116"/>
    <cellStyle name="Normal 11 7 3 2 2 2 2 3 2" xfId="23832"/>
    <cellStyle name="Normal 11 7 3 2 2 2 2 4" xfId="17176"/>
    <cellStyle name="Normal 11 7 3 2 2 2 3" xfId="8124"/>
    <cellStyle name="Normal 11 7 3 2 2 2 3 2" xfId="18840"/>
    <cellStyle name="Normal 11 7 3 2 2 2 4" xfId="11452"/>
    <cellStyle name="Normal 11 7 3 2 2 2 4 2" xfId="22168"/>
    <cellStyle name="Normal 11 7 3 2 2 2 5" xfId="15512"/>
    <cellStyle name="Normal 11 7 3 2 2 3" xfId="5621"/>
    <cellStyle name="Normal 11 7 3 2 2 3 2" xfId="8956"/>
    <cellStyle name="Normal 11 7 3 2 2 3 2 2" xfId="19672"/>
    <cellStyle name="Normal 11 7 3 2 2 3 3" xfId="12284"/>
    <cellStyle name="Normal 11 7 3 2 2 3 3 2" xfId="23000"/>
    <cellStyle name="Normal 11 7 3 2 2 3 4" xfId="16344"/>
    <cellStyle name="Normal 11 7 3 2 2 4" xfId="7292"/>
    <cellStyle name="Normal 11 7 3 2 2 4 2" xfId="18008"/>
    <cellStyle name="Normal 11 7 3 2 2 5" xfId="10620"/>
    <cellStyle name="Normal 11 7 3 2 2 5 2" xfId="21336"/>
    <cellStyle name="Normal 11 7 3 2 2 6" xfId="14680"/>
    <cellStyle name="Normal 11 7 3 2 3" xfId="4369"/>
    <cellStyle name="Normal 11 7 3 2 3 2" xfId="6037"/>
    <cellStyle name="Normal 11 7 3 2 3 2 2" xfId="9372"/>
    <cellStyle name="Normal 11 7 3 2 3 2 2 2" xfId="20088"/>
    <cellStyle name="Normal 11 7 3 2 3 2 3" xfId="12700"/>
    <cellStyle name="Normal 11 7 3 2 3 2 3 2" xfId="23416"/>
    <cellStyle name="Normal 11 7 3 2 3 2 4" xfId="16760"/>
    <cellStyle name="Normal 11 7 3 2 3 3" xfId="7708"/>
    <cellStyle name="Normal 11 7 3 2 3 3 2" xfId="18424"/>
    <cellStyle name="Normal 11 7 3 2 3 4" xfId="11036"/>
    <cellStyle name="Normal 11 7 3 2 3 4 2" xfId="21752"/>
    <cellStyle name="Normal 11 7 3 2 3 5" xfId="15096"/>
    <cellStyle name="Normal 11 7 3 2 4" xfId="5205"/>
    <cellStyle name="Normal 11 7 3 2 4 2" xfId="8540"/>
    <cellStyle name="Normal 11 7 3 2 4 2 2" xfId="19256"/>
    <cellStyle name="Normal 11 7 3 2 4 3" xfId="11868"/>
    <cellStyle name="Normal 11 7 3 2 4 3 2" xfId="22584"/>
    <cellStyle name="Normal 11 7 3 2 4 4" xfId="15928"/>
    <cellStyle name="Normal 11 7 3 2 5" xfId="6874"/>
    <cellStyle name="Normal 11 7 3 2 5 2" xfId="17592"/>
    <cellStyle name="Normal 11 7 3 2 6" xfId="10204"/>
    <cellStyle name="Normal 11 7 3 2 6 2" xfId="20920"/>
    <cellStyle name="Normal 11 7 3 2 7" xfId="14262"/>
    <cellStyle name="Normal 11 7 3 3" xfId="3721"/>
    <cellStyle name="Normal 11 7 3 3 2" xfId="4577"/>
    <cellStyle name="Normal 11 7 3 3 2 2" xfId="6245"/>
    <cellStyle name="Normal 11 7 3 3 2 2 2" xfId="9580"/>
    <cellStyle name="Normal 11 7 3 3 2 2 2 2" xfId="20296"/>
    <cellStyle name="Normal 11 7 3 3 2 2 3" xfId="12908"/>
    <cellStyle name="Normal 11 7 3 3 2 2 3 2" xfId="23624"/>
    <cellStyle name="Normal 11 7 3 3 2 2 4" xfId="16968"/>
    <cellStyle name="Normal 11 7 3 3 2 3" xfId="7916"/>
    <cellStyle name="Normal 11 7 3 3 2 3 2" xfId="18632"/>
    <cellStyle name="Normal 11 7 3 3 2 4" xfId="11244"/>
    <cellStyle name="Normal 11 7 3 3 2 4 2" xfId="21960"/>
    <cellStyle name="Normal 11 7 3 3 2 5" xfId="15304"/>
    <cellStyle name="Normal 11 7 3 3 3" xfId="5413"/>
    <cellStyle name="Normal 11 7 3 3 3 2" xfId="8748"/>
    <cellStyle name="Normal 11 7 3 3 3 2 2" xfId="19464"/>
    <cellStyle name="Normal 11 7 3 3 3 3" xfId="12076"/>
    <cellStyle name="Normal 11 7 3 3 3 3 2" xfId="22792"/>
    <cellStyle name="Normal 11 7 3 3 3 4" xfId="16136"/>
    <cellStyle name="Normal 11 7 3 3 4" xfId="7084"/>
    <cellStyle name="Normal 11 7 3 3 4 2" xfId="17800"/>
    <cellStyle name="Normal 11 7 3 3 5" xfId="10412"/>
    <cellStyle name="Normal 11 7 3 3 5 2" xfId="21128"/>
    <cellStyle name="Normal 11 7 3 3 6" xfId="14472"/>
    <cellStyle name="Normal 11 7 3 4" xfId="4159"/>
    <cellStyle name="Normal 11 7 3 4 2" xfId="5829"/>
    <cellStyle name="Normal 11 7 3 4 2 2" xfId="9164"/>
    <cellStyle name="Normal 11 7 3 4 2 2 2" xfId="19880"/>
    <cellStyle name="Normal 11 7 3 4 2 3" xfId="12492"/>
    <cellStyle name="Normal 11 7 3 4 2 3 2" xfId="23208"/>
    <cellStyle name="Normal 11 7 3 4 2 4" xfId="16552"/>
    <cellStyle name="Normal 11 7 3 4 3" xfId="7500"/>
    <cellStyle name="Normal 11 7 3 4 3 2" xfId="18216"/>
    <cellStyle name="Normal 11 7 3 4 4" xfId="10828"/>
    <cellStyle name="Normal 11 7 3 4 4 2" xfId="21544"/>
    <cellStyle name="Normal 11 7 3 4 5" xfId="14888"/>
    <cellStyle name="Normal 11 7 3 5" xfId="4994"/>
    <cellStyle name="Normal 11 7 3 5 2" xfId="8332"/>
    <cellStyle name="Normal 11 7 3 5 2 2" xfId="19048"/>
    <cellStyle name="Normal 11 7 3 5 3" xfId="11660"/>
    <cellStyle name="Normal 11 7 3 5 3 2" xfId="22376"/>
    <cellStyle name="Normal 11 7 3 5 4" xfId="15720"/>
    <cellStyle name="Normal 11 7 3 6" xfId="6664"/>
    <cellStyle name="Normal 11 7 3 6 2" xfId="17384"/>
    <cellStyle name="Normal 11 7 3 7" xfId="9996"/>
    <cellStyle name="Normal 11 7 3 7 2" xfId="20712"/>
    <cellStyle name="Normal 11 7 3 8" xfId="14053"/>
    <cellStyle name="Normal 11 7 4" xfId="1119"/>
    <cellStyle name="Normal 11 7 4 2" xfId="2834"/>
    <cellStyle name="Normal 11 7 4 2 2" xfId="3946"/>
    <cellStyle name="Normal 11 7 4 2 2 2" xfId="4786"/>
    <cellStyle name="Normal 11 7 4 2 2 2 2" xfId="6454"/>
    <cellStyle name="Normal 11 7 4 2 2 2 2 2" xfId="9789"/>
    <cellStyle name="Normal 11 7 4 2 2 2 2 2 2" xfId="20505"/>
    <cellStyle name="Normal 11 7 4 2 2 2 2 3" xfId="13117"/>
    <cellStyle name="Normal 11 7 4 2 2 2 2 3 2" xfId="23833"/>
    <cellStyle name="Normal 11 7 4 2 2 2 2 4" xfId="17177"/>
    <cellStyle name="Normal 11 7 4 2 2 2 3" xfId="8125"/>
    <cellStyle name="Normal 11 7 4 2 2 2 3 2" xfId="18841"/>
    <cellStyle name="Normal 11 7 4 2 2 2 4" xfId="11453"/>
    <cellStyle name="Normal 11 7 4 2 2 2 4 2" xfId="22169"/>
    <cellStyle name="Normal 11 7 4 2 2 2 5" xfId="15513"/>
    <cellStyle name="Normal 11 7 4 2 2 3" xfId="5622"/>
    <cellStyle name="Normal 11 7 4 2 2 3 2" xfId="8957"/>
    <cellStyle name="Normal 11 7 4 2 2 3 2 2" xfId="19673"/>
    <cellStyle name="Normal 11 7 4 2 2 3 3" xfId="12285"/>
    <cellStyle name="Normal 11 7 4 2 2 3 3 2" xfId="23001"/>
    <cellStyle name="Normal 11 7 4 2 2 3 4" xfId="16345"/>
    <cellStyle name="Normal 11 7 4 2 2 4" xfId="7293"/>
    <cellStyle name="Normal 11 7 4 2 2 4 2" xfId="18009"/>
    <cellStyle name="Normal 11 7 4 2 2 5" xfId="10621"/>
    <cellStyle name="Normal 11 7 4 2 2 5 2" xfId="21337"/>
    <cellStyle name="Normal 11 7 4 2 2 6" xfId="14681"/>
    <cellStyle name="Normal 11 7 4 2 3" xfId="4370"/>
    <cellStyle name="Normal 11 7 4 2 3 2" xfId="6038"/>
    <cellStyle name="Normal 11 7 4 2 3 2 2" xfId="9373"/>
    <cellStyle name="Normal 11 7 4 2 3 2 2 2" xfId="20089"/>
    <cellStyle name="Normal 11 7 4 2 3 2 3" xfId="12701"/>
    <cellStyle name="Normal 11 7 4 2 3 2 3 2" xfId="23417"/>
    <cellStyle name="Normal 11 7 4 2 3 2 4" xfId="16761"/>
    <cellStyle name="Normal 11 7 4 2 3 3" xfId="7709"/>
    <cellStyle name="Normal 11 7 4 2 3 3 2" xfId="18425"/>
    <cellStyle name="Normal 11 7 4 2 3 4" xfId="11037"/>
    <cellStyle name="Normal 11 7 4 2 3 4 2" xfId="21753"/>
    <cellStyle name="Normal 11 7 4 2 3 5" xfId="15097"/>
    <cellStyle name="Normal 11 7 4 2 4" xfId="5206"/>
    <cellStyle name="Normal 11 7 4 2 4 2" xfId="8541"/>
    <cellStyle name="Normal 11 7 4 2 4 2 2" xfId="19257"/>
    <cellStyle name="Normal 11 7 4 2 4 3" xfId="11869"/>
    <cellStyle name="Normal 11 7 4 2 4 3 2" xfId="22585"/>
    <cellStyle name="Normal 11 7 4 2 4 4" xfId="15929"/>
    <cellStyle name="Normal 11 7 4 2 5" xfId="6875"/>
    <cellStyle name="Normal 11 7 4 2 5 2" xfId="17593"/>
    <cellStyle name="Normal 11 7 4 2 6" xfId="10205"/>
    <cellStyle name="Normal 11 7 4 2 6 2" xfId="20921"/>
    <cellStyle name="Normal 11 7 4 2 7" xfId="14263"/>
    <cellStyle name="Normal 11 7 4 3" xfId="3722"/>
    <cellStyle name="Normal 11 7 4 3 2" xfId="4578"/>
    <cellStyle name="Normal 11 7 4 3 2 2" xfId="6246"/>
    <cellStyle name="Normal 11 7 4 3 2 2 2" xfId="9581"/>
    <cellStyle name="Normal 11 7 4 3 2 2 2 2" xfId="20297"/>
    <cellStyle name="Normal 11 7 4 3 2 2 3" xfId="12909"/>
    <cellStyle name="Normal 11 7 4 3 2 2 3 2" xfId="23625"/>
    <cellStyle name="Normal 11 7 4 3 2 2 4" xfId="16969"/>
    <cellStyle name="Normal 11 7 4 3 2 3" xfId="7917"/>
    <cellStyle name="Normal 11 7 4 3 2 3 2" xfId="18633"/>
    <cellStyle name="Normal 11 7 4 3 2 4" xfId="11245"/>
    <cellStyle name="Normal 11 7 4 3 2 4 2" xfId="21961"/>
    <cellStyle name="Normal 11 7 4 3 2 5" xfId="15305"/>
    <cellStyle name="Normal 11 7 4 3 3" xfId="5414"/>
    <cellStyle name="Normal 11 7 4 3 3 2" xfId="8749"/>
    <cellStyle name="Normal 11 7 4 3 3 2 2" xfId="19465"/>
    <cellStyle name="Normal 11 7 4 3 3 3" xfId="12077"/>
    <cellStyle name="Normal 11 7 4 3 3 3 2" xfId="22793"/>
    <cellStyle name="Normal 11 7 4 3 3 4" xfId="16137"/>
    <cellStyle name="Normal 11 7 4 3 4" xfId="7085"/>
    <cellStyle name="Normal 11 7 4 3 4 2" xfId="17801"/>
    <cellStyle name="Normal 11 7 4 3 5" xfId="10413"/>
    <cellStyle name="Normal 11 7 4 3 5 2" xfId="21129"/>
    <cellStyle name="Normal 11 7 4 3 6" xfId="14473"/>
    <cellStyle name="Normal 11 7 4 4" xfId="4160"/>
    <cellStyle name="Normal 11 7 4 4 2" xfId="5830"/>
    <cellStyle name="Normal 11 7 4 4 2 2" xfId="9165"/>
    <cellStyle name="Normal 11 7 4 4 2 2 2" xfId="19881"/>
    <cellStyle name="Normal 11 7 4 4 2 3" xfId="12493"/>
    <cellStyle name="Normal 11 7 4 4 2 3 2" xfId="23209"/>
    <cellStyle name="Normal 11 7 4 4 2 4" xfId="16553"/>
    <cellStyle name="Normal 11 7 4 4 3" xfId="7501"/>
    <cellStyle name="Normal 11 7 4 4 3 2" xfId="18217"/>
    <cellStyle name="Normal 11 7 4 4 4" xfId="10829"/>
    <cellStyle name="Normal 11 7 4 4 4 2" xfId="21545"/>
    <cellStyle name="Normal 11 7 4 4 5" xfId="14889"/>
    <cellStyle name="Normal 11 7 4 5" xfId="4995"/>
    <cellStyle name="Normal 11 7 4 5 2" xfId="8333"/>
    <cellStyle name="Normal 11 7 4 5 2 2" xfId="19049"/>
    <cellStyle name="Normal 11 7 4 5 3" xfId="11661"/>
    <cellStyle name="Normal 11 7 4 5 3 2" xfId="22377"/>
    <cellStyle name="Normal 11 7 4 5 4" xfId="15721"/>
    <cellStyle name="Normal 11 7 4 6" xfId="6665"/>
    <cellStyle name="Normal 11 7 4 6 2" xfId="17385"/>
    <cellStyle name="Normal 11 7 4 7" xfId="9997"/>
    <cellStyle name="Normal 11 7 4 7 2" xfId="20713"/>
    <cellStyle name="Normal 11 7 4 8" xfId="14054"/>
    <cellStyle name="Normal 11 7 5" xfId="2831"/>
    <cellStyle name="Normal 11 8" xfId="1120"/>
    <cellStyle name="Normal 110" xfId="1121"/>
    <cellStyle name="Normal 111" xfId="1122"/>
    <cellStyle name="Normal 112" xfId="1123"/>
    <cellStyle name="Normal 113" xfId="1124"/>
    <cellStyle name="Normal 114" xfId="1125"/>
    <cellStyle name="Normal 115" xfId="1126"/>
    <cellStyle name="Normal 116" xfId="1127"/>
    <cellStyle name="Normal 117" xfId="1128"/>
    <cellStyle name="Normal 118" xfId="1129"/>
    <cellStyle name="Normal 118 2" xfId="2835"/>
    <cellStyle name="Normal 119" xfId="1130"/>
    <cellStyle name="Normal 119 2" xfId="2836"/>
    <cellStyle name="Normal 12" xfId="1131"/>
    <cellStyle name="Normal 12 2" xfId="1132"/>
    <cellStyle name="Normal 12 2 2" xfId="1133"/>
    <cellStyle name="Normal 12 2 2 2" xfId="2839"/>
    <cellStyle name="Normal 12 2 3" xfId="1134"/>
    <cellStyle name="Normal 12 2 3 2" xfId="2840"/>
    <cellStyle name="Normal 12 2 4" xfId="2838"/>
    <cellStyle name="Normal 12 3" xfId="1135"/>
    <cellStyle name="Normal 12 3 2" xfId="2841"/>
    <cellStyle name="Normal 12 4" xfId="1136"/>
    <cellStyle name="Normal 12 4 2" xfId="2842"/>
    <cellStyle name="Normal 12 5" xfId="1137"/>
    <cellStyle name="Normal 12 5 2" xfId="2843"/>
    <cellStyle name="Normal 12 6" xfId="2837"/>
    <cellStyle name="Normal 120" xfId="1138"/>
    <cellStyle name="Normal 120 2" xfId="2844"/>
    <cellStyle name="Normal 121" xfId="1139"/>
    <cellStyle name="Normal 121 2" xfId="2845"/>
    <cellStyle name="Normal 122" xfId="1140"/>
    <cellStyle name="Normal 122 2" xfId="2846"/>
    <cellStyle name="Normal 123" xfId="1141"/>
    <cellStyle name="Normal 123 2" xfId="2847"/>
    <cellStyle name="Normal 124" xfId="1142"/>
    <cellStyle name="Normal 124 2" xfId="2848"/>
    <cellStyle name="Normal 125" xfId="1143"/>
    <cellStyle name="Normal 125 2" xfId="2849"/>
    <cellStyle name="Normal 126" xfId="1144"/>
    <cellStyle name="Normal 126 2" xfId="2850"/>
    <cellStyle name="Normal 127" xfId="1145"/>
    <cellStyle name="Normal 127 2" xfId="2851"/>
    <cellStyle name="Normal 128" xfId="1146"/>
    <cellStyle name="Normal 128 2" xfId="2852"/>
    <cellStyle name="Normal 129" xfId="1147"/>
    <cellStyle name="Normal 129 10" xfId="9998"/>
    <cellStyle name="Normal 129 10 2" xfId="20714"/>
    <cellStyle name="Normal 129 11" xfId="14055"/>
    <cellStyle name="Normal 129 2" xfId="1148"/>
    <cellStyle name="Normal 129 2 10" xfId="14056"/>
    <cellStyle name="Normal 129 2 2" xfId="1149"/>
    <cellStyle name="Normal 129 2 2 2" xfId="1150"/>
    <cellStyle name="Normal 129 2 2 2 2" xfId="2856"/>
    <cellStyle name="Normal 129 2 2 2 2 2" xfId="3950"/>
    <cellStyle name="Normal 129 2 2 2 2 2 2" xfId="4790"/>
    <cellStyle name="Normal 129 2 2 2 2 2 2 2" xfId="6458"/>
    <cellStyle name="Normal 129 2 2 2 2 2 2 2 2" xfId="9793"/>
    <cellStyle name="Normal 129 2 2 2 2 2 2 2 2 2" xfId="20509"/>
    <cellStyle name="Normal 129 2 2 2 2 2 2 2 3" xfId="13121"/>
    <cellStyle name="Normal 129 2 2 2 2 2 2 2 3 2" xfId="23837"/>
    <cellStyle name="Normal 129 2 2 2 2 2 2 2 4" xfId="17181"/>
    <cellStyle name="Normal 129 2 2 2 2 2 2 3" xfId="8129"/>
    <cellStyle name="Normal 129 2 2 2 2 2 2 3 2" xfId="18845"/>
    <cellStyle name="Normal 129 2 2 2 2 2 2 4" xfId="11457"/>
    <cellStyle name="Normal 129 2 2 2 2 2 2 4 2" xfId="22173"/>
    <cellStyle name="Normal 129 2 2 2 2 2 2 5" xfId="15517"/>
    <cellStyle name="Normal 129 2 2 2 2 2 3" xfId="5626"/>
    <cellStyle name="Normal 129 2 2 2 2 2 3 2" xfId="8961"/>
    <cellStyle name="Normal 129 2 2 2 2 2 3 2 2" xfId="19677"/>
    <cellStyle name="Normal 129 2 2 2 2 2 3 3" xfId="12289"/>
    <cellStyle name="Normal 129 2 2 2 2 2 3 3 2" xfId="23005"/>
    <cellStyle name="Normal 129 2 2 2 2 2 3 4" xfId="16349"/>
    <cellStyle name="Normal 129 2 2 2 2 2 4" xfId="7297"/>
    <cellStyle name="Normal 129 2 2 2 2 2 4 2" xfId="18013"/>
    <cellStyle name="Normal 129 2 2 2 2 2 5" xfId="10625"/>
    <cellStyle name="Normal 129 2 2 2 2 2 5 2" xfId="21341"/>
    <cellStyle name="Normal 129 2 2 2 2 2 6" xfId="14685"/>
    <cellStyle name="Normal 129 2 2 2 2 3" xfId="4374"/>
    <cellStyle name="Normal 129 2 2 2 2 3 2" xfId="6042"/>
    <cellStyle name="Normal 129 2 2 2 2 3 2 2" xfId="9377"/>
    <cellStyle name="Normal 129 2 2 2 2 3 2 2 2" xfId="20093"/>
    <cellStyle name="Normal 129 2 2 2 2 3 2 3" xfId="12705"/>
    <cellStyle name="Normal 129 2 2 2 2 3 2 3 2" xfId="23421"/>
    <cellStyle name="Normal 129 2 2 2 2 3 2 4" xfId="16765"/>
    <cellStyle name="Normal 129 2 2 2 2 3 3" xfId="7713"/>
    <cellStyle name="Normal 129 2 2 2 2 3 3 2" xfId="18429"/>
    <cellStyle name="Normal 129 2 2 2 2 3 4" xfId="11041"/>
    <cellStyle name="Normal 129 2 2 2 2 3 4 2" xfId="21757"/>
    <cellStyle name="Normal 129 2 2 2 2 3 5" xfId="15101"/>
    <cellStyle name="Normal 129 2 2 2 2 4" xfId="5210"/>
    <cellStyle name="Normal 129 2 2 2 2 4 2" xfId="8545"/>
    <cellStyle name="Normal 129 2 2 2 2 4 2 2" xfId="19261"/>
    <cellStyle name="Normal 129 2 2 2 2 4 3" xfId="11873"/>
    <cellStyle name="Normal 129 2 2 2 2 4 3 2" xfId="22589"/>
    <cellStyle name="Normal 129 2 2 2 2 4 4" xfId="15933"/>
    <cellStyle name="Normal 129 2 2 2 2 5" xfId="6879"/>
    <cellStyle name="Normal 129 2 2 2 2 5 2" xfId="17597"/>
    <cellStyle name="Normal 129 2 2 2 2 6" xfId="10209"/>
    <cellStyle name="Normal 129 2 2 2 2 6 2" xfId="20925"/>
    <cellStyle name="Normal 129 2 2 2 2 7" xfId="14267"/>
    <cellStyle name="Normal 129 2 2 2 3" xfId="3726"/>
    <cellStyle name="Normal 129 2 2 2 3 2" xfId="4582"/>
    <cellStyle name="Normal 129 2 2 2 3 2 2" xfId="6250"/>
    <cellStyle name="Normal 129 2 2 2 3 2 2 2" xfId="9585"/>
    <cellStyle name="Normal 129 2 2 2 3 2 2 2 2" xfId="20301"/>
    <cellStyle name="Normal 129 2 2 2 3 2 2 3" xfId="12913"/>
    <cellStyle name="Normal 129 2 2 2 3 2 2 3 2" xfId="23629"/>
    <cellStyle name="Normal 129 2 2 2 3 2 2 4" xfId="16973"/>
    <cellStyle name="Normal 129 2 2 2 3 2 3" xfId="7921"/>
    <cellStyle name="Normal 129 2 2 2 3 2 3 2" xfId="18637"/>
    <cellStyle name="Normal 129 2 2 2 3 2 4" xfId="11249"/>
    <cellStyle name="Normal 129 2 2 2 3 2 4 2" xfId="21965"/>
    <cellStyle name="Normal 129 2 2 2 3 2 5" xfId="15309"/>
    <cellStyle name="Normal 129 2 2 2 3 3" xfId="5418"/>
    <cellStyle name="Normal 129 2 2 2 3 3 2" xfId="8753"/>
    <cellStyle name="Normal 129 2 2 2 3 3 2 2" xfId="19469"/>
    <cellStyle name="Normal 129 2 2 2 3 3 3" xfId="12081"/>
    <cellStyle name="Normal 129 2 2 2 3 3 3 2" xfId="22797"/>
    <cellStyle name="Normal 129 2 2 2 3 3 4" xfId="16141"/>
    <cellStyle name="Normal 129 2 2 2 3 4" xfId="7089"/>
    <cellStyle name="Normal 129 2 2 2 3 4 2" xfId="17805"/>
    <cellStyle name="Normal 129 2 2 2 3 5" xfId="10417"/>
    <cellStyle name="Normal 129 2 2 2 3 5 2" xfId="21133"/>
    <cellStyle name="Normal 129 2 2 2 3 6" xfId="14477"/>
    <cellStyle name="Normal 129 2 2 2 4" xfId="4164"/>
    <cellStyle name="Normal 129 2 2 2 4 2" xfId="5834"/>
    <cellStyle name="Normal 129 2 2 2 4 2 2" xfId="9169"/>
    <cellStyle name="Normal 129 2 2 2 4 2 2 2" xfId="19885"/>
    <cellStyle name="Normal 129 2 2 2 4 2 3" xfId="12497"/>
    <cellStyle name="Normal 129 2 2 2 4 2 3 2" xfId="23213"/>
    <cellStyle name="Normal 129 2 2 2 4 2 4" xfId="16557"/>
    <cellStyle name="Normal 129 2 2 2 4 3" xfId="7505"/>
    <cellStyle name="Normal 129 2 2 2 4 3 2" xfId="18221"/>
    <cellStyle name="Normal 129 2 2 2 4 4" xfId="10833"/>
    <cellStyle name="Normal 129 2 2 2 4 4 2" xfId="21549"/>
    <cellStyle name="Normal 129 2 2 2 4 5" xfId="14893"/>
    <cellStyle name="Normal 129 2 2 2 5" xfId="4999"/>
    <cellStyle name="Normal 129 2 2 2 5 2" xfId="8337"/>
    <cellStyle name="Normal 129 2 2 2 5 2 2" xfId="19053"/>
    <cellStyle name="Normal 129 2 2 2 5 3" xfId="11665"/>
    <cellStyle name="Normal 129 2 2 2 5 3 2" xfId="22381"/>
    <cellStyle name="Normal 129 2 2 2 5 4" xfId="15725"/>
    <cellStyle name="Normal 129 2 2 2 6" xfId="6669"/>
    <cellStyle name="Normal 129 2 2 2 6 2" xfId="17389"/>
    <cellStyle name="Normal 129 2 2 2 7" xfId="10001"/>
    <cellStyle name="Normal 129 2 2 2 7 2" xfId="20717"/>
    <cellStyle name="Normal 129 2 2 2 8" xfId="14058"/>
    <cellStyle name="Normal 129 2 2 3" xfId="2855"/>
    <cellStyle name="Normal 129 2 2 3 2" xfId="3949"/>
    <cellStyle name="Normal 129 2 2 3 2 2" xfId="4789"/>
    <cellStyle name="Normal 129 2 2 3 2 2 2" xfId="6457"/>
    <cellStyle name="Normal 129 2 2 3 2 2 2 2" xfId="9792"/>
    <cellStyle name="Normal 129 2 2 3 2 2 2 2 2" xfId="20508"/>
    <cellStyle name="Normal 129 2 2 3 2 2 2 3" xfId="13120"/>
    <cellStyle name="Normal 129 2 2 3 2 2 2 3 2" xfId="23836"/>
    <cellStyle name="Normal 129 2 2 3 2 2 2 4" xfId="17180"/>
    <cellStyle name="Normal 129 2 2 3 2 2 3" xfId="8128"/>
    <cellStyle name="Normal 129 2 2 3 2 2 3 2" xfId="18844"/>
    <cellStyle name="Normal 129 2 2 3 2 2 4" xfId="11456"/>
    <cellStyle name="Normal 129 2 2 3 2 2 4 2" xfId="22172"/>
    <cellStyle name="Normal 129 2 2 3 2 2 5" xfId="15516"/>
    <cellStyle name="Normal 129 2 2 3 2 3" xfId="5625"/>
    <cellStyle name="Normal 129 2 2 3 2 3 2" xfId="8960"/>
    <cellStyle name="Normal 129 2 2 3 2 3 2 2" xfId="19676"/>
    <cellStyle name="Normal 129 2 2 3 2 3 3" xfId="12288"/>
    <cellStyle name="Normal 129 2 2 3 2 3 3 2" xfId="23004"/>
    <cellStyle name="Normal 129 2 2 3 2 3 4" xfId="16348"/>
    <cellStyle name="Normal 129 2 2 3 2 4" xfId="7296"/>
    <cellStyle name="Normal 129 2 2 3 2 4 2" xfId="18012"/>
    <cellStyle name="Normal 129 2 2 3 2 5" xfId="10624"/>
    <cellStyle name="Normal 129 2 2 3 2 5 2" xfId="21340"/>
    <cellStyle name="Normal 129 2 2 3 2 6" xfId="14684"/>
    <cellStyle name="Normal 129 2 2 3 3" xfId="4373"/>
    <cellStyle name="Normal 129 2 2 3 3 2" xfId="6041"/>
    <cellStyle name="Normal 129 2 2 3 3 2 2" xfId="9376"/>
    <cellStyle name="Normal 129 2 2 3 3 2 2 2" xfId="20092"/>
    <cellStyle name="Normal 129 2 2 3 3 2 3" xfId="12704"/>
    <cellStyle name="Normal 129 2 2 3 3 2 3 2" xfId="23420"/>
    <cellStyle name="Normal 129 2 2 3 3 2 4" xfId="16764"/>
    <cellStyle name="Normal 129 2 2 3 3 3" xfId="7712"/>
    <cellStyle name="Normal 129 2 2 3 3 3 2" xfId="18428"/>
    <cellStyle name="Normal 129 2 2 3 3 4" xfId="11040"/>
    <cellStyle name="Normal 129 2 2 3 3 4 2" xfId="21756"/>
    <cellStyle name="Normal 129 2 2 3 3 5" xfId="15100"/>
    <cellStyle name="Normal 129 2 2 3 4" xfId="5209"/>
    <cellStyle name="Normal 129 2 2 3 4 2" xfId="8544"/>
    <cellStyle name="Normal 129 2 2 3 4 2 2" xfId="19260"/>
    <cellStyle name="Normal 129 2 2 3 4 3" xfId="11872"/>
    <cellStyle name="Normal 129 2 2 3 4 3 2" xfId="22588"/>
    <cellStyle name="Normal 129 2 2 3 4 4" xfId="15932"/>
    <cellStyle name="Normal 129 2 2 3 5" xfId="6878"/>
    <cellStyle name="Normal 129 2 2 3 5 2" xfId="17596"/>
    <cellStyle name="Normal 129 2 2 3 6" xfId="10208"/>
    <cellStyle name="Normal 129 2 2 3 6 2" xfId="20924"/>
    <cellStyle name="Normal 129 2 2 3 7" xfId="14266"/>
    <cellStyle name="Normal 129 2 2 4" xfId="3725"/>
    <cellStyle name="Normal 129 2 2 4 2" xfId="4581"/>
    <cellStyle name="Normal 129 2 2 4 2 2" xfId="6249"/>
    <cellStyle name="Normal 129 2 2 4 2 2 2" xfId="9584"/>
    <cellStyle name="Normal 129 2 2 4 2 2 2 2" xfId="20300"/>
    <cellStyle name="Normal 129 2 2 4 2 2 3" xfId="12912"/>
    <cellStyle name="Normal 129 2 2 4 2 2 3 2" xfId="23628"/>
    <cellStyle name="Normal 129 2 2 4 2 2 4" xfId="16972"/>
    <cellStyle name="Normal 129 2 2 4 2 3" xfId="7920"/>
    <cellStyle name="Normal 129 2 2 4 2 3 2" xfId="18636"/>
    <cellStyle name="Normal 129 2 2 4 2 4" xfId="11248"/>
    <cellStyle name="Normal 129 2 2 4 2 4 2" xfId="21964"/>
    <cellStyle name="Normal 129 2 2 4 2 5" xfId="15308"/>
    <cellStyle name="Normal 129 2 2 4 3" xfId="5417"/>
    <cellStyle name="Normal 129 2 2 4 3 2" xfId="8752"/>
    <cellStyle name="Normal 129 2 2 4 3 2 2" xfId="19468"/>
    <cellStyle name="Normal 129 2 2 4 3 3" xfId="12080"/>
    <cellStyle name="Normal 129 2 2 4 3 3 2" xfId="22796"/>
    <cellStyle name="Normal 129 2 2 4 3 4" xfId="16140"/>
    <cellStyle name="Normal 129 2 2 4 4" xfId="7088"/>
    <cellStyle name="Normal 129 2 2 4 4 2" xfId="17804"/>
    <cellStyle name="Normal 129 2 2 4 5" xfId="10416"/>
    <cellStyle name="Normal 129 2 2 4 5 2" xfId="21132"/>
    <cellStyle name="Normal 129 2 2 4 6" xfId="14476"/>
    <cellStyle name="Normal 129 2 2 5" xfId="4163"/>
    <cellStyle name="Normal 129 2 2 5 2" xfId="5833"/>
    <cellStyle name="Normal 129 2 2 5 2 2" xfId="9168"/>
    <cellStyle name="Normal 129 2 2 5 2 2 2" xfId="19884"/>
    <cellStyle name="Normal 129 2 2 5 2 3" xfId="12496"/>
    <cellStyle name="Normal 129 2 2 5 2 3 2" xfId="23212"/>
    <cellStyle name="Normal 129 2 2 5 2 4" xfId="16556"/>
    <cellStyle name="Normal 129 2 2 5 3" xfId="7504"/>
    <cellStyle name="Normal 129 2 2 5 3 2" xfId="18220"/>
    <cellStyle name="Normal 129 2 2 5 4" xfId="10832"/>
    <cellStyle name="Normal 129 2 2 5 4 2" xfId="21548"/>
    <cellStyle name="Normal 129 2 2 5 5" xfId="14892"/>
    <cellStyle name="Normal 129 2 2 6" xfId="4998"/>
    <cellStyle name="Normal 129 2 2 6 2" xfId="8336"/>
    <cellStyle name="Normal 129 2 2 6 2 2" xfId="19052"/>
    <cellStyle name="Normal 129 2 2 6 3" xfId="11664"/>
    <cellStyle name="Normal 129 2 2 6 3 2" xfId="22380"/>
    <cellStyle name="Normal 129 2 2 6 4" xfId="15724"/>
    <cellStyle name="Normal 129 2 2 7" xfId="6668"/>
    <cellStyle name="Normal 129 2 2 7 2" xfId="17388"/>
    <cellStyle name="Normal 129 2 2 8" xfId="10000"/>
    <cellStyle name="Normal 129 2 2 8 2" xfId="20716"/>
    <cellStyle name="Normal 129 2 2 9" xfId="14057"/>
    <cellStyle name="Normal 129 2 3" xfId="1151"/>
    <cellStyle name="Normal 129 2 3 2" xfId="2857"/>
    <cellStyle name="Normal 129 2 3 2 2" xfId="3951"/>
    <cellStyle name="Normal 129 2 3 2 2 2" xfId="4791"/>
    <cellStyle name="Normal 129 2 3 2 2 2 2" xfId="6459"/>
    <cellStyle name="Normal 129 2 3 2 2 2 2 2" xfId="9794"/>
    <cellStyle name="Normal 129 2 3 2 2 2 2 2 2" xfId="20510"/>
    <cellStyle name="Normal 129 2 3 2 2 2 2 3" xfId="13122"/>
    <cellStyle name="Normal 129 2 3 2 2 2 2 3 2" xfId="23838"/>
    <cellStyle name="Normal 129 2 3 2 2 2 2 4" xfId="17182"/>
    <cellStyle name="Normal 129 2 3 2 2 2 3" xfId="8130"/>
    <cellStyle name="Normal 129 2 3 2 2 2 3 2" xfId="18846"/>
    <cellStyle name="Normal 129 2 3 2 2 2 4" xfId="11458"/>
    <cellStyle name="Normal 129 2 3 2 2 2 4 2" xfId="22174"/>
    <cellStyle name="Normal 129 2 3 2 2 2 5" xfId="15518"/>
    <cellStyle name="Normal 129 2 3 2 2 3" xfId="5627"/>
    <cellStyle name="Normal 129 2 3 2 2 3 2" xfId="8962"/>
    <cellStyle name="Normal 129 2 3 2 2 3 2 2" xfId="19678"/>
    <cellStyle name="Normal 129 2 3 2 2 3 3" xfId="12290"/>
    <cellStyle name="Normal 129 2 3 2 2 3 3 2" xfId="23006"/>
    <cellStyle name="Normal 129 2 3 2 2 3 4" xfId="16350"/>
    <cellStyle name="Normal 129 2 3 2 2 4" xfId="7298"/>
    <cellStyle name="Normal 129 2 3 2 2 4 2" xfId="18014"/>
    <cellStyle name="Normal 129 2 3 2 2 5" xfId="10626"/>
    <cellStyle name="Normal 129 2 3 2 2 5 2" xfId="21342"/>
    <cellStyle name="Normal 129 2 3 2 2 6" xfId="14686"/>
    <cellStyle name="Normal 129 2 3 2 3" xfId="4375"/>
    <cellStyle name="Normal 129 2 3 2 3 2" xfId="6043"/>
    <cellStyle name="Normal 129 2 3 2 3 2 2" xfId="9378"/>
    <cellStyle name="Normal 129 2 3 2 3 2 2 2" xfId="20094"/>
    <cellStyle name="Normal 129 2 3 2 3 2 3" xfId="12706"/>
    <cellStyle name="Normal 129 2 3 2 3 2 3 2" xfId="23422"/>
    <cellStyle name="Normal 129 2 3 2 3 2 4" xfId="16766"/>
    <cellStyle name="Normal 129 2 3 2 3 3" xfId="7714"/>
    <cellStyle name="Normal 129 2 3 2 3 3 2" xfId="18430"/>
    <cellStyle name="Normal 129 2 3 2 3 4" xfId="11042"/>
    <cellStyle name="Normal 129 2 3 2 3 4 2" xfId="21758"/>
    <cellStyle name="Normal 129 2 3 2 3 5" xfId="15102"/>
    <cellStyle name="Normal 129 2 3 2 4" xfId="5211"/>
    <cellStyle name="Normal 129 2 3 2 4 2" xfId="8546"/>
    <cellStyle name="Normal 129 2 3 2 4 2 2" xfId="19262"/>
    <cellStyle name="Normal 129 2 3 2 4 3" xfId="11874"/>
    <cellStyle name="Normal 129 2 3 2 4 3 2" xfId="22590"/>
    <cellStyle name="Normal 129 2 3 2 4 4" xfId="15934"/>
    <cellStyle name="Normal 129 2 3 2 5" xfId="6880"/>
    <cellStyle name="Normal 129 2 3 2 5 2" xfId="17598"/>
    <cellStyle name="Normal 129 2 3 2 6" xfId="10210"/>
    <cellStyle name="Normal 129 2 3 2 6 2" xfId="20926"/>
    <cellStyle name="Normal 129 2 3 2 7" xfId="14268"/>
    <cellStyle name="Normal 129 2 3 3" xfId="3727"/>
    <cellStyle name="Normal 129 2 3 3 2" xfId="4583"/>
    <cellStyle name="Normal 129 2 3 3 2 2" xfId="6251"/>
    <cellStyle name="Normal 129 2 3 3 2 2 2" xfId="9586"/>
    <cellStyle name="Normal 129 2 3 3 2 2 2 2" xfId="20302"/>
    <cellStyle name="Normal 129 2 3 3 2 2 3" xfId="12914"/>
    <cellStyle name="Normal 129 2 3 3 2 2 3 2" xfId="23630"/>
    <cellStyle name="Normal 129 2 3 3 2 2 4" xfId="16974"/>
    <cellStyle name="Normal 129 2 3 3 2 3" xfId="7922"/>
    <cellStyle name="Normal 129 2 3 3 2 3 2" xfId="18638"/>
    <cellStyle name="Normal 129 2 3 3 2 4" xfId="11250"/>
    <cellStyle name="Normal 129 2 3 3 2 4 2" xfId="21966"/>
    <cellStyle name="Normal 129 2 3 3 2 5" xfId="15310"/>
    <cellStyle name="Normal 129 2 3 3 3" xfId="5419"/>
    <cellStyle name="Normal 129 2 3 3 3 2" xfId="8754"/>
    <cellStyle name="Normal 129 2 3 3 3 2 2" xfId="19470"/>
    <cellStyle name="Normal 129 2 3 3 3 3" xfId="12082"/>
    <cellStyle name="Normal 129 2 3 3 3 3 2" xfId="22798"/>
    <cellStyle name="Normal 129 2 3 3 3 4" xfId="16142"/>
    <cellStyle name="Normal 129 2 3 3 4" xfId="7090"/>
    <cellStyle name="Normal 129 2 3 3 4 2" xfId="17806"/>
    <cellStyle name="Normal 129 2 3 3 5" xfId="10418"/>
    <cellStyle name="Normal 129 2 3 3 5 2" xfId="21134"/>
    <cellStyle name="Normal 129 2 3 3 6" xfId="14478"/>
    <cellStyle name="Normal 129 2 3 4" xfId="4165"/>
    <cellStyle name="Normal 129 2 3 4 2" xfId="5835"/>
    <cellStyle name="Normal 129 2 3 4 2 2" xfId="9170"/>
    <cellStyle name="Normal 129 2 3 4 2 2 2" xfId="19886"/>
    <cellStyle name="Normal 129 2 3 4 2 3" xfId="12498"/>
    <cellStyle name="Normal 129 2 3 4 2 3 2" xfId="23214"/>
    <cellStyle name="Normal 129 2 3 4 2 4" xfId="16558"/>
    <cellStyle name="Normal 129 2 3 4 3" xfId="7506"/>
    <cellStyle name="Normal 129 2 3 4 3 2" xfId="18222"/>
    <cellStyle name="Normal 129 2 3 4 4" xfId="10834"/>
    <cellStyle name="Normal 129 2 3 4 4 2" xfId="21550"/>
    <cellStyle name="Normal 129 2 3 4 5" xfId="14894"/>
    <cellStyle name="Normal 129 2 3 5" xfId="5000"/>
    <cellStyle name="Normal 129 2 3 5 2" xfId="8338"/>
    <cellStyle name="Normal 129 2 3 5 2 2" xfId="19054"/>
    <cellStyle name="Normal 129 2 3 5 3" xfId="11666"/>
    <cellStyle name="Normal 129 2 3 5 3 2" xfId="22382"/>
    <cellStyle name="Normal 129 2 3 5 4" xfId="15726"/>
    <cellStyle name="Normal 129 2 3 6" xfId="6670"/>
    <cellStyle name="Normal 129 2 3 6 2" xfId="17390"/>
    <cellStyle name="Normal 129 2 3 7" xfId="10002"/>
    <cellStyle name="Normal 129 2 3 7 2" xfId="20718"/>
    <cellStyle name="Normal 129 2 3 8" xfId="14059"/>
    <cellStyle name="Normal 129 2 4" xfId="2854"/>
    <cellStyle name="Normal 129 2 4 2" xfId="3948"/>
    <cellStyle name="Normal 129 2 4 2 2" xfId="4788"/>
    <cellStyle name="Normal 129 2 4 2 2 2" xfId="6456"/>
    <cellStyle name="Normal 129 2 4 2 2 2 2" xfId="9791"/>
    <cellStyle name="Normal 129 2 4 2 2 2 2 2" xfId="20507"/>
    <cellStyle name="Normal 129 2 4 2 2 2 3" xfId="13119"/>
    <cellStyle name="Normal 129 2 4 2 2 2 3 2" xfId="23835"/>
    <cellStyle name="Normal 129 2 4 2 2 2 4" xfId="17179"/>
    <cellStyle name="Normal 129 2 4 2 2 3" xfId="8127"/>
    <cellStyle name="Normal 129 2 4 2 2 3 2" xfId="18843"/>
    <cellStyle name="Normal 129 2 4 2 2 4" xfId="11455"/>
    <cellStyle name="Normal 129 2 4 2 2 4 2" xfId="22171"/>
    <cellStyle name="Normal 129 2 4 2 2 5" xfId="15515"/>
    <cellStyle name="Normal 129 2 4 2 3" xfId="5624"/>
    <cellStyle name="Normal 129 2 4 2 3 2" xfId="8959"/>
    <cellStyle name="Normal 129 2 4 2 3 2 2" xfId="19675"/>
    <cellStyle name="Normal 129 2 4 2 3 3" xfId="12287"/>
    <cellStyle name="Normal 129 2 4 2 3 3 2" xfId="23003"/>
    <cellStyle name="Normal 129 2 4 2 3 4" xfId="16347"/>
    <cellStyle name="Normal 129 2 4 2 4" xfId="7295"/>
    <cellStyle name="Normal 129 2 4 2 4 2" xfId="18011"/>
    <cellStyle name="Normal 129 2 4 2 5" xfId="10623"/>
    <cellStyle name="Normal 129 2 4 2 5 2" xfId="21339"/>
    <cellStyle name="Normal 129 2 4 2 6" xfId="14683"/>
    <cellStyle name="Normal 129 2 4 3" xfId="4372"/>
    <cellStyle name="Normal 129 2 4 3 2" xfId="6040"/>
    <cellStyle name="Normal 129 2 4 3 2 2" xfId="9375"/>
    <cellStyle name="Normal 129 2 4 3 2 2 2" xfId="20091"/>
    <cellStyle name="Normal 129 2 4 3 2 3" xfId="12703"/>
    <cellStyle name="Normal 129 2 4 3 2 3 2" xfId="23419"/>
    <cellStyle name="Normal 129 2 4 3 2 4" xfId="16763"/>
    <cellStyle name="Normal 129 2 4 3 3" xfId="7711"/>
    <cellStyle name="Normal 129 2 4 3 3 2" xfId="18427"/>
    <cellStyle name="Normal 129 2 4 3 4" xfId="11039"/>
    <cellStyle name="Normal 129 2 4 3 4 2" xfId="21755"/>
    <cellStyle name="Normal 129 2 4 3 5" xfId="15099"/>
    <cellStyle name="Normal 129 2 4 4" xfId="5208"/>
    <cellStyle name="Normal 129 2 4 4 2" xfId="8543"/>
    <cellStyle name="Normal 129 2 4 4 2 2" xfId="19259"/>
    <cellStyle name="Normal 129 2 4 4 3" xfId="11871"/>
    <cellStyle name="Normal 129 2 4 4 3 2" xfId="22587"/>
    <cellStyle name="Normal 129 2 4 4 4" xfId="15931"/>
    <cellStyle name="Normal 129 2 4 5" xfId="6877"/>
    <cellStyle name="Normal 129 2 4 5 2" xfId="17595"/>
    <cellStyle name="Normal 129 2 4 6" xfId="10207"/>
    <cellStyle name="Normal 129 2 4 6 2" xfId="20923"/>
    <cellStyle name="Normal 129 2 4 7" xfId="14265"/>
    <cellStyle name="Normal 129 2 5" xfId="3724"/>
    <cellStyle name="Normal 129 2 5 2" xfId="4580"/>
    <cellStyle name="Normal 129 2 5 2 2" xfId="6248"/>
    <cellStyle name="Normal 129 2 5 2 2 2" xfId="9583"/>
    <cellStyle name="Normal 129 2 5 2 2 2 2" xfId="20299"/>
    <cellStyle name="Normal 129 2 5 2 2 3" xfId="12911"/>
    <cellStyle name="Normal 129 2 5 2 2 3 2" xfId="23627"/>
    <cellStyle name="Normal 129 2 5 2 2 4" xfId="16971"/>
    <cellStyle name="Normal 129 2 5 2 3" xfId="7919"/>
    <cellStyle name="Normal 129 2 5 2 3 2" xfId="18635"/>
    <cellStyle name="Normal 129 2 5 2 4" xfId="11247"/>
    <cellStyle name="Normal 129 2 5 2 4 2" xfId="21963"/>
    <cellStyle name="Normal 129 2 5 2 5" xfId="15307"/>
    <cellStyle name="Normal 129 2 5 3" xfId="5416"/>
    <cellStyle name="Normal 129 2 5 3 2" xfId="8751"/>
    <cellStyle name="Normal 129 2 5 3 2 2" xfId="19467"/>
    <cellStyle name="Normal 129 2 5 3 3" xfId="12079"/>
    <cellStyle name="Normal 129 2 5 3 3 2" xfId="22795"/>
    <cellStyle name="Normal 129 2 5 3 4" xfId="16139"/>
    <cellStyle name="Normal 129 2 5 4" xfId="7087"/>
    <cellStyle name="Normal 129 2 5 4 2" xfId="17803"/>
    <cellStyle name="Normal 129 2 5 5" xfId="10415"/>
    <cellStyle name="Normal 129 2 5 5 2" xfId="21131"/>
    <cellStyle name="Normal 129 2 5 6" xfId="14475"/>
    <cellStyle name="Normal 129 2 6" xfId="4162"/>
    <cellStyle name="Normal 129 2 6 2" xfId="5832"/>
    <cellStyle name="Normal 129 2 6 2 2" xfId="9167"/>
    <cellStyle name="Normal 129 2 6 2 2 2" xfId="19883"/>
    <cellStyle name="Normal 129 2 6 2 3" xfId="12495"/>
    <cellStyle name="Normal 129 2 6 2 3 2" xfId="23211"/>
    <cellStyle name="Normal 129 2 6 2 4" xfId="16555"/>
    <cellStyle name="Normal 129 2 6 3" xfId="7503"/>
    <cellStyle name="Normal 129 2 6 3 2" xfId="18219"/>
    <cellStyle name="Normal 129 2 6 4" xfId="10831"/>
    <cellStyle name="Normal 129 2 6 4 2" xfId="21547"/>
    <cellStyle name="Normal 129 2 6 5" xfId="14891"/>
    <cellStyle name="Normal 129 2 7" xfId="4997"/>
    <cellStyle name="Normal 129 2 7 2" xfId="8335"/>
    <cellStyle name="Normal 129 2 7 2 2" xfId="19051"/>
    <cellStyle name="Normal 129 2 7 3" xfId="11663"/>
    <cellStyle name="Normal 129 2 7 3 2" xfId="22379"/>
    <cellStyle name="Normal 129 2 7 4" xfId="15723"/>
    <cellStyle name="Normal 129 2 8" xfId="6667"/>
    <cellStyle name="Normal 129 2 8 2" xfId="17387"/>
    <cellStyle name="Normal 129 2 9" xfId="9999"/>
    <cellStyle name="Normal 129 2 9 2" xfId="20715"/>
    <cellStyle name="Normal 129 3" xfId="1152"/>
    <cellStyle name="Normal 129 3 2" xfId="1153"/>
    <cellStyle name="Normal 129 3 2 2" xfId="2859"/>
    <cellStyle name="Normal 129 3 2 2 2" xfId="3953"/>
    <cellStyle name="Normal 129 3 2 2 2 2" xfId="4793"/>
    <cellStyle name="Normal 129 3 2 2 2 2 2" xfId="6461"/>
    <cellStyle name="Normal 129 3 2 2 2 2 2 2" xfId="9796"/>
    <cellStyle name="Normal 129 3 2 2 2 2 2 2 2" xfId="20512"/>
    <cellStyle name="Normal 129 3 2 2 2 2 2 3" xfId="13124"/>
    <cellStyle name="Normal 129 3 2 2 2 2 2 3 2" xfId="23840"/>
    <cellStyle name="Normal 129 3 2 2 2 2 2 4" xfId="17184"/>
    <cellStyle name="Normal 129 3 2 2 2 2 3" xfId="8132"/>
    <cellStyle name="Normal 129 3 2 2 2 2 3 2" xfId="18848"/>
    <cellStyle name="Normal 129 3 2 2 2 2 4" xfId="11460"/>
    <cellStyle name="Normal 129 3 2 2 2 2 4 2" xfId="22176"/>
    <cellStyle name="Normal 129 3 2 2 2 2 5" xfId="15520"/>
    <cellStyle name="Normal 129 3 2 2 2 3" xfId="5629"/>
    <cellStyle name="Normal 129 3 2 2 2 3 2" xfId="8964"/>
    <cellStyle name="Normal 129 3 2 2 2 3 2 2" xfId="19680"/>
    <cellStyle name="Normal 129 3 2 2 2 3 3" xfId="12292"/>
    <cellStyle name="Normal 129 3 2 2 2 3 3 2" xfId="23008"/>
    <cellStyle name="Normal 129 3 2 2 2 3 4" xfId="16352"/>
    <cellStyle name="Normal 129 3 2 2 2 4" xfId="7300"/>
    <cellStyle name="Normal 129 3 2 2 2 4 2" xfId="18016"/>
    <cellStyle name="Normal 129 3 2 2 2 5" xfId="10628"/>
    <cellStyle name="Normal 129 3 2 2 2 5 2" xfId="21344"/>
    <cellStyle name="Normal 129 3 2 2 2 6" xfId="14688"/>
    <cellStyle name="Normal 129 3 2 2 3" xfId="4377"/>
    <cellStyle name="Normal 129 3 2 2 3 2" xfId="6045"/>
    <cellStyle name="Normal 129 3 2 2 3 2 2" xfId="9380"/>
    <cellStyle name="Normal 129 3 2 2 3 2 2 2" xfId="20096"/>
    <cellStyle name="Normal 129 3 2 2 3 2 3" xfId="12708"/>
    <cellStyle name="Normal 129 3 2 2 3 2 3 2" xfId="23424"/>
    <cellStyle name="Normal 129 3 2 2 3 2 4" xfId="16768"/>
    <cellStyle name="Normal 129 3 2 2 3 3" xfId="7716"/>
    <cellStyle name="Normal 129 3 2 2 3 3 2" xfId="18432"/>
    <cellStyle name="Normal 129 3 2 2 3 4" xfId="11044"/>
    <cellStyle name="Normal 129 3 2 2 3 4 2" xfId="21760"/>
    <cellStyle name="Normal 129 3 2 2 3 5" xfId="15104"/>
    <cellStyle name="Normal 129 3 2 2 4" xfId="5213"/>
    <cellStyle name="Normal 129 3 2 2 4 2" xfId="8548"/>
    <cellStyle name="Normal 129 3 2 2 4 2 2" xfId="19264"/>
    <cellStyle name="Normal 129 3 2 2 4 3" xfId="11876"/>
    <cellStyle name="Normal 129 3 2 2 4 3 2" xfId="22592"/>
    <cellStyle name="Normal 129 3 2 2 4 4" xfId="15936"/>
    <cellStyle name="Normal 129 3 2 2 5" xfId="6882"/>
    <cellStyle name="Normal 129 3 2 2 5 2" xfId="17600"/>
    <cellStyle name="Normal 129 3 2 2 6" xfId="10212"/>
    <cellStyle name="Normal 129 3 2 2 6 2" xfId="20928"/>
    <cellStyle name="Normal 129 3 2 2 7" xfId="14270"/>
    <cellStyle name="Normal 129 3 2 3" xfId="3729"/>
    <cellStyle name="Normal 129 3 2 3 2" xfId="4585"/>
    <cellStyle name="Normal 129 3 2 3 2 2" xfId="6253"/>
    <cellStyle name="Normal 129 3 2 3 2 2 2" xfId="9588"/>
    <cellStyle name="Normal 129 3 2 3 2 2 2 2" xfId="20304"/>
    <cellStyle name="Normal 129 3 2 3 2 2 3" xfId="12916"/>
    <cellStyle name="Normal 129 3 2 3 2 2 3 2" xfId="23632"/>
    <cellStyle name="Normal 129 3 2 3 2 2 4" xfId="16976"/>
    <cellStyle name="Normal 129 3 2 3 2 3" xfId="7924"/>
    <cellStyle name="Normal 129 3 2 3 2 3 2" xfId="18640"/>
    <cellStyle name="Normal 129 3 2 3 2 4" xfId="11252"/>
    <cellStyle name="Normal 129 3 2 3 2 4 2" xfId="21968"/>
    <cellStyle name="Normal 129 3 2 3 2 5" xfId="15312"/>
    <cellStyle name="Normal 129 3 2 3 3" xfId="5421"/>
    <cellStyle name="Normal 129 3 2 3 3 2" xfId="8756"/>
    <cellStyle name="Normal 129 3 2 3 3 2 2" xfId="19472"/>
    <cellStyle name="Normal 129 3 2 3 3 3" xfId="12084"/>
    <cellStyle name="Normal 129 3 2 3 3 3 2" xfId="22800"/>
    <cellStyle name="Normal 129 3 2 3 3 4" xfId="16144"/>
    <cellStyle name="Normal 129 3 2 3 4" xfId="7092"/>
    <cellStyle name="Normal 129 3 2 3 4 2" xfId="17808"/>
    <cellStyle name="Normal 129 3 2 3 5" xfId="10420"/>
    <cellStyle name="Normal 129 3 2 3 5 2" xfId="21136"/>
    <cellStyle name="Normal 129 3 2 3 6" xfId="14480"/>
    <cellStyle name="Normal 129 3 2 4" xfId="4167"/>
    <cellStyle name="Normal 129 3 2 4 2" xfId="5837"/>
    <cellStyle name="Normal 129 3 2 4 2 2" xfId="9172"/>
    <cellStyle name="Normal 129 3 2 4 2 2 2" xfId="19888"/>
    <cellStyle name="Normal 129 3 2 4 2 3" xfId="12500"/>
    <cellStyle name="Normal 129 3 2 4 2 3 2" xfId="23216"/>
    <cellStyle name="Normal 129 3 2 4 2 4" xfId="16560"/>
    <cellStyle name="Normal 129 3 2 4 3" xfId="7508"/>
    <cellStyle name="Normal 129 3 2 4 3 2" xfId="18224"/>
    <cellStyle name="Normal 129 3 2 4 4" xfId="10836"/>
    <cellStyle name="Normal 129 3 2 4 4 2" xfId="21552"/>
    <cellStyle name="Normal 129 3 2 4 5" xfId="14896"/>
    <cellStyle name="Normal 129 3 2 5" xfId="5002"/>
    <cellStyle name="Normal 129 3 2 5 2" xfId="8340"/>
    <cellStyle name="Normal 129 3 2 5 2 2" xfId="19056"/>
    <cellStyle name="Normal 129 3 2 5 3" xfId="11668"/>
    <cellStyle name="Normal 129 3 2 5 3 2" xfId="22384"/>
    <cellStyle name="Normal 129 3 2 5 4" xfId="15728"/>
    <cellStyle name="Normal 129 3 2 6" xfId="6672"/>
    <cellStyle name="Normal 129 3 2 6 2" xfId="17392"/>
    <cellStyle name="Normal 129 3 2 7" xfId="10004"/>
    <cellStyle name="Normal 129 3 2 7 2" xfId="20720"/>
    <cellStyle name="Normal 129 3 2 8" xfId="14061"/>
    <cellStyle name="Normal 129 3 3" xfId="2858"/>
    <cellStyle name="Normal 129 3 3 2" xfId="3952"/>
    <cellStyle name="Normal 129 3 3 2 2" xfId="4792"/>
    <cellStyle name="Normal 129 3 3 2 2 2" xfId="6460"/>
    <cellStyle name="Normal 129 3 3 2 2 2 2" xfId="9795"/>
    <cellStyle name="Normal 129 3 3 2 2 2 2 2" xfId="20511"/>
    <cellStyle name="Normal 129 3 3 2 2 2 3" xfId="13123"/>
    <cellStyle name="Normal 129 3 3 2 2 2 3 2" xfId="23839"/>
    <cellStyle name="Normal 129 3 3 2 2 2 4" xfId="17183"/>
    <cellStyle name="Normal 129 3 3 2 2 3" xfId="8131"/>
    <cellStyle name="Normal 129 3 3 2 2 3 2" xfId="18847"/>
    <cellStyle name="Normal 129 3 3 2 2 4" xfId="11459"/>
    <cellStyle name="Normal 129 3 3 2 2 4 2" xfId="22175"/>
    <cellStyle name="Normal 129 3 3 2 2 5" xfId="15519"/>
    <cellStyle name="Normal 129 3 3 2 3" xfId="5628"/>
    <cellStyle name="Normal 129 3 3 2 3 2" xfId="8963"/>
    <cellStyle name="Normal 129 3 3 2 3 2 2" xfId="19679"/>
    <cellStyle name="Normal 129 3 3 2 3 3" xfId="12291"/>
    <cellStyle name="Normal 129 3 3 2 3 3 2" xfId="23007"/>
    <cellStyle name="Normal 129 3 3 2 3 4" xfId="16351"/>
    <cellStyle name="Normal 129 3 3 2 4" xfId="7299"/>
    <cellStyle name="Normal 129 3 3 2 4 2" xfId="18015"/>
    <cellStyle name="Normal 129 3 3 2 5" xfId="10627"/>
    <cellStyle name="Normal 129 3 3 2 5 2" xfId="21343"/>
    <cellStyle name="Normal 129 3 3 2 6" xfId="14687"/>
    <cellStyle name="Normal 129 3 3 3" xfId="4376"/>
    <cellStyle name="Normal 129 3 3 3 2" xfId="6044"/>
    <cellStyle name="Normal 129 3 3 3 2 2" xfId="9379"/>
    <cellStyle name="Normal 129 3 3 3 2 2 2" xfId="20095"/>
    <cellStyle name="Normal 129 3 3 3 2 3" xfId="12707"/>
    <cellStyle name="Normal 129 3 3 3 2 3 2" xfId="23423"/>
    <cellStyle name="Normal 129 3 3 3 2 4" xfId="16767"/>
    <cellStyle name="Normal 129 3 3 3 3" xfId="7715"/>
    <cellStyle name="Normal 129 3 3 3 3 2" xfId="18431"/>
    <cellStyle name="Normal 129 3 3 3 4" xfId="11043"/>
    <cellStyle name="Normal 129 3 3 3 4 2" xfId="21759"/>
    <cellStyle name="Normal 129 3 3 3 5" xfId="15103"/>
    <cellStyle name="Normal 129 3 3 4" xfId="5212"/>
    <cellStyle name="Normal 129 3 3 4 2" xfId="8547"/>
    <cellStyle name="Normal 129 3 3 4 2 2" xfId="19263"/>
    <cellStyle name="Normal 129 3 3 4 3" xfId="11875"/>
    <cellStyle name="Normal 129 3 3 4 3 2" xfId="22591"/>
    <cellStyle name="Normal 129 3 3 4 4" xfId="15935"/>
    <cellStyle name="Normal 129 3 3 5" xfId="6881"/>
    <cellStyle name="Normal 129 3 3 5 2" xfId="17599"/>
    <cellStyle name="Normal 129 3 3 6" xfId="10211"/>
    <cellStyle name="Normal 129 3 3 6 2" xfId="20927"/>
    <cellStyle name="Normal 129 3 3 7" xfId="14269"/>
    <cellStyle name="Normal 129 3 4" xfId="3728"/>
    <cellStyle name="Normal 129 3 4 2" xfId="4584"/>
    <cellStyle name="Normal 129 3 4 2 2" xfId="6252"/>
    <cellStyle name="Normal 129 3 4 2 2 2" xfId="9587"/>
    <cellStyle name="Normal 129 3 4 2 2 2 2" xfId="20303"/>
    <cellStyle name="Normal 129 3 4 2 2 3" xfId="12915"/>
    <cellStyle name="Normal 129 3 4 2 2 3 2" xfId="23631"/>
    <cellStyle name="Normal 129 3 4 2 2 4" xfId="16975"/>
    <cellStyle name="Normal 129 3 4 2 3" xfId="7923"/>
    <cellStyle name="Normal 129 3 4 2 3 2" xfId="18639"/>
    <cellStyle name="Normal 129 3 4 2 4" xfId="11251"/>
    <cellStyle name="Normal 129 3 4 2 4 2" xfId="21967"/>
    <cellStyle name="Normal 129 3 4 2 5" xfId="15311"/>
    <cellStyle name="Normal 129 3 4 3" xfId="5420"/>
    <cellStyle name="Normal 129 3 4 3 2" xfId="8755"/>
    <cellStyle name="Normal 129 3 4 3 2 2" xfId="19471"/>
    <cellStyle name="Normal 129 3 4 3 3" xfId="12083"/>
    <cellStyle name="Normal 129 3 4 3 3 2" xfId="22799"/>
    <cellStyle name="Normal 129 3 4 3 4" xfId="16143"/>
    <cellStyle name="Normal 129 3 4 4" xfId="7091"/>
    <cellStyle name="Normal 129 3 4 4 2" xfId="17807"/>
    <cellStyle name="Normal 129 3 4 5" xfId="10419"/>
    <cellStyle name="Normal 129 3 4 5 2" xfId="21135"/>
    <cellStyle name="Normal 129 3 4 6" xfId="14479"/>
    <cellStyle name="Normal 129 3 5" xfId="4166"/>
    <cellStyle name="Normal 129 3 5 2" xfId="5836"/>
    <cellStyle name="Normal 129 3 5 2 2" xfId="9171"/>
    <cellStyle name="Normal 129 3 5 2 2 2" xfId="19887"/>
    <cellStyle name="Normal 129 3 5 2 3" xfId="12499"/>
    <cellStyle name="Normal 129 3 5 2 3 2" xfId="23215"/>
    <cellStyle name="Normal 129 3 5 2 4" xfId="16559"/>
    <cellStyle name="Normal 129 3 5 3" xfId="7507"/>
    <cellStyle name="Normal 129 3 5 3 2" xfId="18223"/>
    <cellStyle name="Normal 129 3 5 4" xfId="10835"/>
    <cellStyle name="Normal 129 3 5 4 2" xfId="21551"/>
    <cellStyle name="Normal 129 3 5 5" xfId="14895"/>
    <cellStyle name="Normal 129 3 6" xfId="5001"/>
    <cellStyle name="Normal 129 3 6 2" xfId="8339"/>
    <cellStyle name="Normal 129 3 6 2 2" xfId="19055"/>
    <cellStyle name="Normal 129 3 6 3" xfId="11667"/>
    <cellStyle name="Normal 129 3 6 3 2" xfId="22383"/>
    <cellStyle name="Normal 129 3 6 4" xfId="15727"/>
    <cellStyle name="Normal 129 3 7" xfId="6671"/>
    <cellStyle name="Normal 129 3 7 2" xfId="17391"/>
    <cellStyle name="Normal 129 3 8" xfId="10003"/>
    <cellStyle name="Normal 129 3 8 2" xfId="20719"/>
    <cellStyle name="Normal 129 3 9" xfId="14060"/>
    <cellStyle name="Normal 129 4" xfId="1154"/>
    <cellStyle name="Normal 129 4 2" xfId="2860"/>
    <cellStyle name="Normal 129 4 2 2" xfId="3954"/>
    <cellStyle name="Normal 129 4 2 2 2" xfId="4794"/>
    <cellStyle name="Normal 129 4 2 2 2 2" xfId="6462"/>
    <cellStyle name="Normal 129 4 2 2 2 2 2" xfId="9797"/>
    <cellStyle name="Normal 129 4 2 2 2 2 2 2" xfId="20513"/>
    <cellStyle name="Normal 129 4 2 2 2 2 3" xfId="13125"/>
    <cellStyle name="Normal 129 4 2 2 2 2 3 2" xfId="23841"/>
    <cellStyle name="Normal 129 4 2 2 2 2 4" xfId="17185"/>
    <cellStyle name="Normal 129 4 2 2 2 3" xfId="8133"/>
    <cellStyle name="Normal 129 4 2 2 2 3 2" xfId="18849"/>
    <cellStyle name="Normal 129 4 2 2 2 4" xfId="11461"/>
    <cellStyle name="Normal 129 4 2 2 2 4 2" xfId="22177"/>
    <cellStyle name="Normal 129 4 2 2 2 5" xfId="15521"/>
    <cellStyle name="Normal 129 4 2 2 3" xfId="5630"/>
    <cellStyle name="Normal 129 4 2 2 3 2" xfId="8965"/>
    <cellStyle name="Normal 129 4 2 2 3 2 2" xfId="19681"/>
    <cellStyle name="Normal 129 4 2 2 3 3" xfId="12293"/>
    <cellStyle name="Normal 129 4 2 2 3 3 2" xfId="23009"/>
    <cellStyle name="Normal 129 4 2 2 3 4" xfId="16353"/>
    <cellStyle name="Normal 129 4 2 2 4" xfId="7301"/>
    <cellStyle name="Normal 129 4 2 2 4 2" xfId="18017"/>
    <cellStyle name="Normal 129 4 2 2 5" xfId="10629"/>
    <cellStyle name="Normal 129 4 2 2 5 2" xfId="21345"/>
    <cellStyle name="Normal 129 4 2 2 6" xfId="14689"/>
    <cellStyle name="Normal 129 4 2 3" xfId="4378"/>
    <cellStyle name="Normal 129 4 2 3 2" xfId="6046"/>
    <cellStyle name="Normal 129 4 2 3 2 2" xfId="9381"/>
    <cellStyle name="Normal 129 4 2 3 2 2 2" xfId="20097"/>
    <cellStyle name="Normal 129 4 2 3 2 3" xfId="12709"/>
    <cellStyle name="Normal 129 4 2 3 2 3 2" xfId="23425"/>
    <cellStyle name="Normal 129 4 2 3 2 4" xfId="16769"/>
    <cellStyle name="Normal 129 4 2 3 3" xfId="7717"/>
    <cellStyle name="Normal 129 4 2 3 3 2" xfId="18433"/>
    <cellStyle name="Normal 129 4 2 3 4" xfId="11045"/>
    <cellStyle name="Normal 129 4 2 3 4 2" xfId="21761"/>
    <cellStyle name="Normal 129 4 2 3 5" xfId="15105"/>
    <cellStyle name="Normal 129 4 2 4" xfId="5214"/>
    <cellStyle name="Normal 129 4 2 4 2" xfId="8549"/>
    <cellStyle name="Normal 129 4 2 4 2 2" xfId="19265"/>
    <cellStyle name="Normal 129 4 2 4 3" xfId="11877"/>
    <cellStyle name="Normal 129 4 2 4 3 2" xfId="22593"/>
    <cellStyle name="Normal 129 4 2 4 4" xfId="15937"/>
    <cellStyle name="Normal 129 4 2 5" xfId="6883"/>
    <cellStyle name="Normal 129 4 2 5 2" xfId="17601"/>
    <cellStyle name="Normal 129 4 2 6" xfId="10213"/>
    <cellStyle name="Normal 129 4 2 6 2" xfId="20929"/>
    <cellStyle name="Normal 129 4 2 7" xfId="14271"/>
    <cellStyle name="Normal 129 4 3" xfId="3730"/>
    <cellStyle name="Normal 129 4 3 2" xfId="4586"/>
    <cellStyle name="Normal 129 4 3 2 2" xfId="6254"/>
    <cellStyle name="Normal 129 4 3 2 2 2" xfId="9589"/>
    <cellStyle name="Normal 129 4 3 2 2 2 2" xfId="20305"/>
    <cellStyle name="Normal 129 4 3 2 2 3" xfId="12917"/>
    <cellStyle name="Normal 129 4 3 2 2 3 2" xfId="23633"/>
    <cellStyle name="Normal 129 4 3 2 2 4" xfId="16977"/>
    <cellStyle name="Normal 129 4 3 2 3" xfId="7925"/>
    <cellStyle name="Normal 129 4 3 2 3 2" xfId="18641"/>
    <cellStyle name="Normal 129 4 3 2 4" xfId="11253"/>
    <cellStyle name="Normal 129 4 3 2 4 2" xfId="21969"/>
    <cellStyle name="Normal 129 4 3 2 5" xfId="15313"/>
    <cellStyle name="Normal 129 4 3 3" xfId="5422"/>
    <cellStyle name="Normal 129 4 3 3 2" xfId="8757"/>
    <cellStyle name="Normal 129 4 3 3 2 2" xfId="19473"/>
    <cellStyle name="Normal 129 4 3 3 3" xfId="12085"/>
    <cellStyle name="Normal 129 4 3 3 3 2" xfId="22801"/>
    <cellStyle name="Normal 129 4 3 3 4" xfId="16145"/>
    <cellStyle name="Normal 129 4 3 4" xfId="7093"/>
    <cellStyle name="Normal 129 4 3 4 2" xfId="17809"/>
    <cellStyle name="Normal 129 4 3 5" xfId="10421"/>
    <cellStyle name="Normal 129 4 3 5 2" xfId="21137"/>
    <cellStyle name="Normal 129 4 3 6" xfId="14481"/>
    <cellStyle name="Normal 129 4 4" xfId="4168"/>
    <cellStyle name="Normal 129 4 4 2" xfId="5838"/>
    <cellStyle name="Normal 129 4 4 2 2" xfId="9173"/>
    <cellStyle name="Normal 129 4 4 2 2 2" xfId="19889"/>
    <cellStyle name="Normal 129 4 4 2 3" xfId="12501"/>
    <cellStyle name="Normal 129 4 4 2 3 2" xfId="23217"/>
    <cellStyle name="Normal 129 4 4 2 4" xfId="16561"/>
    <cellStyle name="Normal 129 4 4 3" xfId="7509"/>
    <cellStyle name="Normal 129 4 4 3 2" xfId="18225"/>
    <cellStyle name="Normal 129 4 4 4" xfId="10837"/>
    <cellStyle name="Normal 129 4 4 4 2" xfId="21553"/>
    <cellStyle name="Normal 129 4 4 5" xfId="14897"/>
    <cellStyle name="Normal 129 4 5" xfId="5003"/>
    <cellStyle name="Normal 129 4 5 2" xfId="8341"/>
    <cellStyle name="Normal 129 4 5 2 2" xfId="19057"/>
    <cellStyle name="Normal 129 4 5 3" xfId="11669"/>
    <cellStyle name="Normal 129 4 5 3 2" xfId="22385"/>
    <cellStyle name="Normal 129 4 5 4" xfId="15729"/>
    <cellStyle name="Normal 129 4 6" xfId="6673"/>
    <cellStyle name="Normal 129 4 6 2" xfId="17393"/>
    <cellStyle name="Normal 129 4 7" xfId="10005"/>
    <cellStyle name="Normal 129 4 7 2" xfId="20721"/>
    <cellStyle name="Normal 129 4 8" xfId="14062"/>
    <cellStyle name="Normal 129 5" xfId="2853"/>
    <cellStyle name="Normal 129 5 2" xfId="3947"/>
    <cellStyle name="Normal 129 5 2 2" xfId="4787"/>
    <cellStyle name="Normal 129 5 2 2 2" xfId="6455"/>
    <cellStyle name="Normal 129 5 2 2 2 2" xfId="9790"/>
    <cellStyle name="Normal 129 5 2 2 2 2 2" xfId="20506"/>
    <cellStyle name="Normal 129 5 2 2 2 3" xfId="13118"/>
    <cellStyle name="Normal 129 5 2 2 2 3 2" xfId="23834"/>
    <cellStyle name="Normal 129 5 2 2 2 4" xfId="17178"/>
    <cellStyle name="Normal 129 5 2 2 3" xfId="8126"/>
    <cellStyle name="Normal 129 5 2 2 3 2" xfId="18842"/>
    <cellStyle name="Normal 129 5 2 2 4" xfId="11454"/>
    <cellStyle name="Normal 129 5 2 2 4 2" xfId="22170"/>
    <cellStyle name="Normal 129 5 2 2 5" xfId="15514"/>
    <cellStyle name="Normal 129 5 2 3" xfId="5623"/>
    <cellStyle name="Normal 129 5 2 3 2" xfId="8958"/>
    <cellStyle name="Normal 129 5 2 3 2 2" xfId="19674"/>
    <cellStyle name="Normal 129 5 2 3 3" xfId="12286"/>
    <cellStyle name="Normal 129 5 2 3 3 2" xfId="23002"/>
    <cellStyle name="Normal 129 5 2 3 4" xfId="16346"/>
    <cellStyle name="Normal 129 5 2 4" xfId="7294"/>
    <cellStyle name="Normal 129 5 2 4 2" xfId="18010"/>
    <cellStyle name="Normal 129 5 2 5" xfId="10622"/>
    <cellStyle name="Normal 129 5 2 5 2" xfId="21338"/>
    <cellStyle name="Normal 129 5 2 6" xfId="14682"/>
    <cellStyle name="Normal 129 5 3" xfId="4371"/>
    <cellStyle name="Normal 129 5 3 2" xfId="6039"/>
    <cellStyle name="Normal 129 5 3 2 2" xfId="9374"/>
    <cellStyle name="Normal 129 5 3 2 2 2" xfId="20090"/>
    <cellStyle name="Normal 129 5 3 2 3" xfId="12702"/>
    <cellStyle name="Normal 129 5 3 2 3 2" xfId="23418"/>
    <cellStyle name="Normal 129 5 3 2 4" xfId="16762"/>
    <cellStyle name="Normal 129 5 3 3" xfId="7710"/>
    <cellStyle name="Normal 129 5 3 3 2" xfId="18426"/>
    <cellStyle name="Normal 129 5 3 4" xfId="11038"/>
    <cellStyle name="Normal 129 5 3 4 2" xfId="21754"/>
    <cellStyle name="Normal 129 5 3 5" xfId="15098"/>
    <cellStyle name="Normal 129 5 4" xfId="5207"/>
    <cellStyle name="Normal 129 5 4 2" xfId="8542"/>
    <cellStyle name="Normal 129 5 4 2 2" xfId="19258"/>
    <cellStyle name="Normal 129 5 4 3" xfId="11870"/>
    <cellStyle name="Normal 129 5 4 3 2" xfId="22586"/>
    <cellStyle name="Normal 129 5 4 4" xfId="15930"/>
    <cellStyle name="Normal 129 5 5" xfId="6876"/>
    <cellStyle name="Normal 129 5 5 2" xfId="17594"/>
    <cellStyle name="Normal 129 5 6" xfId="10206"/>
    <cellStyle name="Normal 129 5 6 2" xfId="20922"/>
    <cellStyle name="Normal 129 5 7" xfId="14264"/>
    <cellStyle name="Normal 129 6" xfId="3723"/>
    <cellStyle name="Normal 129 6 2" xfId="4579"/>
    <cellStyle name="Normal 129 6 2 2" xfId="6247"/>
    <cellStyle name="Normal 129 6 2 2 2" xfId="9582"/>
    <cellStyle name="Normal 129 6 2 2 2 2" xfId="20298"/>
    <cellStyle name="Normal 129 6 2 2 3" xfId="12910"/>
    <cellStyle name="Normal 129 6 2 2 3 2" xfId="23626"/>
    <cellStyle name="Normal 129 6 2 2 4" xfId="16970"/>
    <cellStyle name="Normal 129 6 2 3" xfId="7918"/>
    <cellStyle name="Normal 129 6 2 3 2" xfId="18634"/>
    <cellStyle name="Normal 129 6 2 4" xfId="11246"/>
    <cellStyle name="Normal 129 6 2 4 2" xfId="21962"/>
    <cellStyle name="Normal 129 6 2 5" xfId="15306"/>
    <cellStyle name="Normal 129 6 3" xfId="5415"/>
    <cellStyle name="Normal 129 6 3 2" xfId="8750"/>
    <cellStyle name="Normal 129 6 3 2 2" xfId="19466"/>
    <cellStyle name="Normal 129 6 3 3" xfId="12078"/>
    <cellStyle name="Normal 129 6 3 3 2" xfId="22794"/>
    <cellStyle name="Normal 129 6 3 4" xfId="16138"/>
    <cellStyle name="Normal 129 6 4" xfId="7086"/>
    <cellStyle name="Normal 129 6 4 2" xfId="17802"/>
    <cellStyle name="Normal 129 6 5" xfId="10414"/>
    <cellStyle name="Normal 129 6 5 2" xfId="21130"/>
    <cellStyle name="Normal 129 6 6" xfId="14474"/>
    <cellStyle name="Normal 129 7" xfId="4161"/>
    <cellStyle name="Normal 129 7 2" xfId="5831"/>
    <cellStyle name="Normal 129 7 2 2" xfId="9166"/>
    <cellStyle name="Normal 129 7 2 2 2" xfId="19882"/>
    <cellStyle name="Normal 129 7 2 3" xfId="12494"/>
    <cellStyle name="Normal 129 7 2 3 2" xfId="23210"/>
    <cellStyle name="Normal 129 7 2 4" xfId="16554"/>
    <cellStyle name="Normal 129 7 3" xfId="7502"/>
    <cellStyle name="Normal 129 7 3 2" xfId="18218"/>
    <cellStyle name="Normal 129 7 4" xfId="10830"/>
    <cellStyle name="Normal 129 7 4 2" xfId="21546"/>
    <cellStyle name="Normal 129 7 5" xfId="14890"/>
    <cellStyle name="Normal 129 8" xfId="4996"/>
    <cellStyle name="Normal 129 8 2" xfId="8334"/>
    <cellStyle name="Normal 129 8 2 2" xfId="19050"/>
    <cellStyle name="Normal 129 8 3" xfId="11662"/>
    <cellStyle name="Normal 129 8 3 2" xfId="22378"/>
    <cellStyle name="Normal 129 8 4" xfId="15722"/>
    <cellStyle name="Normal 129 9" xfId="6666"/>
    <cellStyle name="Normal 129 9 2" xfId="17386"/>
    <cellStyle name="Normal 13" xfId="1155"/>
    <cellStyle name="Normal 13 2" xfId="1156"/>
    <cellStyle name="Normal 13 2 2" xfId="1157"/>
    <cellStyle name="Normal 13 2 2 2" xfId="2863"/>
    <cellStyle name="Normal 13 2 3" xfId="1158"/>
    <cellStyle name="Normal 13 2 4" xfId="2862"/>
    <cellStyle name="Normal 13 3" xfId="1159"/>
    <cellStyle name="Normal 13 3 2" xfId="2864"/>
    <cellStyle name="Normal 13 4" xfId="1160"/>
    <cellStyle name="Normal 13 4 2" xfId="2865"/>
    <cellStyle name="Normal 13 5" xfId="2861"/>
    <cellStyle name="Normal 130" xfId="1161"/>
    <cellStyle name="Normal 130 10" xfId="10006"/>
    <cellStyle name="Normal 130 10 2" xfId="20722"/>
    <cellStyle name="Normal 130 11" xfId="14063"/>
    <cellStyle name="Normal 130 2" xfId="1162"/>
    <cellStyle name="Normal 130 2 10" xfId="14064"/>
    <cellStyle name="Normal 130 2 2" xfId="1163"/>
    <cellStyle name="Normal 130 2 2 2" xfId="1164"/>
    <cellStyle name="Normal 130 2 2 2 2" xfId="2869"/>
    <cellStyle name="Normal 130 2 2 2 2 2" xfId="3958"/>
    <cellStyle name="Normal 130 2 2 2 2 2 2" xfId="4798"/>
    <cellStyle name="Normal 130 2 2 2 2 2 2 2" xfId="6466"/>
    <cellStyle name="Normal 130 2 2 2 2 2 2 2 2" xfId="9801"/>
    <cellStyle name="Normal 130 2 2 2 2 2 2 2 2 2" xfId="20517"/>
    <cellStyle name="Normal 130 2 2 2 2 2 2 2 3" xfId="13129"/>
    <cellStyle name="Normal 130 2 2 2 2 2 2 2 3 2" xfId="23845"/>
    <cellStyle name="Normal 130 2 2 2 2 2 2 2 4" xfId="17189"/>
    <cellStyle name="Normal 130 2 2 2 2 2 2 3" xfId="8137"/>
    <cellStyle name="Normal 130 2 2 2 2 2 2 3 2" xfId="18853"/>
    <cellStyle name="Normal 130 2 2 2 2 2 2 4" xfId="11465"/>
    <cellStyle name="Normal 130 2 2 2 2 2 2 4 2" xfId="22181"/>
    <cellStyle name="Normal 130 2 2 2 2 2 2 5" xfId="15525"/>
    <cellStyle name="Normal 130 2 2 2 2 2 3" xfId="5634"/>
    <cellStyle name="Normal 130 2 2 2 2 2 3 2" xfId="8969"/>
    <cellStyle name="Normal 130 2 2 2 2 2 3 2 2" xfId="19685"/>
    <cellStyle name="Normal 130 2 2 2 2 2 3 3" xfId="12297"/>
    <cellStyle name="Normal 130 2 2 2 2 2 3 3 2" xfId="23013"/>
    <cellStyle name="Normal 130 2 2 2 2 2 3 4" xfId="16357"/>
    <cellStyle name="Normal 130 2 2 2 2 2 4" xfId="7305"/>
    <cellStyle name="Normal 130 2 2 2 2 2 4 2" xfId="18021"/>
    <cellStyle name="Normal 130 2 2 2 2 2 5" xfId="10633"/>
    <cellStyle name="Normal 130 2 2 2 2 2 5 2" xfId="21349"/>
    <cellStyle name="Normal 130 2 2 2 2 2 6" xfId="14693"/>
    <cellStyle name="Normal 130 2 2 2 2 3" xfId="4382"/>
    <cellStyle name="Normal 130 2 2 2 2 3 2" xfId="6050"/>
    <cellStyle name="Normal 130 2 2 2 2 3 2 2" xfId="9385"/>
    <cellStyle name="Normal 130 2 2 2 2 3 2 2 2" xfId="20101"/>
    <cellStyle name="Normal 130 2 2 2 2 3 2 3" xfId="12713"/>
    <cellStyle name="Normal 130 2 2 2 2 3 2 3 2" xfId="23429"/>
    <cellStyle name="Normal 130 2 2 2 2 3 2 4" xfId="16773"/>
    <cellStyle name="Normal 130 2 2 2 2 3 3" xfId="7721"/>
    <cellStyle name="Normal 130 2 2 2 2 3 3 2" xfId="18437"/>
    <cellStyle name="Normal 130 2 2 2 2 3 4" xfId="11049"/>
    <cellStyle name="Normal 130 2 2 2 2 3 4 2" xfId="21765"/>
    <cellStyle name="Normal 130 2 2 2 2 3 5" xfId="15109"/>
    <cellStyle name="Normal 130 2 2 2 2 4" xfId="5218"/>
    <cellStyle name="Normal 130 2 2 2 2 4 2" xfId="8553"/>
    <cellStyle name="Normal 130 2 2 2 2 4 2 2" xfId="19269"/>
    <cellStyle name="Normal 130 2 2 2 2 4 3" xfId="11881"/>
    <cellStyle name="Normal 130 2 2 2 2 4 3 2" xfId="22597"/>
    <cellStyle name="Normal 130 2 2 2 2 4 4" xfId="15941"/>
    <cellStyle name="Normal 130 2 2 2 2 5" xfId="6887"/>
    <cellStyle name="Normal 130 2 2 2 2 5 2" xfId="17605"/>
    <cellStyle name="Normal 130 2 2 2 2 6" xfId="10217"/>
    <cellStyle name="Normal 130 2 2 2 2 6 2" xfId="20933"/>
    <cellStyle name="Normal 130 2 2 2 2 7" xfId="14275"/>
    <cellStyle name="Normal 130 2 2 2 3" xfId="3734"/>
    <cellStyle name="Normal 130 2 2 2 3 2" xfId="4590"/>
    <cellStyle name="Normal 130 2 2 2 3 2 2" xfId="6258"/>
    <cellStyle name="Normal 130 2 2 2 3 2 2 2" xfId="9593"/>
    <cellStyle name="Normal 130 2 2 2 3 2 2 2 2" xfId="20309"/>
    <cellStyle name="Normal 130 2 2 2 3 2 2 3" xfId="12921"/>
    <cellStyle name="Normal 130 2 2 2 3 2 2 3 2" xfId="23637"/>
    <cellStyle name="Normal 130 2 2 2 3 2 2 4" xfId="16981"/>
    <cellStyle name="Normal 130 2 2 2 3 2 3" xfId="7929"/>
    <cellStyle name="Normal 130 2 2 2 3 2 3 2" xfId="18645"/>
    <cellStyle name="Normal 130 2 2 2 3 2 4" xfId="11257"/>
    <cellStyle name="Normal 130 2 2 2 3 2 4 2" xfId="21973"/>
    <cellStyle name="Normal 130 2 2 2 3 2 5" xfId="15317"/>
    <cellStyle name="Normal 130 2 2 2 3 3" xfId="5426"/>
    <cellStyle name="Normal 130 2 2 2 3 3 2" xfId="8761"/>
    <cellStyle name="Normal 130 2 2 2 3 3 2 2" xfId="19477"/>
    <cellStyle name="Normal 130 2 2 2 3 3 3" xfId="12089"/>
    <cellStyle name="Normal 130 2 2 2 3 3 3 2" xfId="22805"/>
    <cellStyle name="Normal 130 2 2 2 3 3 4" xfId="16149"/>
    <cellStyle name="Normal 130 2 2 2 3 4" xfId="7097"/>
    <cellStyle name="Normal 130 2 2 2 3 4 2" xfId="17813"/>
    <cellStyle name="Normal 130 2 2 2 3 5" xfId="10425"/>
    <cellStyle name="Normal 130 2 2 2 3 5 2" xfId="21141"/>
    <cellStyle name="Normal 130 2 2 2 3 6" xfId="14485"/>
    <cellStyle name="Normal 130 2 2 2 4" xfId="4172"/>
    <cellStyle name="Normal 130 2 2 2 4 2" xfId="5842"/>
    <cellStyle name="Normal 130 2 2 2 4 2 2" xfId="9177"/>
    <cellStyle name="Normal 130 2 2 2 4 2 2 2" xfId="19893"/>
    <cellStyle name="Normal 130 2 2 2 4 2 3" xfId="12505"/>
    <cellStyle name="Normal 130 2 2 2 4 2 3 2" xfId="23221"/>
    <cellStyle name="Normal 130 2 2 2 4 2 4" xfId="16565"/>
    <cellStyle name="Normal 130 2 2 2 4 3" xfId="7513"/>
    <cellStyle name="Normal 130 2 2 2 4 3 2" xfId="18229"/>
    <cellStyle name="Normal 130 2 2 2 4 4" xfId="10841"/>
    <cellStyle name="Normal 130 2 2 2 4 4 2" xfId="21557"/>
    <cellStyle name="Normal 130 2 2 2 4 5" xfId="14901"/>
    <cellStyle name="Normal 130 2 2 2 5" xfId="5007"/>
    <cellStyle name="Normal 130 2 2 2 5 2" xfId="8345"/>
    <cellStyle name="Normal 130 2 2 2 5 2 2" xfId="19061"/>
    <cellStyle name="Normal 130 2 2 2 5 3" xfId="11673"/>
    <cellStyle name="Normal 130 2 2 2 5 3 2" xfId="22389"/>
    <cellStyle name="Normal 130 2 2 2 5 4" xfId="15733"/>
    <cellStyle name="Normal 130 2 2 2 6" xfId="6677"/>
    <cellStyle name="Normal 130 2 2 2 6 2" xfId="17397"/>
    <cellStyle name="Normal 130 2 2 2 7" xfId="10009"/>
    <cellStyle name="Normal 130 2 2 2 7 2" xfId="20725"/>
    <cellStyle name="Normal 130 2 2 2 8" xfId="14066"/>
    <cellStyle name="Normal 130 2 2 3" xfId="2868"/>
    <cellStyle name="Normal 130 2 2 3 2" xfId="3957"/>
    <cellStyle name="Normal 130 2 2 3 2 2" xfId="4797"/>
    <cellStyle name="Normal 130 2 2 3 2 2 2" xfId="6465"/>
    <cellStyle name="Normal 130 2 2 3 2 2 2 2" xfId="9800"/>
    <cellStyle name="Normal 130 2 2 3 2 2 2 2 2" xfId="20516"/>
    <cellStyle name="Normal 130 2 2 3 2 2 2 3" xfId="13128"/>
    <cellStyle name="Normal 130 2 2 3 2 2 2 3 2" xfId="23844"/>
    <cellStyle name="Normal 130 2 2 3 2 2 2 4" xfId="17188"/>
    <cellStyle name="Normal 130 2 2 3 2 2 3" xfId="8136"/>
    <cellStyle name="Normal 130 2 2 3 2 2 3 2" xfId="18852"/>
    <cellStyle name="Normal 130 2 2 3 2 2 4" xfId="11464"/>
    <cellStyle name="Normal 130 2 2 3 2 2 4 2" xfId="22180"/>
    <cellStyle name="Normal 130 2 2 3 2 2 5" xfId="15524"/>
    <cellStyle name="Normal 130 2 2 3 2 3" xfId="5633"/>
    <cellStyle name="Normal 130 2 2 3 2 3 2" xfId="8968"/>
    <cellStyle name="Normal 130 2 2 3 2 3 2 2" xfId="19684"/>
    <cellStyle name="Normal 130 2 2 3 2 3 3" xfId="12296"/>
    <cellStyle name="Normal 130 2 2 3 2 3 3 2" xfId="23012"/>
    <cellStyle name="Normal 130 2 2 3 2 3 4" xfId="16356"/>
    <cellStyle name="Normal 130 2 2 3 2 4" xfId="7304"/>
    <cellStyle name="Normal 130 2 2 3 2 4 2" xfId="18020"/>
    <cellStyle name="Normal 130 2 2 3 2 5" xfId="10632"/>
    <cellStyle name="Normal 130 2 2 3 2 5 2" xfId="21348"/>
    <cellStyle name="Normal 130 2 2 3 2 6" xfId="14692"/>
    <cellStyle name="Normal 130 2 2 3 3" xfId="4381"/>
    <cellStyle name="Normal 130 2 2 3 3 2" xfId="6049"/>
    <cellStyle name="Normal 130 2 2 3 3 2 2" xfId="9384"/>
    <cellStyle name="Normal 130 2 2 3 3 2 2 2" xfId="20100"/>
    <cellStyle name="Normal 130 2 2 3 3 2 3" xfId="12712"/>
    <cellStyle name="Normal 130 2 2 3 3 2 3 2" xfId="23428"/>
    <cellStyle name="Normal 130 2 2 3 3 2 4" xfId="16772"/>
    <cellStyle name="Normal 130 2 2 3 3 3" xfId="7720"/>
    <cellStyle name="Normal 130 2 2 3 3 3 2" xfId="18436"/>
    <cellStyle name="Normal 130 2 2 3 3 4" xfId="11048"/>
    <cellStyle name="Normal 130 2 2 3 3 4 2" xfId="21764"/>
    <cellStyle name="Normal 130 2 2 3 3 5" xfId="15108"/>
    <cellStyle name="Normal 130 2 2 3 4" xfId="5217"/>
    <cellStyle name="Normal 130 2 2 3 4 2" xfId="8552"/>
    <cellStyle name="Normal 130 2 2 3 4 2 2" xfId="19268"/>
    <cellStyle name="Normal 130 2 2 3 4 3" xfId="11880"/>
    <cellStyle name="Normal 130 2 2 3 4 3 2" xfId="22596"/>
    <cellStyle name="Normal 130 2 2 3 4 4" xfId="15940"/>
    <cellStyle name="Normal 130 2 2 3 5" xfId="6886"/>
    <cellStyle name="Normal 130 2 2 3 5 2" xfId="17604"/>
    <cellStyle name="Normal 130 2 2 3 6" xfId="10216"/>
    <cellStyle name="Normal 130 2 2 3 6 2" xfId="20932"/>
    <cellStyle name="Normal 130 2 2 3 7" xfId="14274"/>
    <cellStyle name="Normal 130 2 2 4" xfId="3733"/>
    <cellStyle name="Normal 130 2 2 4 2" xfId="4589"/>
    <cellStyle name="Normal 130 2 2 4 2 2" xfId="6257"/>
    <cellStyle name="Normal 130 2 2 4 2 2 2" xfId="9592"/>
    <cellStyle name="Normal 130 2 2 4 2 2 2 2" xfId="20308"/>
    <cellStyle name="Normal 130 2 2 4 2 2 3" xfId="12920"/>
    <cellStyle name="Normal 130 2 2 4 2 2 3 2" xfId="23636"/>
    <cellStyle name="Normal 130 2 2 4 2 2 4" xfId="16980"/>
    <cellStyle name="Normal 130 2 2 4 2 3" xfId="7928"/>
    <cellStyle name="Normal 130 2 2 4 2 3 2" xfId="18644"/>
    <cellStyle name="Normal 130 2 2 4 2 4" xfId="11256"/>
    <cellStyle name="Normal 130 2 2 4 2 4 2" xfId="21972"/>
    <cellStyle name="Normal 130 2 2 4 2 5" xfId="15316"/>
    <cellStyle name="Normal 130 2 2 4 3" xfId="5425"/>
    <cellStyle name="Normal 130 2 2 4 3 2" xfId="8760"/>
    <cellStyle name="Normal 130 2 2 4 3 2 2" xfId="19476"/>
    <cellStyle name="Normal 130 2 2 4 3 3" xfId="12088"/>
    <cellStyle name="Normal 130 2 2 4 3 3 2" xfId="22804"/>
    <cellStyle name="Normal 130 2 2 4 3 4" xfId="16148"/>
    <cellStyle name="Normal 130 2 2 4 4" xfId="7096"/>
    <cellStyle name="Normal 130 2 2 4 4 2" xfId="17812"/>
    <cellStyle name="Normal 130 2 2 4 5" xfId="10424"/>
    <cellStyle name="Normal 130 2 2 4 5 2" xfId="21140"/>
    <cellStyle name="Normal 130 2 2 4 6" xfId="14484"/>
    <cellStyle name="Normal 130 2 2 5" xfId="4171"/>
    <cellStyle name="Normal 130 2 2 5 2" xfId="5841"/>
    <cellStyle name="Normal 130 2 2 5 2 2" xfId="9176"/>
    <cellStyle name="Normal 130 2 2 5 2 2 2" xfId="19892"/>
    <cellStyle name="Normal 130 2 2 5 2 3" xfId="12504"/>
    <cellStyle name="Normal 130 2 2 5 2 3 2" xfId="23220"/>
    <cellStyle name="Normal 130 2 2 5 2 4" xfId="16564"/>
    <cellStyle name="Normal 130 2 2 5 3" xfId="7512"/>
    <cellStyle name="Normal 130 2 2 5 3 2" xfId="18228"/>
    <cellStyle name="Normal 130 2 2 5 4" xfId="10840"/>
    <cellStyle name="Normal 130 2 2 5 4 2" xfId="21556"/>
    <cellStyle name="Normal 130 2 2 5 5" xfId="14900"/>
    <cellStyle name="Normal 130 2 2 6" xfId="5006"/>
    <cellStyle name="Normal 130 2 2 6 2" xfId="8344"/>
    <cellStyle name="Normal 130 2 2 6 2 2" xfId="19060"/>
    <cellStyle name="Normal 130 2 2 6 3" xfId="11672"/>
    <cellStyle name="Normal 130 2 2 6 3 2" xfId="22388"/>
    <cellStyle name="Normal 130 2 2 6 4" xfId="15732"/>
    <cellStyle name="Normal 130 2 2 7" xfId="6676"/>
    <cellStyle name="Normal 130 2 2 7 2" xfId="17396"/>
    <cellStyle name="Normal 130 2 2 8" xfId="10008"/>
    <cellStyle name="Normal 130 2 2 8 2" xfId="20724"/>
    <cellStyle name="Normal 130 2 2 9" xfId="14065"/>
    <cellStyle name="Normal 130 2 3" xfId="1165"/>
    <cellStyle name="Normal 130 2 3 2" xfId="2870"/>
    <cellStyle name="Normal 130 2 3 2 2" xfId="3959"/>
    <cellStyle name="Normal 130 2 3 2 2 2" xfId="4799"/>
    <cellStyle name="Normal 130 2 3 2 2 2 2" xfId="6467"/>
    <cellStyle name="Normal 130 2 3 2 2 2 2 2" xfId="9802"/>
    <cellStyle name="Normal 130 2 3 2 2 2 2 2 2" xfId="20518"/>
    <cellStyle name="Normal 130 2 3 2 2 2 2 3" xfId="13130"/>
    <cellStyle name="Normal 130 2 3 2 2 2 2 3 2" xfId="23846"/>
    <cellStyle name="Normal 130 2 3 2 2 2 2 4" xfId="17190"/>
    <cellStyle name="Normal 130 2 3 2 2 2 3" xfId="8138"/>
    <cellStyle name="Normal 130 2 3 2 2 2 3 2" xfId="18854"/>
    <cellStyle name="Normal 130 2 3 2 2 2 4" xfId="11466"/>
    <cellStyle name="Normal 130 2 3 2 2 2 4 2" xfId="22182"/>
    <cellStyle name="Normal 130 2 3 2 2 2 5" xfId="15526"/>
    <cellStyle name="Normal 130 2 3 2 2 3" xfId="5635"/>
    <cellStyle name="Normal 130 2 3 2 2 3 2" xfId="8970"/>
    <cellStyle name="Normal 130 2 3 2 2 3 2 2" xfId="19686"/>
    <cellStyle name="Normal 130 2 3 2 2 3 3" xfId="12298"/>
    <cellStyle name="Normal 130 2 3 2 2 3 3 2" xfId="23014"/>
    <cellStyle name="Normal 130 2 3 2 2 3 4" xfId="16358"/>
    <cellStyle name="Normal 130 2 3 2 2 4" xfId="7306"/>
    <cellStyle name="Normal 130 2 3 2 2 4 2" xfId="18022"/>
    <cellStyle name="Normal 130 2 3 2 2 5" xfId="10634"/>
    <cellStyle name="Normal 130 2 3 2 2 5 2" xfId="21350"/>
    <cellStyle name="Normal 130 2 3 2 2 6" xfId="14694"/>
    <cellStyle name="Normal 130 2 3 2 3" xfId="4383"/>
    <cellStyle name="Normal 130 2 3 2 3 2" xfId="6051"/>
    <cellStyle name="Normal 130 2 3 2 3 2 2" xfId="9386"/>
    <cellStyle name="Normal 130 2 3 2 3 2 2 2" xfId="20102"/>
    <cellStyle name="Normal 130 2 3 2 3 2 3" xfId="12714"/>
    <cellStyle name="Normal 130 2 3 2 3 2 3 2" xfId="23430"/>
    <cellStyle name="Normal 130 2 3 2 3 2 4" xfId="16774"/>
    <cellStyle name="Normal 130 2 3 2 3 3" xfId="7722"/>
    <cellStyle name="Normal 130 2 3 2 3 3 2" xfId="18438"/>
    <cellStyle name="Normal 130 2 3 2 3 4" xfId="11050"/>
    <cellStyle name="Normal 130 2 3 2 3 4 2" xfId="21766"/>
    <cellStyle name="Normal 130 2 3 2 3 5" xfId="15110"/>
    <cellStyle name="Normal 130 2 3 2 4" xfId="5219"/>
    <cellStyle name="Normal 130 2 3 2 4 2" xfId="8554"/>
    <cellStyle name="Normal 130 2 3 2 4 2 2" xfId="19270"/>
    <cellStyle name="Normal 130 2 3 2 4 3" xfId="11882"/>
    <cellStyle name="Normal 130 2 3 2 4 3 2" xfId="22598"/>
    <cellStyle name="Normal 130 2 3 2 4 4" xfId="15942"/>
    <cellStyle name="Normal 130 2 3 2 5" xfId="6888"/>
    <cellStyle name="Normal 130 2 3 2 5 2" xfId="17606"/>
    <cellStyle name="Normal 130 2 3 2 6" xfId="10218"/>
    <cellStyle name="Normal 130 2 3 2 6 2" xfId="20934"/>
    <cellStyle name="Normal 130 2 3 2 7" xfId="14276"/>
    <cellStyle name="Normal 130 2 3 3" xfId="3735"/>
    <cellStyle name="Normal 130 2 3 3 2" xfId="4591"/>
    <cellStyle name="Normal 130 2 3 3 2 2" xfId="6259"/>
    <cellStyle name="Normal 130 2 3 3 2 2 2" xfId="9594"/>
    <cellStyle name="Normal 130 2 3 3 2 2 2 2" xfId="20310"/>
    <cellStyle name="Normal 130 2 3 3 2 2 3" xfId="12922"/>
    <cellStyle name="Normal 130 2 3 3 2 2 3 2" xfId="23638"/>
    <cellStyle name="Normal 130 2 3 3 2 2 4" xfId="16982"/>
    <cellStyle name="Normal 130 2 3 3 2 3" xfId="7930"/>
    <cellStyle name="Normal 130 2 3 3 2 3 2" xfId="18646"/>
    <cellStyle name="Normal 130 2 3 3 2 4" xfId="11258"/>
    <cellStyle name="Normal 130 2 3 3 2 4 2" xfId="21974"/>
    <cellStyle name="Normal 130 2 3 3 2 5" xfId="15318"/>
    <cellStyle name="Normal 130 2 3 3 3" xfId="5427"/>
    <cellStyle name="Normal 130 2 3 3 3 2" xfId="8762"/>
    <cellStyle name="Normal 130 2 3 3 3 2 2" xfId="19478"/>
    <cellStyle name="Normal 130 2 3 3 3 3" xfId="12090"/>
    <cellStyle name="Normal 130 2 3 3 3 3 2" xfId="22806"/>
    <cellStyle name="Normal 130 2 3 3 3 4" xfId="16150"/>
    <cellStyle name="Normal 130 2 3 3 4" xfId="7098"/>
    <cellStyle name="Normal 130 2 3 3 4 2" xfId="17814"/>
    <cellStyle name="Normal 130 2 3 3 5" xfId="10426"/>
    <cellStyle name="Normal 130 2 3 3 5 2" xfId="21142"/>
    <cellStyle name="Normal 130 2 3 3 6" xfId="14486"/>
    <cellStyle name="Normal 130 2 3 4" xfId="4173"/>
    <cellStyle name="Normal 130 2 3 4 2" xfId="5843"/>
    <cellStyle name="Normal 130 2 3 4 2 2" xfId="9178"/>
    <cellStyle name="Normal 130 2 3 4 2 2 2" xfId="19894"/>
    <cellStyle name="Normal 130 2 3 4 2 3" xfId="12506"/>
    <cellStyle name="Normal 130 2 3 4 2 3 2" xfId="23222"/>
    <cellStyle name="Normal 130 2 3 4 2 4" xfId="16566"/>
    <cellStyle name="Normal 130 2 3 4 3" xfId="7514"/>
    <cellStyle name="Normal 130 2 3 4 3 2" xfId="18230"/>
    <cellStyle name="Normal 130 2 3 4 4" xfId="10842"/>
    <cellStyle name="Normal 130 2 3 4 4 2" xfId="21558"/>
    <cellStyle name="Normal 130 2 3 4 5" xfId="14902"/>
    <cellStyle name="Normal 130 2 3 5" xfId="5008"/>
    <cellStyle name="Normal 130 2 3 5 2" xfId="8346"/>
    <cellStyle name="Normal 130 2 3 5 2 2" xfId="19062"/>
    <cellStyle name="Normal 130 2 3 5 3" xfId="11674"/>
    <cellStyle name="Normal 130 2 3 5 3 2" xfId="22390"/>
    <cellStyle name="Normal 130 2 3 5 4" xfId="15734"/>
    <cellStyle name="Normal 130 2 3 6" xfId="6678"/>
    <cellStyle name="Normal 130 2 3 6 2" xfId="17398"/>
    <cellStyle name="Normal 130 2 3 7" xfId="10010"/>
    <cellStyle name="Normal 130 2 3 7 2" xfId="20726"/>
    <cellStyle name="Normal 130 2 3 8" xfId="14067"/>
    <cellStyle name="Normal 130 2 4" xfId="2867"/>
    <cellStyle name="Normal 130 2 4 2" xfId="3956"/>
    <cellStyle name="Normal 130 2 4 2 2" xfId="4796"/>
    <cellStyle name="Normal 130 2 4 2 2 2" xfId="6464"/>
    <cellStyle name="Normal 130 2 4 2 2 2 2" xfId="9799"/>
    <cellStyle name="Normal 130 2 4 2 2 2 2 2" xfId="20515"/>
    <cellStyle name="Normal 130 2 4 2 2 2 3" xfId="13127"/>
    <cellStyle name="Normal 130 2 4 2 2 2 3 2" xfId="23843"/>
    <cellStyle name="Normal 130 2 4 2 2 2 4" xfId="17187"/>
    <cellStyle name="Normal 130 2 4 2 2 3" xfId="8135"/>
    <cellStyle name="Normal 130 2 4 2 2 3 2" xfId="18851"/>
    <cellStyle name="Normal 130 2 4 2 2 4" xfId="11463"/>
    <cellStyle name="Normal 130 2 4 2 2 4 2" xfId="22179"/>
    <cellStyle name="Normal 130 2 4 2 2 5" xfId="15523"/>
    <cellStyle name="Normal 130 2 4 2 3" xfId="5632"/>
    <cellStyle name="Normal 130 2 4 2 3 2" xfId="8967"/>
    <cellStyle name="Normal 130 2 4 2 3 2 2" xfId="19683"/>
    <cellStyle name="Normal 130 2 4 2 3 3" xfId="12295"/>
    <cellStyle name="Normal 130 2 4 2 3 3 2" xfId="23011"/>
    <cellStyle name="Normal 130 2 4 2 3 4" xfId="16355"/>
    <cellStyle name="Normal 130 2 4 2 4" xfId="7303"/>
    <cellStyle name="Normal 130 2 4 2 4 2" xfId="18019"/>
    <cellStyle name="Normal 130 2 4 2 5" xfId="10631"/>
    <cellStyle name="Normal 130 2 4 2 5 2" xfId="21347"/>
    <cellStyle name="Normal 130 2 4 2 6" xfId="14691"/>
    <cellStyle name="Normal 130 2 4 3" xfId="4380"/>
    <cellStyle name="Normal 130 2 4 3 2" xfId="6048"/>
    <cellStyle name="Normal 130 2 4 3 2 2" xfId="9383"/>
    <cellStyle name="Normal 130 2 4 3 2 2 2" xfId="20099"/>
    <cellStyle name="Normal 130 2 4 3 2 3" xfId="12711"/>
    <cellStyle name="Normal 130 2 4 3 2 3 2" xfId="23427"/>
    <cellStyle name="Normal 130 2 4 3 2 4" xfId="16771"/>
    <cellStyle name="Normal 130 2 4 3 3" xfId="7719"/>
    <cellStyle name="Normal 130 2 4 3 3 2" xfId="18435"/>
    <cellStyle name="Normal 130 2 4 3 4" xfId="11047"/>
    <cellStyle name="Normal 130 2 4 3 4 2" xfId="21763"/>
    <cellStyle name="Normal 130 2 4 3 5" xfId="15107"/>
    <cellStyle name="Normal 130 2 4 4" xfId="5216"/>
    <cellStyle name="Normal 130 2 4 4 2" xfId="8551"/>
    <cellStyle name="Normal 130 2 4 4 2 2" xfId="19267"/>
    <cellStyle name="Normal 130 2 4 4 3" xfId="11879"/>
    <cellStyle name="Normal 130 2 4 4 3 2" xfId="22595"/>
    <cellStyle name="Normal 130 2 4 4 4" xfId="15939"/>
    <cellStyle name="Normal 130 2 4 5" xfId="6885"/>
    <cellStyle name="Normal 130 2 4 5 2" xfId="17603"/>
    <cellStyle name="Normal 130 2 4 6" xfId="10215"/>
    <cellStyle name="Normal 130 2 4 6 2" xfId="20931"/>
    <cellStyle name="Normal 130 2 4 7" xfId="14273"/>
    <cellStyle name="Normal 130 2 5" xfId="3732"/>
    <cellStyle name="Normal 130 2 5 2" xfId="4588"/>
    <cellStyle name="Normal 130 2 5 2 2" xfId="6256"/>
    <cellStyle name="Normal 130 2 5 2 2 2" xfId="9591"/>
    <cellStyle name="Normal 130 2 5 2 2 2 2" xfId="20307"/>
    <cellStyle name="Normal 130 2 5 2 2 3" xfId="12919"/>
    <cellStyle name="Normal 130 2 5 2 2 3 2" xfId="23635"/>
    <cellStyle name="Normal 130 2 5 2 2 4" xfId="16979"/>
    <cellStyle name="Normal 130 2 5 2 3" xfId="7927"/>
    <cellStyle name="Normal 130 2 5 2 3 2" xfId="18643"/>
    <cellStyle name="Normal 130 2 5 2 4" xfId="11255"/>
    <cellStyle name="Normal 130 2 5 2 4 2" xfId="21971"/>
    <cellStyle name="Normal 130 2 5 2 5" xfId="15315"/>
    <cellStyle name="Normal 130 2 5 3" xfId="5424"/>
    <cellStyle name="Normal 130 2 5 3 2" xfId="8759"/>
    <cellStyle name="Normal 130 2 5 3 2 2" xfId="19475"/>
    <cellStyle name="Normal 130 2 5 3 3" xfId="12087"/>
    <cellStyle name="Normal 130 2 5 3 3 2" xfId="22803"/>
    <cellStyle name="Normal 130 2 5 3 4" xfId="16147"/>
    <cellStyle name="Normal 130 2 5 4" xfId="7095"/>
    <cellStyle name="Normal 130 2 5 4 2" xfId="17811"/>
    <cellStyle name="Normal 130 2 5 5" xfId="10423"/>
    <cellStyle name="Normal 130 2 5 5 2" xfId="21139"/>
    <cellStyle name="Normal 130 2 5 6" xfId="14483"/>
    <cellStyle name="Normal 130 2 6" xfId="4170"/>
    <cellStyle name="Normal 130 2 6 2" xfId="5840"/>
    <cellStyle name="Normal 130 2 6 2 2" xfId="9175"/>
    <cellStyle name="Normal 130 2 6 2 2 2" xfId="19891"/>
    <cellStyle name="Normal 130 2 6 2 3" xfId="12503"/>
    <cellStyle name="Normal 130 2 6 2 3 2" xfId="23219"/>
    <cellStyle name="Normal 130 2 6 2 4" xfId="16563"/>
    <cellStyle name="Normal 130 2 6 3" xfId="7511"/>
    <cellStyle name="Normal 130 2 6 3 2" xfId="18227"/>
    <cellStyle name="Normal 130 2 6 4" xfId="10839"/>
    <cellStyle name="Normal 130 2 6 4 2" xfId="21555"/>
    <cellStyle name="Normal 130 2 6 5" xfId="14899"/>
    <cellStyle name="Normal 130 2 7" xfId="5005"/>
    <cellStyle name="Normal 130 2 7 2" xfId="8343"/>
    <cellStyle name="Normal 130 2 7 2 2" xfId="19059"/>
    <cellStyle name="Normal 130 2 7 3" xfId="11671"/>
    <cellStyle name="Normal 130 2 7 3 2" xfId="22387"/>
    <cellStyle name="Normal 130 2 7 4" xfId="15731"/>
    <cellStyle name="Normal 130 2 8" xfId="6675"/>
    <cellStyle name="Normal 130 2 8 2" xfId="17395"/>
    <cellStyle name="Normal 130 2 9" xfId="10007"/>
    <cellStyle name="Normal 130 2 9 2" xfId="20723"/>
    <cellStyle name="Normal 130 3" xfId="1166"/>
    <cellStyle name="Normal 130 3 2" xfId="1167"/>
    <cellStyle name="Normal 130 3 2 2" xfId="2872"/>
    <cellStyle name="Normal 130 3 2 2 2" xfId="3961"/>
    <cellStyle name="Normal 130 3 2 2 2 2" xfId="4801"/>
    <cellStyle name="Normal 130 3 2 2 2 2 2" xfId="6469"/>
    <cellStyle name="Normal 130 3 2 2 2 2 2 2" xfId="9804"/>
    <cellStyle name="Normal 130 3 2 2 2 2 2 2 2" xfId="20520"/>
    <cellStyle name="Normal 130 3 2 2 2 2 2 3" xfId="13132"/>
    <cellStyle name="Normal 130 3 2 2 2 2 2 3 2" xfId="23848"/>
    <cellStyle name="Normal 130 3 2 2 2 2 2 4" xfId="17192"/>
    <cellStyle name="Normal 130 3 2 2 2 2 3" xfId="8140"/>
    <cellStyle name="Normal 130 3 2 2 2 2 3 2" xfId="18856"/>
    <cellStyle name="Normal 130 3 2 2 2 2 4" xfId="11468"/>
    <cellStyle name="Normal 130 3 2 2 2 2 4 2" xfId="22184"/>
    <cellStyle name="Normal 130 3 2 2 2 2 5" xfId="15528"/>
    <cellStyle name="Normal 130 3 2 2 2 3" xfId="5637"/>
    <cellStyle name="Normal 130 3 2 2 2 3 2" xfId="8972"/>
    <cellStyle name="Normal 130 3 2 2 2 3 2 2" xfId="19688"/>
    <cellStyle name="Normal 130 3 2 2 2 3 3" xfId="12300"/>
    <cellStyle name="Normal 130 3 2 2 2 3 3 2" xfId="23016"/>
    <cellStyle name="Normal 130 3 2 2 2 3 4" xfId="16360"/>
    <cellStyle name="Normal 130 3 2 2 2 4" xfId="7308"/>
    <cellStyle name="Normal 130 3 2 2 2 4 2" xfId="18024"/>
    <cellStyle name="Normal 130 3 2 2 2 5" xfId="10636"/>
    <cellStyle name="Normal 130 3 2 2 2 5 2" xfId="21352"/>
    <cellStyle name="Normal 130 3 2 2 2 6" xfId="14696"/>
    <cellStyle name="Normal 130 3 2 2 3" xfId="4385"/>
    <cellStyle name="Normal 130 3 2 2 3 2" xfId="6053"/>
    <cellStyle name="Normal 130 3 2 2 3 2 2" xfId="9388"/>
    <cellStyle name="Normal 130 3 2 2 3 2 2 2" xfId="20104"/>
    <cellStyle name="Normal 130 3 2 2 3 2 3" xfId="12716"/>
    <cellStyle name="Normal 130 3 2 2 3 2 3 2" xfId="23432"/>
    <cellStyle name="Normal 130 3 2 2 3 2 4" xfId="16776"/>
    <cellStyle name="Normal 130 3 2 2 3 3" xfId="7724"/>
    <cellStyle name="Normal 130 3 2 2 3 3 2" xfId="18440"/>
    <cellStyle name="Normal 130 3 2 2 3 4" xfId="11052"/>
    <cellStyle name="Normal 130 3 2 2 3 4 2" xfId="21768"/>
    <cellStyle name="Normal 130 3 2 2 3 5" xfId="15112"/>
    <cellStyle name="Normal 130 3 2 2 4" xfId="5221"/>
    <cellStyle name="Normal 130 3 2 2 4 2" xfId="8556"/>
    <cellStyle name="Normal 130 3 2 2 4 2 2" xfId="19272"/>
    <cellStyle name="Normal 130 3 2 2 4 3" xfId="11884"/>
    <cellStyle name="Normal 130 3 2 2 4 3 2" xfId="22600"/>
    <cellStyle name="Normal 130 3 2 2 4 4" xfId="15944"/>
    <cellStyle name="Normal 130 3 2 2 5" xfId="6890"/>
    <cellStyle name="Normal 130 3 2 2 5 2" xfId="17608"/>
    <cellStyle name="Normal 130 3 2 2 6" xfId="10220"/>
    <cellStyle name="Normal 130 3 2 2 6 2" xfId="20936"/>
    <cellStyle name="Normal 130 3 2 2 7" xfId="14278"/>
    <cellStyle name="Normal 130 3 2 3" xfId="3737"/>
    <cellStyle name="Normal 130 3 2 3 2" xfId="4593"/>
    <cellStyle name="Normal 130 3 2 3 2 2" xfId="6261"/>
    <cellStyle name="Normal 130 3 2 3 2 2 2" xfId="9596"/>
    <cellStyle name="Normal 130 3 2 3 2 2 2 2" xfId="20312"/>
    <cellStyle name="Normal 130 3 2 3 2 2 3" xfId="12924"/>
    <cellStyle name="Normal 130 3 2 3 2 2 3 2" xfId="23640"/>
    <cellStyle name="Normal 130 3 2 3 2 2 4" xfId="16984"/>
    <cellStyle name="Normal 130 3 2 3 2 3" xfId="7932"/>
    <cellStyle name="Normal 130 3 2 3 2 3 2" xfId="18648"/>
    <cellStyle name="Normal 130 3 2 3 2 4" xfId="11260"/>
    <cellStyle name="Normal 130 3 2 3 2 4 2" xfId="21976"/>
    <cellStyle name="Normal 130 3 2 3 2 5" xfId="15320"/>
    <cellStyle name="Normal 130 3 2 3 3" xfId="5429"/>
    <cellStyle name="Normal 130 3 2 3 3 2" xfId="8764"/>
    <cellStyle name="Normal 130 3 2 3 3 2 2" xfId="19480"/>
    <cellStyle name="Normal 130 3 2 3 3 3" xfId="12092"/>
    <cellStyle name="Normal 130 3 2 3 3 3 2" xfId="22808"/>
    <cellStyle name="Normal 130 3 2 3 3 4" xfId="16152"/>
    <cellStyle name="Normal 130 3 2 3 4" xfId="7100"/>
    <cellStyle name="Normal 130 3 2 3 4 2" xfId="17816"/>
    <cellStyle name="Normal 130 3 2 3 5" xfId="10428"/>
    <cellStyle name="Normal 130 3 2 3 5 2" xfId="21144"/>
    <cellStyle name="Normal 130 3 2 3 6" xfId="14488"/>
    <cellStyle name="Normal 130 3 2 4" xfId="4175"/>
    <cellStyle name="Normal 130 3 2 4 2" xfId="5845"/>
    <cellStyle name="Normal 130 3 2 4 2 2" xfId="9180"/>
    <cellStyle name="Normal 130 3 2 4 2 2 2" xfId="19896"/>
    <cellStyle name="Normal 130 3 2 4 2 3" xfId="12508"/>
    <cellStyle name="Normal 130 3 2 4 2 3 2" xfId="23224"/>
    <cellStyle name="Normal 130 3 2 4 2 4" xfId="16568"/>
    <cellStyle name="Normal 130 3 2 4 3" xfId="7516"/>
    <cellStyle name="Normal 130 3 2 4 3 2" xfId="18232"/>
    <cellStyle name="Normal 130 3 2 4 4" xfId="10844"/>
    <cellStyle name="Normal 130 3 2 4 4 2" xfId="21560"/>
    <cellStyle name="Normal 130 3 2 4 5" xfId="14904"/>
    <cellStyle name="Normal 130 3 2 5" xfId="5010"/>
    <cellStyle name="Normal 130 3 2 5 2" xfId="8348"/>
    <cellStyle name="Normal 130 3 2 5 2 2" xfId="19064"/>
    <cellStyle name="Normal 130 3 2 5 3" xfId="11676"/>
    <cellStyle name="Normal 130 3 2 5 3 2" xfId="22392"/>
    <cellStyle name="Normal 130 3 2 5 4" xfId="15736"/>
    <cellStyle name="Normal 130 3 2 6" xfId="6680"/>
    <cellStyle name="Normal 130 3 2 6 2" xfId="17400"/>
    <cellStyle name="Normal 130 3 2 7" xfId="10012"/>
    <cellStyle name="Normal 130 3 2 7 2" xfId="20728"/>
    <cellStyle name="Normal 130 3 2 8" xfId="14069"/>
    <cellStyle name="Normal 130 3 3" xfId="2871"/>
    <cellStyle name="Normal 130 3 3 2" xfId="3960"/>
    <cellStyle name="Normal 130 3 3 2 2" xfId="4800"/>
    <cellStyle name="Normal 130 3 3 2 2 2" xfId="6468"/>
    <cellStyle name="Normal 130 3 3 2 2 2 2" xfId="9803"/>
    <cellStyle name="Normal 130 3 3 2 2 2 2 2" xfId="20519"/>
    <cellStyle name="Normal 130 3 3 2 2 2 3" xfId="13131"/>
    <cellStyle name="Normal 130 3 3 2 2 2 3 2" xfId="23847"/>
    <cellStyle name="Normal 130 3 3 2 2 2 4" xfId="17191"/>
    <cellStyle name="Normal 130 3 3 2 2 3" xfId="8139"/>
    <cellStyle name="Normal 130 3 3 2 2 3 2" xfId="18855"/>
    <cellStyle name="Normal 130 3 3 2 2 4" xfId="11467"/>
    <cellStyle name="Normal 130 3 3 2 2 4 2" xfId="22183"/>
    <cellStyle name="Normal 130 3 3 2 2 5" xfId="15527"/>
    <cellStyle name="Normal 130 3 3 2 3" xfId="5636"/>
    <cellStyle name="Normal 130 3 3 2 3 2" xfId="8971"/>
    <cellStyle name="Normal 130 3 3 2 3 2 2" xfId="19687"/>
    <cellStyle name="Normal 130 3 3 2 3 3" xfId="12299"/>
    <cellStyle name="Normal 130 3 3 2 3 3 2" xfId="23015"/>
    <cellStyle name="Normal 130 3 3 2 3 4" xfId="16359"/>
    <cellStyle name="Normal 130 3 3 2 4" xfId="7307"/>
    <cellStyle name="Normal 130 3 3 2 4 2" xfId="18023"/>
    <cellStyle name="Normal 130 3 3 2 5" xfId="10635"/>
    <cellStyle name="Normal 130 3 3 2 5 2" xfId="21351"/>
    <cellStyle name="Normal 130 3 3 2 6" xfId="14695"/>
    <cellStyle name="Normal 130 3 3 3" xfId="4384"/>
    <cellStyle name="Normal 130 3 3 3 2" xfId="6052"/>
    <cellStyle name="Normal 130 3 3 3 2 2" xfId="9387"/>
    <cellStyle name="Normal 130 3 3 3 2 2 2" xfId="20103"/>
    <cellStyle name="Normal 130 3 3 3 2 3" xfId="12715"/>
    <cellStyle name="Normal 130 3 3 3 2 3 2" xfId="23431"/>
    <cellStyle name="Normal 130 3 3 3 2 4" xfId="16775"/>
    <cellStyle name="Normal 130 3 3 3 3" xfId="7723"/>
    <cellStyle name="Normal 130 3 3 3 3 2" xfId="18439"/>
    <cellStyle name="Normal 130 3 3 3 4" xfId="11051"/>
    <cellStyle name="Normal 130 3 3 3 4 2" xfId="21767"/>
    <cellStyle name="Normal 130 3 3 3 5" xfId="15111"/>
    <cellStyle name="Normal 130 3 3 4" xfId="5220"/>
    <cellStyle name="Normal 130 3 3 4 2" xfId="8555"/>
    <cellStyle name="Normal 130 3 3 4 2 2" xfId="19271"/>
    <cellStyle name="Normal 130 3 3 4 3" xfId="11883"/>
    <cellStyle name="Normal 130 3 3 4 3 2" xfId="22599"/>
    <cellStyle name="Normal 130 3 3 4 4" xfId="15943"/>
    <cellStyle name="Normal 130 3 3 5" xfId="6889"/>
    <cellStyle name="Normal 130 3 3 5 2" xfId="17607"/>
    <cellStyle name="Normal 130 3 3 6" xfId="10219"/>
    <cellStyle name="Normal 130 3 3 6 2" xfId="20935"/>
    <cellStyle name="Normal 130 3 3 7" xfId="14277"/>
    <cellStyle name="Normal 130 3 4" xfId="3736"/>
    <cellStyle name="Normal 130 3 4 2" xfId="4592"/>
    <cellStyle name="Normal 130 3 4 2 2" xfId="6260"/>
    <cellStyle name="Normal 130 3 4 2 2 2" xfId="9595"/>
    <cellStyle name="Normal 130 3 4 2 2 2 2" xfId="20311"/>
    <cellStyle name="Normal 130 3 4 2 2 3" xfId="12923"/>
    <cellStyle name="Normal 130 3 4 2 2 3 2" xfId="23639"/>
    <cellStyle name="Normal 130 3 4 2 2 4" xfId="16983"/>
    <cellStyle name="Normal 130 3 4 2 3" xfId="7931"/>
    <cellStyle name="Normal 130 3 4 2 3 2" xfId="18647"/>
    <cellStyle name="Normal 130 3 4 2 4" xfId="11259"/>
    <cellStyle name="Normal 130 3 4 2 4 2" xfId="21975"/>
    <cellStyle name="Normal 130 3 4 2 5" xfId="15319"/>
    <cellStyle name="Normal 130 3 4 3" xfId="5428"/>
    <cellStyle name="Normal 130 3 4 3 2" xfId="8763"/>
    <cellStyle name="Normal 130 3 4 3 2 2" xfId="19479"/>
    <cellStyle name="Normal 130 3 4 3 3" xfId="12091"/>
    <cellStyle name="Normal 130 3 4 3 3 2" xfId="22807"/>
    <cellStyle name="Normal 130 3 4 3 4" xfId="16151"/>
    <cellStyle name="Normal 130 3 4 4" xfId="7099"/>
    <cellStyle name="Normal 130 3 4 4 2" xfId="17815"/>
    <cellStyle name="Normal 130 3 4 5" xfId="10427"/>
    <cellStyle name="Normal 130 3 4 5 2" xfId="21143"/>
    <cellStyle name="Normal 130 3 4 6" xfId="14487"/>
    <cellStyle name="Normal 130 3 5" xfId="4174"/>
    <cellStyle name="Normal 130 3 5 2" xfId="5844"/>
    <cellStyle name="Normal 130 3 5 2 2" xfId="9179"/>
    <cellStyle name="Normal 130 3 5 2 2 2" xfId="19895"/>
    <cellStyle name="Normal 130 3 5 2 3" xfId="12507"/>
    <cellStyle name="Normal 130 3 5 2 3 2" xfId="23223"/>
    <cellStyle name="Normal 130 3 5 2 4" xfId="16567"/>
    <cellStyle name="Normal 130 3 5 3" xfId="7515"/>
    <cellStyle name="Normal 130 3 5 3 2" xfId="18231"/>
    <cellStyle name="Normal 130 3 5 4" xfId="10843"/>
    <cellStyle name="Normal 130 3 5 4 2" xfId="21559"/>
    <cellStyle name="Normal 130 3 5 5" xfId="14903"/>
    <cellStyle name="Normal 130 3 6" xfId="5009"/>
    <cellStyle name="Normal 130 3 6 2" xfId="8347"/>
    <cellStyle name="Normal 130 3 6 2 2" xfId="19063"/>
    <cellStyle name="Normal 130 3 6 3" xfId="11675"/>
    <cellStyle name="Normal 130 3 6 3 2" xfId="22391"/>
    <cellStyle name="Normal 130 3 6 4" xfId="15735"/>
    <cellStyle name="Normal 130 3 7" xfId="6679"/>
    <cellStyle name="Normal 130 3 7 2" xfId="17399"/>
    <cellStyle name="Normal 130 3 8" xfId="10011"/>
    <cellStyle name="Normal 130 3 8 2" xfId="20727"/>
    <cellStyle name="Normal 130 3 9" xfId="14068"/>
    <cellStyle name="Normal 130 4" xfId="1168"/>
    <cellStyle name="Normal 130 4 2" xfId="2873"/>
    <cellStyle name="Normal 130 4 2 2" xfId="3962"/>
    <cellStyle name="Normal 130 4 2 2 2" xfId="4802"/>
    <cellStyle name="Normal 130 4 2 2 2 2" xfId="6470"/>
    <cellStyle name="Normal 130 4 2 2 2 2 2" xfId="9805"/>
    <cellStyle name="Normal 130 4 2 2 2 2 2 2" xfId="20521"/>
    <cellStyle name="Normal 130 4 2 2 2 2 3" xfId="13133"/>
    <cellStyle name="Normal 130 4 2 2 2 2 3 2" xfId="23849"/>
    <cellStyle name="Normal 130 4 2 2 2 2 4" xfId="17193"/>
    <cellStyle name="Normal 130 4 2 2 2 3" xfId="8141"/>
    <cellStyle name="Normal 130 4 2 2 2 3 2" xfId="18857"/>
    <cellStyle name="Normal 130 4 2 2 2 4" xfId="11469"/>
    <cellStyle name="Normal 130 4 2 2 2 4 2" xfId="22185"/>
    <cellStyle name="Normal 130 4 2 2 2 5" xfId="15529"/>
    <cellStyle name="Normal 130 4 2 2 3" xfId="5638"/>
    <cellStyle name="Normal 130 4 2 2 3 2" xfId="8973"/>
    <cellStyle name="Normal 130 4 2 2 3 2 2" xfId="19689"/>
    <cellStyle name="Normal 130 4 2 2 3 3" xfId="12301"/>
    <cellStyle name="Normal 130 4 2 2 3 3 2" xfId="23017"/>
    <cellStyle name="Normal 130 4 2 2 3 4" xfId="16361"/>
    <cellStyle name="Normal 130 4 2 2 4" xfId="7309"/>
    <cellStyle name="Normal 130 4 2 2 4 2" xfId="18025"/>
    <cellStyle name="Normal 130 4 2 2 5" xfId="10637"/>
    <cellStyle name="Normal 130 4 2 2 5 2" xfId="21353"/>
    <cellStyle name="Normal 130 4 2 2 6" xfId="14697"/>
    <cellStyle name="Normal 130 4 2 3" xfId="4386"/>
    <cellStyle name="Normal 130 4 2 3 2" xfId="6054"/>
    <cellStyle name="Normal 130 4 2 3 2 2" xfId="9389"/>
    <cellStyle name="Normal 130 4 2 3 2 2 2" xfId="20105"/>
    <cellStyle name="Normal 130 4 2 3 2 3" xfId="12717"/>
    <cellStyle name="Normal 130 4 2 3 2 3 2" xfId="23433"/>
    <cellStyle name="Normal 130 4 2 3 2 4" xfId="16777"/>
    <cellStyle name="Normal 130 4 2 3 3" xfId="7725"/>
    <cellStyle name="Normal 130 4 2 3 3 2" xfId="18441"/>
    <cellStyle name="Normal 130 4 2 3 4" xfId="11053"/>
    <cellStyle name="Normal 130 4 2 3 4 2" xfId="21769"/>
    <cellStyle name="Normal 130 4 2 3 5" xfId="15113"/>
    <cellStyle name="Normal 130 4 2 4" xfId="5222"/>
    <cellStyle name="Normal 130 4 2 4 2" xfId="8557"/>
    <cellStyle name="Normal 130 4 2 4 2 2" xfId="19273"/>
    <cellStyle name="Normal 130 4 2 4 3" xfId="11885"/>
    <cellStyle name="Normal 130 4 2 4 3 2" xfId="22601"/>
    <cellStyle name="Normal 130 4 2 4 4" xfId="15945"/>
    <cellStyle name="Normal 130 4 2 5" xfId="6891"/>
    <cellStyle name="Normal 130 4 2 5 2" xfId="17609"/>
    <cellStyle name="Normal 130 4 2 6" xfId="10221"/>
    <cellStyle name="Normal 130 4 2 6 2" xfId="20937"/>
    <cellStyle name="Normal 130 4 2 7" xfId="14279"/>
    <cellStyle name="Normal 130 4 3" xfId="3738"/>
    <cellStyle name="Normal 130 4 3 2" xfId="4594"/>
    <cellStyle name="Normal 130 4 3 2 2" xfId="6262"/>
    <cellStyle name="Normal 130 4 3 2 2 2" xfId="9597"/>
    <cellStyle name="Normal 130 4 3 2 2 2 2" xfId="20313"/>
    <cellStyle name="Normal 130 4 3 2 2 3" xfId="12925"/>
    <cellStyle name="Normal 130 4 3 2 2 3 2" xfId="23641"/>
    <cellStyle name="Normal 130 4 3 2 2 4" xfId="16985"/>
    <cellStyle name="Normal 130 4 3 2 3" xfId="7933"/>
    <cellStyle name="Normal 130 4 3 2 3 2" xfId="18649"/>
    <cellStyle name="Normal 130 4 3 2 4" xfId="11261"/>
    <cellStyle name="Normal 130 4 3 2 4 2" xfId="21977"/>
    <cellStyle name="Normal 130 4 3 2 5" xfId="15321"/>
    <cellStyle name="Normal 130 4 3 3" xfId="5430"/>
    <cellStyle name="Normal 130 4 3 3 2" xfId="8765"/>
    <cellStyle name="Normal 130 4 3 3 2 2" xfId="19481"/>
    <cellStyle name="Normal 130 4 3 3 3" xfId="12093"/>
    <cellStyle name="Normal 130 4 3 3 3 2" xfId="22809"/>
    <cellStyle name="Normal 130 4 3 3 4" xfId="16153"/>
    <cellStyle name="Normal 130 4 3 4" xfId="7101"/>
    <cellStyle name="Normal 130 4 3 4 2" xfId="17817"/>
    <cellStyle name="Normal 130 4 3 5" xfId="10429"/>
    <cellStyle name="Normal 130 4 3 5 2" xfId="21145"/>
    <cellStyle name="Normal 130 4 3 6" xfId="14489"/>
    <cellStyle name="Normal 130 4 4" xfId="4176"/>
    <cellStyle name="Normal 130 4 4 2" xfId="5846"/>
    <cellStyle name="Normal 130 4 4 2 2" xfId="9181"/>
    <cellStyle name="Normal 130 4 4 2 2 2" xfId="19897"/>
    <cellStyle name="Normal 130 4 4 2 3" xfId="12509"/>
    <cellStyle name="Normal 130 4 4 2 3 2" xfId="23225"/>
    <cellStyle name="Normal 130 4 4 2 4" xfId="16569"/>
    <cellStyle name="Normal 130 4 4 3" xfId="7517"/>
    <cellStyle name="Normal 130 4 4 3 2" xfId="18233"/>
    <cellStyle name="Normal 130 4 4 4" xfId="10845"/>
    <cellStyle name="Normal 130 4 4 4 2" xfId="21561"/>
    <cellStyle name="Normal 130 4 4 5" xfId="14905"/>
    <cellStyle name="Normal 130 4 5" xfId="5011"/>
    <cellStyle name="Normal 130 4 5 2" xfId="8349"/>
    <cellStyle name="Normal 130 4 5 2 2" xfId="19065"/>
    <cellStyle name="Normal 130 4 5 3" xfId="11677"/>
    <cellStyle name="Normal 130 4 5 3 2" xfId="22393"/>
    <cellStyle name="Normal 130 4 5 4" xfId="15737"/>
    <cellStyle name="Normal 130 4 6" xfId="6681"/>
    <cellStyle name="Normal 130 4 6 2" xfId="17401"/>
    <cellStyle name="Normal 130 4 7" xfId="10013"/>
    <cellStyle name="Normal 130 4 7 2" xfId="20729"/>
    <cellStyle name="Normal 130 4 8" xfId="14070"/>
    <cellStyle name="Normal 130 5" xfId="2866"/>
    <cellStyle name="Normal 130 5 2" xfId="3955"/>
    <cellStyle name="Normal 130 5 2 2" xfId="4795"/>
    <cellStyle name="Normal 130 5 2 2 2" xfId="6463"/>
    <cellStyle name="Normal 130 5 2 2 2 2" xfId="9798"/>
    <cellStyle name="Normal 130 5 2 2 2 2 2" xfId="20514"/>
    <cellStyle name="Normal 130 5 2 2 2 3" xfId="13126"/>
    <cellStyle name="Normal 130 5 2 2 2 3 2" xfId="23842"/>
    <cellStyle name="Normal 130 5 2 2 2 4" xfId="17186"/>
    <cellStyle name="Normal 130 5 2 2 3" xfId="8134"/>
    <cellStyle name="Normal 130 5 2 2 3 2" xfId="18850"/>
    <cellStyle name="Normal 130 5 2 2 4" xfId="11462"/>
    <cellStyle name="Normal 130 5 2 2 4 2" xfId="22178"/>
    <cellStyle name="Normal 130 5 2 2 5" xfId="15522"/>
    <cellStyle name="Normal 130 5 2 3" xfId="5631"/>
    <cellStyle name="Normal 130 5 2 3 2" xfId="8966"/>
    <cellStyle name="Normal 130 5 2 3 2 2" xfId="19682"/>
    <cellStyle name="Normal 130 5 2 3 3" xfId="12294"/>
    <cellStyle name="Normal 130 5 2 3 3 2" xfId="23010"/>
    <cellStyle name="Normal 130 5 2 3 4" xfId="16354"/>
    <cellStyle name="Normal 130 5 2 4" xfId="7302"/>
    <cellStyle name="Normal 130 5 2 4 2" xfId="18018"/>
    <cellStyle name="Normal 130 5 2 5" xfId="10630"/>
    <cellStyle name="Normal 130 5 2 5 2" xfId="21346"/>
    <cellStyle name="Normal 130 5 2 6" xfId="14690"/>
    <cellStyle name="Normal 130 5 3" xfId="4379"/>
    <cellStyle name="Normal 130 5 3 2" xfId="6047"/>
    <cellStyle name="Normal 130 5 3 2 2" xfId="9382"/>
    <cellStyle name="Normal 130 5 3 2 2 2" xfId="20098"/>
    <cellStyle name="Normal 130 5 3 2 3" xfId="12710"/>
    <cellStyle name="Normal 130 5 3 2 3 2" xfId="23426"/>
    <cellStyle name="Normal 130 5 3 2 4" xfId="16770"/>
    <cellStyle name="Normal 130 5 3 3" xfId="7718"/>
    <cellStyle name="Normal 130 5 3 3 2" xfId="18434"/>
    <cellStyle name="Normal 130 5 3 4" xfId="11046"/>
    <cellStyle name="Normal 130 5 3 4 2" xfId="21762"/>
    <cellStyle name="Normal 130 5 3 5" xfId="15106"/>
    <cellStyle name="Normal 130 5 4" xfId="5215"/>
    <cellStyle name="Normal 130 5 4 2" xfId="8550"/>
    <cellStyle name="Normal 130 5 4 2 2" xfId="19266"/>
    <cellStyle name="Normal 130 5 4 3" xfId="11878"/>
    <cellStyle name="Normal 130 5 4 3 2" xfId="22594"/>
    <cellStyle name="Normal 130 5 4 4" xfId="15938"/>
    <cellStyle name="Normal 130 5 5" xfId="6884"/>
    <cellStyle name="Normal 130 5 5 2" xfId="17602"/>
    <cellStyle name="Normal 130 5 6" xfId="10214"/>
    <cellStyle name="Normal 130 5 6 2" xfId="20930"/>
    <cellStyle name="Normal 130 5 7" xfId="14272"/>
    <cellStyle name="Normal 130 6" xfId="3731"/>
    <cellStyle name="Normal 130 6 2" xfId="4587"/>
    <cellStyle name="Normal 130 6 2 2" xfId="6255"/>
    <cellStyle name="Normal 130 6 2 2 2" xfId="9590"/>
    <cellStyle name="Normal 130 6 2 2 2 2" xfId="20306"/>
    <cellStyle name="Normal 130 6 2 2 3" xfId="12918"/>
    <cellStyle name="Normal 130 6 2 2 3 2" xfId="23634"/>
    <cellStyle name="Normal 130 6 2 2 4" xfId="16978"/>
    <cellStyle name="Normal 130 6 2 3" xfId="7926"/>
    <cellStyle name="Normal 130 6 2 3 2" xfId="18642"/>
    <cellStyle name="Normal 130 6 2 4" xfId="11254"/>
    <cellStyle name="Normal 130 6 2 4 2" xfId="21970"/>
    <cellStyle name="Normal 130 6 2 5" xfId="15314"/>
    <cellStyle name="Normal 130 6 3" xfId="5423"/>
    <cellStyle name="Normal 130 6 3 2" xfId="8758"/>
    <cellStyle name="Normal 130 6 3 2 2" xfId="19474"/>
    <cellStyle name="Normal 130 6 3 3" xfId="12086"/>
    <cellStyle name="Normal 130 6 3 3 2" xfId="22802"/>
    <cellStyle name="Normal 130 6 3 4" xfId="16146"/>
    <cellStyle name="Normal 130 6 4" xfId="7094"/>
    <cellStyle name="Normal 130 6 4 2" xfId="17810"/>
    <cellStyle name="Normal 130 6 5" xfId="10422"/>
    <cellStyle name="Normal 130 6 5 2" xfId="21138"/>
    <cellStyle name="Normal 130 6 6" xfId="14482"/>
    <cellStyle name="Normal 130 7" xfId="4169"/>
    <cellStyle name="Normal 130 7 2" xfId="5839"/>
    <cellStyle name="Normal 130 7 2 2" xfId="9174"/>
    <cellStyle name="Normal 130 7 2 2 2" xfId="19890"/>
    <cellStyle name="Normal 130 7 2 3" xfId="12502"/>
    <cellStyle name="Normal 130 7 2 3 2" xfId="23218"/>
    <cellStyle name="Normal 130 7 2 4" xfId="16562"/>
    <cellStyle name="Normal 130 7 3" xfId="7510"/>
    <cellStyle name="Normal 130 7 3 2" xfId="18226"/>
    <cellStyle name="Normal 130 7 4" xfId="10838"/>
    <cellStyle name="Normal 130 7 4 2" xfId="21554"/>
    <cellStyle name="Normal 130 7 5" xfId="14898"/>
    <cellStyle name="Normal 130 8" xfId="5004"/>
    <cellStyle name="Normal 130 8 2" xfId="8342"/>
    <cellStyle name="Normal 130 8 2 2" xfId="19058"/>
    <cellStyle name="Normal 130 8 3" xfId="11670"/>
    <cellStyle name="Normal 130 8 3 2" xfId="22386"/>
    <cellStyle name="Normal 130 8 4" xfId="15730"/>
    <cellStyle name="Normal 130 9" xfId="6674"/>
    <cellStyle name="Normal 130 9 2" xfId="17394"/>
    <cellStyle name="Normal 131" xfId="1169"/>
    <cellStyle name="Normal 131 2" xfId="2874"/>
    <cellStyle name="Normal 132" xfId="1170"/>
    <cellStyle name="Normal 132 2" xfId="2875"/>
    <cellStyle name="Normal 133" xfId="1171"/>
    <cellStyle name="Normal 133 10" xfId="10014"/>
    <cellStyle name="Normal 133 10 2" xfId="20730"/>
    <cellStyle name="Normal 133 11" xfId="14071"/>
    <cellStyle name="Normal 133 2" xfId="1172"/>
    <cellStyle name="Normal 133 2 10" xfId="14072"/>
    <cellStyle name="Normal 133 2 2" xfId="1173"/>
    <cellStyle name="Normal 133 2 2 2" xfId="1174"/>
    <cellStyle name="Normal 133 2 2 2 2" xfId="2879"/>
    <cellStyle name="Normal 133 2 2 2 2 2" xfId="3966"/>
    <cellStyle name="Normal 133 2 2 2 2 2 2" xfId="4806"/>
    <cellStyle name="Normal 133 2 2 2 2 2 2 2" xfId="6474"/>
    <cellStyle name="Normal 133 2 2 2 2 2 2 2 2" xfId="9809"/>
    <cellStyle name="Normal 133 2 2 2 2 2 2 2 2 2" xfId="20525"/>
    <cellStyle name="Normal 133 2 2 2 2 2 2 2 3" xfId="13137"/>
    <cellStyle name="Normal 133 2 2 2 2 2 2 2 3 2" xfId="23853"/>
    <cellStyle name="Normal 133 2 2 2 2 2 2 2 4" xfId="17197"/>
    <cellStyle name="Normal 133 2 2 2 2 2 2 3" xfId="8145"/>
    <cellStyle name="Normal 133 2 2 2 2 2 2 3 2" xfId="18861"/>
    <cellStyle name="Normal 133 2 2 2 2 2 2 4" xfId="11473"/>
    <cellStyle name="Normal 133 2 2 2 2 2 2 4 2" xfId="22189"/>
    <cellStyle name="Normal 133 2 2 2 2 2 2 5" xfId="15533"/>
    <cellStyle name="Normal 133 2 2 2 2 2 3" xfId="5642"/>
    <cellStyle name="Normal 133 2 2 2 2 2 3 2" xfId="8977"/>
    <cellStyle name="Normal 133 2 2 2 2 2 3 2 2" xfId="19693"/>
    <cellStyle name="Normal 133 2 2 2 2 2 3 3" xfId="12305"/>
    <cellStyle name="Normal 133 2 2 2 2 2 3 3 2" xfId="23021"/>
    <cellStyle name="Normal 133 2 2 2 2 2 3 4" xfId="16365"/>
    <cellStyle name="Normal 133 2 2 2 2 2 4" xfId="7313"/>
    <cellStyle name="Normal 133 2 2 2 2 2 4 2" xfId="18029"/>
    <cellStyle name="Normal 133 2 2 2 2 2 5" xfId="10641"/>
    <cellStyle name="Normal 133 2 2 2 2 2 5 2" xfId="21357"/>
    <cellStyle name="Normal 133 2 2 2 2 2 6" xfId="14701"/>
    <cellStyle name="Normal 133 2 2 2 2 3" xfId="4390"/>
    <cellStyle name="Normal 133 2 2 2 2 3 2" xfId="6058"/>
    <cellStyle name="Normal 133 2 2 2 2 3 2 2" xfId="9393"/>
    <cellStyle name="Normal 133 2 2 2 2 3 2 2 2" xfId="20109"/>
    <cellStyle name="Normal 133 2 2 2 2 3 2 3" xfId="12721"/>
    <cellStyle name="Normal 133 2 2 2 2 3 2 3 2" xfId="23437"/>
    <cellStyle name="Normal 133 2 2 2 2 3 2 4" xfId="16781"/>
    <cellStyle name="Normal 133 2 2 2 2 3 3" xfId="7729"/>
    <cellStyle name="Normal 133 2 2 2 2 3 3 2" xfId="18445"/>
    <cellStyle name="Normal 133 2 2 2 2 3 4" xfId="11057"/>
    <cellStyle name="Normal 133 2 2 2 2 3 4 2" xfId="21773"/>
    <cellStyle name="Normal 133 2 2 2 2 3 5" xfId="15117"/>
    <cellStyle name="Normal 133 2 2 2 2 4" xfId="5226"/>
    <cellStyle name="Normal 133 2 2 2 2 4 2" xfId="8561"/>
    <cellStyle name="Normal 133 2 2 2 2 4 2 2" xfId="19277"/>
    <cellStyle name="Normal 133 2 2 2 2 4 3" xfId="11889"/>
    <cellStyle name="Normal 133 2 2 2 2 4 3 2" xfId="22605"/>
    <cellStyle name="Normal 133 2 2 2 2 4 4" xfId="15949"/>
    <cellStyle name="Normal 133 2 2 2 2 5" xfId="6895"/>
    <cellStyle name="Normal 133 2 2 2 2 5 2" xfId="17613"/>
    <cellStyle name="Normal 133 2 2 2 2 6" xfId="10225"/>
    <cellStyle name="Normal 133 2 2 2 2 6 2" xfId="20941"/>
    <cellStyle name="Normal 133 2 2 2 2 7" xfId="14283"/>
    <cellStyle name="Normal 133 2 2 2 3" xfId="3742"/>
    <cellStyle name="Normal 133 2 2 2 3 2" xfId="4598"/>
    <cellStyle name="Normal 133 2 2 2 3 2 2" xfId="6266"/>
    <cellStyle name="Normal 133 2 2 2 3 2 2 2" xfId="9601"/>
    <cellStyle name="Normal 133 2 2 2 3 2 2 2 2" xfId="20317"/>
    <cellStyle name="Normal 133 2 2 2 3 2 2 3" xfId="12929"/>
    <cellStyle name="Normal 133 2 2 2 3 2 2 3 2" xfId="23645"/>
    <cellStyle name="Normal 133 2 2 2 3 2 2 4" xfId="16989"/>
    <cellStyle name="Normal 133 2 2 2 3 2 3" xfId="7937"/>
    <cellStyle name="Normal 133 2 2 2 3 2 3 2" xfId="18653"/>
    <cellStyle name="Normal 133 2 2 2 3 2 4" xfId="11265"/>
    <cellStyle name="Normal 133 2 2 2 3 2 4 2" xfId="21981"/>
    <cellStyle name="Normal 133 2 2 2 3 2 5" xfId="15325"/>
    <cellStyle name="Normal 133 2 2 2 3 3" xfId="5434"/>
    <cellStyle name="Normal 133 2 2 2 3 3 2" xfId="8769"/>
    <cellStyle name="Normal 133 2 2 2 3 3 2 2" xfId="19485"/>
    <cellStyle name="Normal 133 2 2 2 3 3 3" xfId="12097"/>
    <cellStyle name="Normal 133 2 2 2 3 3 3 2" xfId="22813"/>
    <cellStyle name="Normal 133 2 2 2 3 3 4" xfId="16157"/>
    <cellStyle name="Normal 133 2 2 2 3 4" xfId="7105"/>
    <cellStyle name="Normal 133 2 2 2 3 4 2" xfId="17821"/>
    <cellStyle name="Normal 133 2 2 2 3 5" xfId="10433"/>
    <cellStyle name="Normal 133 2 2 2 3 5 2" xfId="21149"/>
    <cellStyle name="Normal 133 2 2 2 3 6" xfId="14493"/>
    <cellStyle name="Normal 133 2 2 2 4" xfId="4180"/>
    <cellStyle name="Normal 133 2 2 2 4 2" xfId="5850"/>
    <cellStyle name="Normal 133 2 2 2 4 2 2" xfId="9185"/>
    <cellStyle name="Normal 133 2 2 2 4 2 2 2" xfId="19901"/>
    <cellStyle name="Normal 133 2 2 2 4 2 3" xfId="12513"/>
    <cellStyle name="Normal 133 2 2 2 4 2 3 2" xfId="23229"/>
    <cellStyle name="Normal 133 2 2 2 4 2 4" xfId="16573"/>
    <cellStyle name="Normal 133 2 2 2 4 3" xfId="7521"/>
    <cellStyle name="Normal 133 2 2 2 4 3 2" xfId="18237"/>
    <cellStyle name="Normal 133 2 2 2 4 4" xfId="10849"/>
    <cellStyle name="Normal 133 2 2 2 4 4 2" xfId="21565"/>
    <cellStyle name="Normal 133 2 2 2 4 5" xfId="14909"/>
    <cellStyle name="Normal 133 2 2 2 5" xfId="5015"/>
    <cellStyle name="Normal 133 2 2 2 5 2" xfId="8353"/>
    <cellStyle name="Normal 133 2 2 2 5 2 2" xfId="19069"/>
    <cellStyle name="Normal 133 2 2 2 5 3" xfId="11681"/>
    <cellStyle name="Normal 133 2 2 2 5 3 2" xfId="22397"/>
    <cellStyle name="Normal 133 2 2 2 5 4" xfId="15741"/>
    <cellStyle name="Normal 133 2 2 2 6" xfId="6685"/>
    <cellStyle name="Normal 133 2 2 2 6 2" xfId="17405"/>
    <cellStyle name="Normal 133 2 2 2 7" xfId="10017"/>
    <cellStyle name="Normal 133 2 2 2 7 2" xfId="20733"/>
    <cellStyle name="Normal 133 2 2 2 8" xfId="14074"/>
    <cellStyle name="Normal 133 2 2 3" xfId="2878"/>
    <cellStyle name="Normal 133 2 2 3 2" xfId="3965"/>
    <cellStyle name="Normal 133 2 2 3 2 2" xfId="4805"/>
    <cellStyle name="Normal 133 2 2 3 2 2 2" xfId="6473"/>
    <cellStyle name="Normal 133 2 2 3 2 2 2 2" xfId="9808"/>
    <cellStyle name="Normal 133 2 2 3 2 2 2 2 2" xfId="20524"/>
    <cellStyle name="Normal 133 2 2 3 2 2 2 3" xfId="13136"/>
    <cellStyle name="Normal 133 2 2 3 2 2 2 3 2" xfId="23852"/>
    <cellStyle name="Normal 133 2 2 3 2 2 2 4" xfId="17196"/>
    <cellStyle name="Normal 133 2 2 3 2 2 3" xfId="8144"/>
    <cellStyle name="Normal 133 2 2 3 2 2 3 2" xfId="18860"/>
    <cellStyle name="Normal 133 2 2 3 2 2 4" xfId="11472"/>
    <cellStyle name="Normal 133 2 2 3 2 2 4 2" xfId="22188"/>
    <cellStyle name="Normal 133 2 2 3 2 2 5" xfId="15532"/>
    <cellStyle name="Normal 133 2 2 3 2 3" xfId="5641"/>
    <cellStyle name="Normal 133 2 2 3 2 3 2" xfId="8976"/>
    <cellStyle name="Normal 133 2 2 3 2 3 2 2" xfId="19692"/>
    <cellStyle name="Normal 133 2 2 3 2 3 3" xfId="12304"/>
    <cellStyle name="Normal 133 2 2 3 2 3 3 2" xfId="23020"/>
    <cellStyle name="Normal 133 2 2 3 2 3 4" xfId="16364"/>
    <cellStyle name="Normal 133 2 2 3 2 4" xfId="7312"/>
    <cellStyle name="Normal 133 2 2 3 2 4 2" xfId="18028"/>
    <cellStyle name="Normal 133 2 2 3 2 5" xfId="10640"/>
    <cellStyle name="Normal 133 2 2 3 2 5 2" xfId="21356"/>
    <cellStyle name="Normal 133 2 2 3 2 6" xfId="14700"/>
    <cellStyle name="Normal 133 2 2 3 3" xfId="4389"/>
    <cellStyle name="Normal 133 2 2 3 3 2" xfId="6057"/>
    <cellStyle name="Normal 133 2 2 3 3 2 2" xfId="9392"/>
    <cellStyle name="Normal 133 2 2 3 3 2 2 2" xfId="20108"/>
    <cellStyle name="Normal 133 2 2 3 3 2 3" xfId="12720"/>
    <cellStyle name="Normal 133 2 2 3 3 2 3 2" xfId="23436"/>
    <cellStyle name="Normal 133 2 2 3 3 2 4" xfId="16780"/>
    <cellStyle name="Normal 133 2 2 3 3 3" xfId="7728"/>
    <cellStyle name="Normal 133 2 2 3 3 3 2" xfId="18444"/>
    <cellStyle name="Normal 133 2 2 3 3 4" xfId="11056"/>
    <cellStyle name="Normal 133 2 2 3 3 4 2" xfId="21772"/>
    <cellStyle name="Normal 133 2 2 3 3 5" xfId="15116"/>
    <cellStyle name="Normal 133 2 2 3 4" xfId="5225"/>
    <cellStyle name="Normal 133 2 2 3 4 2" xfId="8560"/>
    <cellStyle name="Normal 133 2 2 3 4 2 2" xfId="19276"/>
    <cellStyle name="Normal 133 2 2 3 4 3" xfId="11888"/>
    <cellStyle name="Normal 133 2 2 3 4 3 2" xfId="22604"/>
    <cellStyle name="Normal 133 2 2 3 4 4" xfId="15948"/>
    <cellStyle name="Normal 133 2 2 3 5" xfId="6894"/>
    <cellStyle name="Normal 133 2 2 3 5 2" xfId="17612"/>
    <cellStyle name="Normal 133 2 2 3 6" xfId="10224"/>
    <cellStyle name="Normal 133 2 2 3 6 2" xfId="20940"/>
    <cellStyle name="Normal 133 2 2 3 7" xfId="14282"/>
    <cellStyle name="Normal 133 2 2 4" xfId="3741"/>
    <cellStyle name="Normal 133 2 2 4 2" xfId="4597"/>
    <cellStyle name="Normal 133 2 2 4 2 2" xfId="6265"/>
    <cellStyle name="Normal 133 2 2 4 2 2 2" xfId="9600"/>
    <cellStyle name="Normal 133 2 2 4 2 2 2 2" xfId="20316"/>
    <cellStyle name="Normal 133 2 2 4 2 2 3" xfId="12928"/>
    <cellStyle name="Normal 133 2 2 4 2 2 3 2" xfId="23644"/>
    <cellStyle name="Normal 133 2 2 4 2 2 4" xfId="16988"/>
    <cellStyle name="Normal 133 2 2 4 2 3" xfId="7936"/>
    <cellStyle name="Normal 133 2 2 4 2 3 2" xfId="18652"/>
    <cellStyle name="Normal 133 2 2 4 2 4" xfId="11264"/>
    <cellStyle name="Normal 133 2 2 4 2 4 2" xfId="21980"/>
    <cellStyle name="Normal 133 2 2 4 2 5" xfId="15324"/>
    <cellStyle name="Normal 133 2 2 4 3" xfId="5433"/>
    <cellStyle name="Normal 133 2 2 4 3 2" xfId="8768"/>
    <cellStyle name="Normal 133 2 2 4 3 2 2" xfId="19484"/>
    <cellStyle name="Normal 133 2 2 4 3 3" xfId="12096"/>
    <cellStyle name="Normal 133 2 2 4 3 3 2" xfId="22812"/>
    <cellStyle name="Normal 133 2 2 4 3 4" xfId="16156"/>
    <cellStyle name="Normal 133 2 2 4 4" xfId="7104"/>
    <cellStyle name="Normal 133 2 2 4 4 2" xfId="17820"/>
    <cellStyle name="Normal 133 2 2 4 5" xfId="10432"/>
    <cellStyle name="Normal 133 2 2 4 5 2" xfId="21148"/>
    <cellStyle name="Normal 133 2 2 4 6" xfId="14492"/>
    <cellStyle name="Normal 133 2 2 5" xfId="4179"/>
    <cellStyle name="Normal 133 2 2 5 2" xfId="5849"/>
    <cellStyle name="Normal 133 2 2 5 2 2" xfId="9184"/>
    <cellStyle name="Normal 133 2 2 5 2 2 2" xfId="19900"/>
    <cellStyle name="Normal 133 2 2 5 2 3" xfId="12512"/>
    <cellStyle name="Normal 133 2 2 5 2 3 2" xfId="23228"/>
    <cellStyle name="Normal 133 2 2 5 2 4" xfId="16572"/>
    <cellStyle name="Normal 133 2 2 5 3" xfId="7520"/>
    <cellStyle name="Normal 133 2 2 5 3 2" xfId="18236"/>
    <cellStyle name="Normal 133 2 2 5 4" xfId="10848"/>
    <cellStyle name="Normal 133 2 2 5 4 2" xfId="21564"/>
    <cellStyle name="Normal 133 2 2 5 5" xfId="14908"/>
    <cellStyle name="Normal 133 2 2 6" xfId="5014"/>
    <cellStyle name="Normal 133 2 2 6 2" xfId="8352"/>
    <cellStyle name="Normal 133 2 2 6 2 2" xfId="19068"/>
    <cellStyle name="Normal 133 2 2 6 3" xfId="11680"/>
    <cellStyle name="Normal 133 2 2 6 3 2" xfId="22396"/>
    <cellStyle name="Normal 133 2 2 6 4" xfId="15740"/>
    <cellStyle name="Normal 133 2 2 7" xfId="6684"/>
    <cellStyle name="Normal 133 2 2 7 2" xfId="17404"/>
    <cellStyle name="Normal 133 2 2 8" xfId="10016"/>
    <cellStyle name="Normal 133 2 2 8 2" xfId="20732"/>
    <cellStyle name="Normal 133 2 2 9" xfId="14073"/>
    <cellStyle name="Normal 133 2 3" xfId="1175"/>
    <cellStyle name="Normal 133 2 3 2" xfId="2880"/>
    <cellStyle name="Normal 133 2 3 2 2" xfId="3967"/>
    <cellStyle name="Normal 133 2 3 2 2 2" xfId="4807"/>
    <cellStyle name="Normal 133 2 3 2 2 2 2" xfId="6475"/>
    <cellStyle name="Normal 133 2 3 2 2 2 2 2" xfId="9810"/>
    <cellStyle name="Normal 133 2 3 2 2 2 2 2 2" xfId="20526"/>
    <cellStyle name="Normal 133 2 3 2 2 2 2 3" xfId="13138"/>
    <cellStyle name="Normal 133 2 3 2 2 2 2 3 2" xfId="23854"/>
    <cellStyle name="Normal 133 2 3 2 2 2 2 4" xfId="17198"/>
    <cellStyle name="Normal 133 2 3 2 2 2 3" xfId="8146"/>
    <cellStyle name="Normal 133 2 3 2 2 2 3 2" xfId="18862"/>
    <cellStyle name="Normal 133 2 3 2 2 2 4" xfId="11474"/>
    <cellStyle name="Normal 133 2 3 2 2 2 4 2" xfId="22190"/>
    <cellStyle name="Normal 133 2 3 2 2 2 5" xfId="15534"/>
    <cellStyle name="Normal 133 2 3 2 2 3" xfId="5643"/>
    <cellStyle name="Normal 133 2 3 2 2 3 2" xfId="8978"/>
    <cellStyle name="Normal 133 2 3 2 2 3 2 2" xfId="19694"/>
    <cellStyle name="Normal 133 2 3 2 2 3 3" xfId="12306"/>
    <cellStyle name="Normal 133 2 3 2 2 3 3 2" xfId="23022"/>
    <cellStyle name="Normal 133 2 3 2 2 3 4" xfId="16366"/>
    <cellStyle name="Normal 133 2 3 2 2 4" xfId="7314"/>
    <cellStyle name="Normal 133 2 3 2 2 4 2" xfId="18030"/>
    <cellStyle name="Normal 133 2 3 2 2 5" xfId="10642"/>
    <cellStyle name="Normal 133 2 3 2 2 5 2" xfId="21358"/>
    <cellStyle name="Normal 133 2 3 2 2 6" xfId="14702"/>
    <cellStyle name="Normal 133 2 3 2 3" xfId="4391"/>
    <cellStyle name="Normal 133 2 3 2 3 2" xfId="6059"/>
    <cellStyle name="Normal 133 2 3 2 3 2 2" xfId="9394"/>
    <cellStyle name="Normal 133 2 3 2 3 2 2 2" xfId="20110"/>
    <cellStyle name="Normal 133 2 3 2 3 2 3" xfId="12722"/>
    <cellStyle name="Normal 133 2 3 2 3 2 3 2" xfId="23438"/>
    <cellStyle name="Normal 133 2 3 2 3 2 4" xfId="16782"/>
    <cellStyle name="Normal 133 2 3 2 3 3" xfId="7730"/>
    <cellStyle name="Normal 133 2 3 2 3 3 2" xfId="18446"/>
    <cellStyle name="Normal 133 2 3 2 3 4" xfId="11058"/>
    <cellStyle name="Normal 133 2 3 2 3 4 2" xfId="21774"/>
    <cellStyle name="Normal 133 2 3 2 3 5" xfId="15118"/>
    <cellStyle name="Normal 133 2 3 2 4" xfId="5227"/>
    <cellStyle name="Normal 133 2 3 2 4 2" xfId="8562"/>
    <cellStyle name="Normal 133 2 3 2 4 2 2" xfId="19278"/>
    <cellStyle name="Normal 133 2 3 2 4 3" xfId="11890"/>
    <cellStyle name="Normal 133 2 3 2 4 3 2" xfId="22606"/>
    <cellStyle name="Normal 133 2 3 2 4 4" xfId="15950"/>
    <cellStyle name="Normal 133 2 3 2 5" xfId="6896"/>
    <cellStyle name="Normal 133 2 3 2 5 2" xfId="17614"/>
    <cellStyle name="Normal 133 2 3 2 6" xfId="10226"/>
    <cellStyle name="Normal 133 2 3 2 6 2" xfId="20942"/>
    <cellStyle name="Normal 133 2 3 2 7" xfId="14284"/>
    <cellStyle name="Normal 133 2 3 3" xfId="3743"/>
    <cellStyle name="Normal 133 2 3 3 2" xfId="4599"/>
    <cellStyle name="Normal 133 2 3 3 2 2" xfId="6267"/>
    <cellStyle name="Normal 133 2 3 3 2 2 2" xfId="9602"/>
    <cellStyle name="Normal 133 2 3 3 2 2 2 2" xfId="20318"/>
    <cellStyle name="Normal 133 2 3 3 2 2 3" xfId="12930"/>
    <cellStyle name="Normal 133 2 3 3 2 2 3 2" xfId="23646"/>
    <cellStyle name="Normal 133 2 3 3 2 2 4" xfId="16990"/>
    <cellStyle name="Normal 133 2 3 3 2 3" xfId="7938"/>
    <cellStyle name="Normal 133 2 3 3 2 3 2" xfId="18654"/>
    <cellStyle name="Normal 133 2 3 3 2 4" xfId="11266"/>
    <cellStyle name="Normal 133 2 3 3 2 4 2" xfId="21982"/>
    <cellStyle name="Normal 133 2 3 3 2 5" xfId="15326"/>
    <cellStyle name="Normal 133 2 3 3 3" xfId="5435"/>
    <cellStyle name="Normal 133 2 3 3 3 2" xfId="8770"/>
    <cellStyle name="Normal 133 2 3 3 3 2 2" xfId="19486"/>
    <cellStyle name="Normal 133 2 3 3 3 3" xfId="12098"/>
    <cellStyle name="Normal 133 2 3 3 3 3 2" xfId="22814"/>
    <cellStyle name="Normal 133 2 3 3 3 4" xfId="16158"/>
    <cellStyle name="Normal 133 2 3 3 4" xfId="7106"/>
    <cellStyle name="Normal 133 2 3 3 4 2" xfId="17822"/>
    <cellStyle name="Normal 133 2 3 3 5" xfId="10434"/>
    <cellStyle name="Normal 133 2 3 3 5 2" xfId="21150"/>
    <cellStyle name="Normal 133 2 3 3 6" xfId="14494"/>
    <cellStyle name="Normal 133 2 3 4" xfId="4181"/>
    <cellStyle name="Normal 133 2 3 4 2" xfId="5851"/>
    <cellStyle name="Normal 133 2 3 4 2 2" xfId="9186"/>
    <cellStyle name="Normal 133 2 3 4 2 2 2" xfId="19902"/>
    <cellStyle name="Normal 133 2 3 4 2 3" xfId="12514"/>
    <cellStyle name="Normal 133 2 3 4 2 3 2" xfId="23230"/>
    <cellStyle name="Normal 133 2 3 4 2 4" xfId="16574"/>
    <cellStyle name="Normal 133 2 3 4 3" xfId="7522"/>
    <cellStyle name="Normal 133 2 3 4 3 2" xfId="18238"/>
    <cellStyle name="Normal 133 2 3 4 4" xfId="10850"/>
    <cellStyle name="Normal 133 2 3 4 4 2" xfId="21566"/>
    <cellStyle name="Normal 133 2 3 4 5" xfId="14910"/>
    <cellStyle name="Normal 133 2 3 5" xfId="5016"/>
    <cellStyle name="Normal 133 2 3 5 2" xfId="8354"/>
    <cellStyle name="Normal 133 2 3 5 2 2" xfId="19070"/>
    <cellStyle name="Normal 133 2 3 5 3" xfId="11682"/>
    <cellStyle name="Normal 133 2 3 5 3 2" xfId="22398"/>
    <cellStyle name="Normal 133 2 3 5 4" xfId="15742"/>
    <cellStyle name="Normal 133 2 3 6" xfId="6686"/>
    <cellStyle name="Normal 133 2 3 6 2" xfId="17406"/>
    <cellStyle name="Normal 133 2 3 7" xfId="10018"/>
    <cellStyle name="Normal 133 2 3 7 2" xfId="20734"/>
    <cellStyle name="Normal 133 2 3 8" xfId="14075"/>
    <cellStyle name="Normal 133 2 4" xfId="2877"/>
    <cellStyle name="Normal 133 2 4 2" xfId="3964"/>
    <cellStyle name="Normal 133 2 4 2 2" xfId="4804"/>
    <cellStyle name="Normal 133 2 4 2 2 2" xfId="6472"/>
    <cellStyle name="Normal 133 2 4 2 2 2 2" xfId="9807"/>
    <cellStyle name="Normal 133 2 4 2 2 2 2 2" xfId="20523"/>
    <cellStyle name="Normal 133 2 4 2 2 2 3" xfId="13135"/>
    <cellStyle name="Normal 133 2 4 2 2 2 3 2" xfId="23851"/>
    <cellStyle name="Normal 133 2 4 2 2 2 4" xfId="17195"/>
    <cellStyle name="Normal 133 2 4 2 2 3" xfId="8143"/>
    <cellStyle name="Normal 133 2 4 2 2 3 2" xfId="18859"/>
    <cellStyle name="Normal 133 2 4 2 2 4" xfId="11471"/>
    <cellStyle name="Normal 133 2 4 2 2 4 2" xfId="22187"/>
    <cellStyle name="Normal 133 2 4 2 2 5" xfId="15531"/>
    <cellStyle name="Normal 133 2 4 2 3" xfId="5640"/>
    <cellStyle name="Normal 133 2 4 2 3 2" xfId="8975"/>
    <cellStyle name="Normal 133 2 4 2 3 2 2" xfId="19691"/>
    <cellStyle name="Normal 133 2 4 2 3 3" xfId="12303"/>
    <cellStyle name="Normal 133 2 4 2 3 3 2" xfId="23019"/>
    <cellStyle name="Normal 133 2 4 2 3 4" xfId="16363"/>
    <cellStyle name="Normal 133 2 4 2 4" xfId="7311"/>
    <cellStyle name="Normal 133 2 4 2 4 2" xfId="18027"/>
    <cellStyle name="Normal 133 2 4 2 5" xfId="10639"/>
    <cellStyle name="Normal 133 2 4 2 5 2" xfId="21355"/>
    <cellStyle name="Normal 133 2 4 2 6" xfId="14699"/>
    <cellStyle name="Normal 133 2 4 3" xfId="4388"/>
    <cellStyle name="Normal 133 2 4 3 2" xfId="6056"/>
    <cellStyle name="Normal 133 2 4 3 2 2" xfId="9391"/>
    <cellStyle name="Normal 133 2 4 3 2 2 2" xfId="20107"/>
    <cellStyle name="Normal 133 2 4 3 2 3" xfId="12719"/>
    <cellStyle name="Normal 133 2 4 3 2 3 2" xfId="23435"/>
    <cellStyle name="Normal 133 2 4 3 2 4" xfId="16779"/>
    <cellStyle name="Normal 133 2 4 3 3" xfId="7727"/>
    <cellStyle name="Normal 133 2 4 3 3 2" xfId="18443"/>
    <cellStyle name="Normal 133 2 4 3 4" xfId="11055"/>
    <cellStyle name="Normal 133 2 4 3 4 2" xfId="21771"/>
    <cellStyle name="Normal 133 2 4 3 5" xfId="15115"/>
    <cellStyle name="Normal 133 2 4 4" xfId="5224"/>
    <cellStyle name="Normal 133 2 4 4 2" xfId="8559"/>
    <cellStyle name="Normal 133 2 4 4 2 2" xfId="19275"/>
    <cellStyle name="Normal 133 2 4 4 3" xfId="11887"/>
    <cellStyle name="Normal 133 2 4 4 3 2" xfId="22603"/>
    <cellStyle name="Normal 133 2 4 4 4" xfId="15947"/>
    <cellStyle name="Normal 133 2 4 5" xfId="6893"/>
    <cellStyle name="Normal 133 2 4 5 2" xfId="17611"/>
    <cellStyle name="Normal 133 2 4 6" xfId="10223"/>
    <cellStyle name="Normal 133 2 4 6 2" xfId="20939"/>
    <cellStyle name="Normal 133 2 4 7" xfId="14281"/>
    <cellStyle name="Normal 133 2 5" xfId="3740"/>
    <cellStyle name="Normal 133 2 5 2" xfId="4596"/>
    <cellStyle name="Normal 133 2 5 2 2" xfId="6264"/>
    <cellStyle name="Normal 133 2 5 2 2 2" xfId="9599"/>
    <cellStyle name="Normal 133 2 5 2 2 2 2" xfId="20315"/>
    <cellStyle name="Normal 133 2 5 2 2 3" xfId="12927"/>
    <cellStyle name="Normal 133 2 5 2 2 3 2" xfId="23643"/>
    <cellStyle name="Normal 133 2 5 2 2 4" xfId="16987"/>
    <cellStyle name="Normal 133 2 5 2 3" xfId="7935"/>
    <cellStyle name="Normal 133 2 5 2 3 2" xfId="18651"/>
    <cellStyle name="Normal 133 2 5 2 4" xfId="11263"/>
    <cellStyle name="Normal 133 2 5 2 4 2" xfId="21979"/>
    <cellStyle name="Normal 133 2 5 2 5" xfId="15323"/>
    <cellStyle name="Normal 133 2 5 3" xfId="5432"/>
    <cellStyle name="Normal 133 2 5 3 2" xfId="8767"/>
    <cellStyle name="Normal 133 2 5 3 2 2" xfId="19483"/>
    <cellStyle name="Normal 133 2 5 3 3" xfId="12095"/>
    <cellStyle name="Normal 133 2 5 3 3 2" xfId="22811"/>
    <cellStyle name="Normal 133 2 5 3 4" xfId="16155"/>
    <cellStyle name="Normal 133 2 5 4" xfId="7103"/>
    <cellStyle name="Normal 133 2 5 4 2" xfId="17819"/>
    <cellStyle name="Normal 133 2 5 5" xfId="10431"/>
    <cellStyle name="Normal 133 2 5 5 2" xfId="21147"/>
    <cellStyle name="Normal 133 2 5 6" xfId="14491"/>
    <cellStyle name="Normal 133 2 6" xfId="4178"/>
    <cellStyle name="Normal 133 2 6 2" xfId="5848"/>
    <cellStyle name="Normal 133 2 6 2 2" xfId="9183"/>
    <cellStyle name="Normal 133 2 6 2 2 2" xfId="19899"/>
    <cellStyle name="Normal 133 2 6 2 3" xfId="12511"/>
    <cellStyle name="Normal 133 2 6 2 3 2" xfId="23227"/>
    <cellStyle name="Normal 133 2 6 2 4" xfId="16571"/>
    <cellStyle name="Normal 133 2 6 3" xfId="7519"/>
    <cellStyle name="Normal 133 2 6 3 2" xfId="18235"/>
    <cellStyle name="Normal 133 2 6 4" xfId="10847"/>
    <cellStyle name="Normal 133 2 6 4 2" xfId="21563"/>
    <cellStyle name="Normal 133 2 6 5" xfId="14907"/>
    <cellStyle name="Normal 133 2 7" xfId="5013"/>
    <cellStyle name="Normal 133 2 7 2" xfId="8351"/>
    <cellStyle name="Normal 133 2 7 2 2" xfId="19067"/>
    <cellStyle name="Normal 133 2 7 3" xfId="11679"/>
    <cellStyle name="Normal 133 2 7 3 2" xfId="22395"/>
    <cellStyle name="Normal 133 2 7 4" xfId="15739"/>
    <cellStyle name="Normal 133 2 8" xfId="6683"/>
    <cellStyle name="Normal 133 2 8 2" xfId="17403"/>
    <cellStyle name="Normal 133 2 9" xfId="10015"/>
    <cellStyle name="Normal 133 2 9 2" xfId="20731"/>
    <cellStyle name="Normal 133 3" xfId="1176"/>
    <cellStyle name="Normal 133 3 2" xfId="1177"/>
    <cellStyle name="Normal 133 3 2 2" xfId="2882"/>
    <cellStyle name="Normal 133 3 2 2 2" xfId="3969"/>
    <cellStyle name="Normal 133 3 2 2 2 2" xfId="4809"/>
    <cellStyle name="Normal 133 3 2 2 2 2 2" xfId="6477"/>
    <cellStyle name="Normal 133 3 2 2 2 2 2 2" xfId="9812"/>
    <cellStyle name="Normal 133 3 2 2 2 2 2 2 2" xfId="20528"/>
    <cellStyle name="Normal 133 3 2 2 2 2 2 3" xfId="13140"/>
    <cellStyle name="Normal 133 3 2 2 2 2 2 3 2" xfId="23856"/>
    <cellStyle name="Normal 133 3 2 2 2 2 2 4" xfId="17200"/>
    <cellStyle name="Normal 133 3 2 2 2 2 3" xfId="8148"/>
    <cellStyle name="Normal 133 3 2 2 2 2 3 2" xfId="18864"/>
    <cellStyle name="Normal 133 3 2 2 2 2 4" xfId="11476"/>
    <cellStyle name="Normal 133 3 2 2 2 2 4 2" xfId="22192"/>
    <cellStyle name="Normal 133 3 2 2 2 2 5" xfId="15536"/>
    <cellStyle name="Normal 133 3 2 2 2 3" xfId="5645"/>
    <cellStyle name="Normal 133 3 2 2 2 3 2" xfId="8980"/>
    <cellStyle name="Normal 133 3 2 2 2 3 2 2" xfId="19696"/>
    <cellStyle name="Normal 133 3 2 2 2 3 3" xfId="12308"/>
    <cellStyle name="Normal 133 3 2 2 2 3 3 2" xfId="23024"/>
    <cellStyle name="Normal 133 3 2 2 2 3 4" xfId="16368"/>
    <cellStyle name="Normal 133 3 2 2 2 4" xfId="7316"/>
    <cellStyle name="Normal 133 3 2 2 2 4 2" xfId="18032"/>
    <cellStyle name="Normal 133 3 2 2 2 5" xfId="10644"/>
    <cellStyle name="Normal 133 3 2 2 2 5 2" xfId="21360"/>
    <cellStyle name="Normal 133 3 2 2 2 6" xfId="14704"/>
    <cellStyle name="Normal 133 3 2 2 3" xfId="4393"/>
    <cellStyle name="Normal 133 3 2 2 3 2" xfId="6061"/>
    <cellStyle name="Normal 133 3 2 2 3 2 2" xfId="9396"/>
    <cellStyle name="Normal 133 3 2 2 3 2 2 2" xfId="20112"/>
    <cellStyle name="Normal 133 3 2 2 3 2 3" xfId="12724"/>
    <cellStyle name="Normal 133 3 2 2 3 2 3 2" xfId="23440"/>
    <cellStyle name="Normal 133 3 2 2 3 2 4" xfId="16784"/>
    <cellStyle name="Normal 133 3 2 2 3 3" xfId="7732"/>
    <cellStyle name="Normal 133 3 2 2 3 3 2" xfId="18448"/>
    <cellStyle name="Normal 133 3 2 2 3 4" xfId="11060"/>
    <cellStyle name="Normal 133 3 2 2 3 4 2" xfId="21776"/>
    <cellStyle name="Normal 133 3 2 2 3 5" xfId="15120"/>
    <cellStyle name="Normal 133 3 2 2 4" xfId="5229"/>
    <cellStyle name="Normal 133 3 2 2 4 2" xfId="8564"/>
    <cellStyle name="Normal 133 3 2 2 4 2 2" xfId="19280"/>
    <cellStyle name="Normal 133 3 2 2 4 3" xfId="11892"/>
    <cellStyle name="Normal 133 3 2 2 4 3 2" xfId="22608"/>
    <cellStyle name="Normal 133 3 2 2 4 4" xfId="15952"/>
    <cellStyle name="Normal 133 3 2 2 5" xfId="6898"/>
    <cellStyle name="Normal 133 3 2 2 5 2" xfId="17616"/>
    <cellStyle name="Normal 133 3 2 2 6" xfId="10228"/>
    <cellStyle name="Normal 133 3 2 2 6 2" xfId="20944"/>
    <cellStyle name="Normal 133 3 2 2 7" xfId="14286"/>
    <cellStyle name="Normal 133 3 2 3" xfId="3745"/>
    <cellStyle name="Normal 133 3 2 3 2" xfId="4601"/>
    <cellStyle name="Normal 133 3 2 3 2 2" xfId="6269"/>
    <cellStyle name="Normal 133 3 2 3 2 2 2" xfId="9604"/>
    <cellStyle name="Normal 133 3 2 3 2 2 2 2" xfId="20320"/>
    <cellStyle name="Normal 133 3 2 3 2 2 3" xfId="12932"/>
    <cellStyle name="Normal 133 3 2 3 2 2 3 2" xfId="23648"/>
    <cellStyle name="Normal 133 3 2 3 2 2 4" xfId="16992"/>
    <cellStyle name="Normal 133 3 2 3 2 3" xfId="7940"/>
    <cellStyle name="Normal 133 3 2 3 2 3 2" xfId="18656"/>
    <cellStyle name="Normal 133 3 2 3 2 4" xfId="11268"/>
    <cellStyle name="Normal 133 3 2 3 2 4 2" xfId="21984"/>
    <cellStyle name="Normal 133 3 2 3 2 5" xfId="15328"/>
    <cellStyle name="Normal 133 3 2 3 3" xfId="5437"/>
    <cellStyle name="Normal 133 3 2 3 3 2" xfId="8772"/>
    <cellStyle name="Normal 133 3 2 3 3 2 2" xfId="19488"/>
    <cellStyle name="Normal 133 3 2 3 3 3" xfId="12100"/>
    <cellStyle name="Normal 133 3 2 3 3 3 2" xfId="22816"/>
    <cellStyle name="Normal 133 3 2 3 3 4" xfId="16160"/>
    <cellStyle name="Normal 133 3 2 3 4" xfId="7108"/>
    <cellStyle name="Normal 133 3 2 3 4 2" xfId="17824"/>
    <cellStyle name="Normal 133 3 2 3 5" xfId="10436"/>
    <cellStyle name="Normal 133 3 2 3 5 2" xfId="21152"/>
    <cellStyle name="Normal 133 3 2 3 6" xfId="14496"/>
    <cellStyle name="Normal 133 3 2 4" xfId="4183"/>
    <cellStyle name="Normal 133 3 2 4 2" xfId="5853"/>
    <cellStyle name="Normal 133 3 2 4 2 2" xfId="9188"/>
    <cellStyle name="Normal 133 3 2 4 2 2 2" xfId="19904"/>
    <cellStyle name="Normal 133 3 2 4 2 3" xfId="12516"/>
    <cellStyle name="Normal 133 3 2 4 2 3 2" xfId="23232"/>
    <cellStyle name="Normal 133 3 2 4 2 4" xfId="16576"/>
    <cellStyle name="Normal 133 3 2 4 3" xfId="7524"/>
    <cellStyle name="Normal 133 3 2 4 3 2" xfId="18240"/>
    <cellStyle name="Normal 133 3 2 4 4" xfId="10852"/>
    <cellStyle name="Normal 133 3 2 4 4 2" xfId="21568"/>
    <cellStyle name="Normal 133 3 2 4 5" xfId="14912"/>
    <cellStyle name="Normal 133 3 2 5" xfId="5018"/>
    <cellStyle name="Normal 133 3 2 5 2" xfId="8356"/>
    <cellStyle name="Normal 133 3 2 5 2 2" xfId="19072"/>
    <cellStyle name="Normal 133 3 2 5 3" xfId="11684"/>
    <cellStyle name="Normal 133 3 2 5 3 2" xfId="22400"/>
    <cellStyle name="Normal 133 3 2 5 4" xfId="15744"/>
    <cellStyle name="Normal 133 3 2 6" xfId="6688"/>
    <cellStyle name="Normal 133 3 2 6 2" xfId="17408"/>
    <cellStyle name="Normal 133 3 2 7" xfId="10020"/>
    <cellStyle name="Normal 133 3 2 7 2" xfId="20736"/>
    <cellStyle name="Normal 133 3 2 8" xfId="14077"/>
    <cellStyle name="Normal 133 3 3" xfId="2881"/>
    <cellStyle name="Normal 133 3 3 2" xfId="3968"/>
    <cellStyle name="Normal 133 3 3 2 2" xfId="4808"/>
    <cellStyle name="Normal 133 3 3 2 2 2" xfId="6476"/>
    <cellStyle name="Normal 133 3 3 2 2 2 2" xfId="9811"/>
    <cellStyle name="Normal 133 3 3 2 2 2 2 2" xfId="20527"/>
    <cellStyle name="Normal 133 3 3 2 2 2 3" xfId="13139"/>
    <cellStyle name="Normal 133 3 3 2 2 2 3 2" xfId="23855"/>
    <cellStyle name="Normal 133 3 3 2 2 2 4" xfId="17199"/>
    <cellStyle name="Normal 133 3 3 2 2 3" xfId="8147"/>
    <cellStyle name="Normal 133 3 3 2 2 3 2" xfId="18863"/>
    <cellStyle name="Normal 133 3 3 2 2 4" xfId="11475"/>
    <cellStyle name="Normal 133 3 3 2 2 4 2" xfId="22191"/>
    <cellStyle name="Normal 133 3 3 2 2 5" xfId="15535"/>
    <cellStyle name="Normal 133 3 3 2 3" xfId="5644"/>
    <cellStyle name="Normal 133 3 3 2 3 2" xfId="8979"/>
    <cellStyle name="Normal 133 3 3 2 3 2 2" xfId="19695"/>
    <cellStyle name="Normal 133 3 3 2 3 3" xfId="12307"/>
    <cellStyle name="Normal 133 3 3 2 3 3 2" xfId="23023"/>
    <cellStyle name="Normal 133 3 3 2 3 4" xfId="16367"/>
    <cellStyle name="Normal 133 3 3 2 4" xfId="7315"/>
    <cellStyle name="Normal 133 3 3 2 4 2" xfId="18031"/>
    <cellStyle name="Normal 133 3 3 2 5" xfId="10643"/>
    <cellStyle name="Normal 133 3 3 2 5 2" xfId="21359"/>
    <cellStyle name="Normal 133 3 3 2 6" xfId="14703"/>
    <cellStyle name="Normal 133 3 3 3" xfId="4392"/>
    <cellStyle name="Normal 133 3 3 3 2" xfId="6060"/>
    <cellStyle name="Normal 133 3 3 3 2 2" xfId="9395"/>
    <cellStyle name="Normal 133 3 3 3 2 2 2" xfId="20111"/>
    <cellStyle name="Normal 133 3 3 3 2 3" xfId="12723"/>
    <cellStyle name="Normal 133 3 3 3 2 3 2" xfId="23439"/>
    <cellStyle name="Normal 133 3 3 3 2 4" xfId="16783"/>
    <cellStyle name="Normal 133 3 3 3 3" xfId="7731"/>
    <cellStyle name="Normal 133 3 3 3 3 2" xfId="18447"/>
    <cellStyle name="Normal 133 3 3 3 4" xfId="11059"/>
    <cellStyle name="Normal 133 3 3 3 4 2" xfId="21775"/>
    <cellStyle name="Normal 133 3 3 3 5" xfId="15119"/>
    <cellStyle name="Normal 133 3 3 4" xfId="5228"/>
    <cellStyle name="Normal 133 3 3 4 2" xfId="8563"/>
    <cellStyle name="Normal 133 3 3 4 2 2" xfId="19279"/>
    <cellStyle name="Normal 133 3 3 4 3" xfId="11891"/>
    <cellStyle name="Normal 133 3 3 4 3 2" xfId="22607"/>
    <cellStyle name="Normal 133 3 3 4 4" xfId="15951"/>
    <cellStyle name="Normal 133 3 3 5" xfId="6897"/>
    <cellStyle name="Normal 133 3 3 5 2" xfId="17615"/>
    <cellStyle name="Normal 133 3 3 6" xfId="10227"/>
    <cellStyle name="Normal 133 3 3 6 2" xfId="20943"/>
    <cellStyle name="Normal 133 3 3 7" xfId="14285"/>
    <cellStyle name="Normal 133 3 4" xfId="3744"/>
    <cellStyle name="Normal 133 3 4 2" xfId="4600"/>
    <cellStyle name="Normal 133 3 4 2 2" xfId="6268"/>
    <cellStyle name="Normal 133 3 4 2 2 2" xfId="9603"/>
    <cellStyle name="Normal 133 3 4 2 2 2 2" xfId="20319"/>
    <cellStyle name="Normal 133 3 4 2 2 3" xfId="12931"/>
    <cellStyle name="Normal 133 3 4 2 2 3 2" xfId="23647"/>
    <cellStyle name="Normal 133 3 4 2 2 4" xfId="16991"/>
    <cellStyle name="Normal 133 3 4 2 3" xfId="7939"/>
    <cellStyle name="Normal 133 3 4 2 3 2" xfId="18655"/>
    <cellStyle name="Normal 133 3 4 2 4" xfId="11267"/>
    <cellStyle name="Normal 133 3 4 2 4 2" xfId="21983"/>
    <cellStyle name="Normal 133 3 4 2 5" xfId="15327"/>
    <cellStyle name="Normal 133 3 4 3" xfId="5436"/>
    <cellStyle name="Normal 133 3 4 3 2" xfId="8771"/>
    <cellStyle name="Normal 133 3 4 3 2 2" xfId="19487"/>
    <cellStyle name="Normal 133 3 4 3 3" xfId="12099"/>
    <cellStyle name="Normal 133 3 4 3 3 2" xfId="22815"/>
    <cellStyle name="Normal 133 3 4 3 4" xfId="16159"/>
    <cellStyle name="Normal 133 3 4 4" xfId="7107"/>
    <cellStyle name="Normal 133 3 4 4 2" xfId="17823"/>
    <cellStyle name="Normal 133 3 4 5" xfId="10435"/>
    <cellStyle name="Normal 133 3 4 5 2" xfId="21151"/>
    <cellStyle name="Normal 133 3 4 6" xfId="14495"/>
    <cellStyle name="Normal 133 3 5" xfId="4182"/>
    <cellStyle name="Normal 133 3 5 2" xfId="5852"/>
    <cellStyle name="Normal 133 3 5 2 2" xfId="9187"/>
    <cellStyle name="Normal 133 3 5 2 2 2" xfId="19903"/>
    <cellStyle name="Normal 133 3 5 2 3" xfId="12515"/>
    <cellStyle name="Normal 133 3 5 2 3 2" xfId="23231"/>
    <cellStyle name="Normal 133 3 5 2 4" xfId="16575"/>
    <cellStyle name="Normal 133 3 5 3" xfId="7523"/>
    <cellStyle name="Normal 133 3 5 3 2" xfId="18239"/>
    <cellStyle name="Normal 133 3 5 4" xfId="10851"/>
    <cellStyle name="Normal 133 3 5 4 2" xfId="21567"/>
    <cellStyle name="Normal 133 3 5 5" xfId="14911"/>
    <cellStyle name="Normal 133 3 6" xfId="5017"/>
    <cellStyle name="Normal 133 3 6 2" xfId="8355"/>
    <cellStyle name="Normal 133 3 6 2 2" xfId="19071"/>
    <cellStyle name="Normal 133 3 6 3" xfId="11683"/>
    <cellStyle name="Normal 133 3 6 3 2" xfId="22399"/>
    <cellStyle name="Normal 133 3 6 4" xfId="15743"/>
    <cellStyle name="Normal 133 3 7" xfId="6687"/>
    <cellStyle name="Normal 133 3 7 2" xfId="17407"/>
    <cellStyle name="Normal 133 3 8" xfId="10019"/>
    <cellStyle name="Normal 133 3 8 2" xfId="20735"/>
    <cellStyle name="Normal 133 3 9" xfId="14076"/>
    <cellStyle name="Normal 133 4" xfId="1178"/>
    <cellStyle name="Normal 133 4 2" xfId="2883"/>
    <cellStyle name="Normal 133 4 2 2" xfId="3970"/>
    <cellStyle name="Normal 133 4 2 2 2" xfId="4810"/>
    <cellStyle name="Normal 133 4 2 2 2 2" xfId="6478"/>
    <cellStyle name="Normal 133 4 2 2 2 2 2" xfId="9813"/>
    <cellStyle name="Normal 133 4 2 2 2 2 2 2" xfId="20529"/>
    <cellStyle name="Normal 133 4 2 2 2 2 3" xfId="13141"/>
    <cellStyle name="Normal 133 4 2 2 2 2 3 2" xfId="23857"/>
    <cellStyle name="Normal 133 4 2 2 2 2 4" xfId="17201"/>
    <cellStyle name="Normal 133 4 2 2 2 3" xfId="8149"/>
    <cellStyle name="Normal 133 4 2 2 2 3 2" xfId="18865"/>
    <cellStyle name="Normal 133 4 2 2 2 4" xfId="11477"/>
    <cellStyle name="Normal 133 4 2 2 2 4 2" xfId="22193"/>
    <cellStyle name="Normal 133 4 2 2 2 5" xfId="15537"/>
    <cellStyle name="Normal 133 4 2 2 3" xfId="5646"/>
    <cellStyle name="Normal 133 4 2 2 3 2" xfId="8981"/>
    <cellStyle name="Normal 133 4 2 2 3 2 2" xfId="19697"/>
    <cellStyle name="Normal 133 4 2 2 3 3" xfId="12309"/>
    <cellStyle name="Normal 133 4 2 2 3 3 2" xfId="23025"/>
    <cellStyle name="Normal 133 4 2 2 3 4" xfId="16369"/>
    <cellStyle name="Normal 133 4 2 2 4" xfId="7317"/>
    <cellStyle name="Normal 133 4 2 2 4 2" xfId="18033"/>
    <cellStyle name="Normal 133 4 2 2 5" xfId="10645"/>
    <cellStyle name="Normal 133 4 2 2 5 2" xfId="21361"/>
    <cellStyle name="Normal 133 4 2 2 6" xfId="14705"/>
    <cellStyle name="Normal 133 4 2 3" xfId="4394"/>
    <cellStyle name="Normal 133 4 2 3 2" xfId="6062"/>
    <cellStyle name="Normal 133 4 2 3 2 2" xfId="9397"/>
    <cellStyle name="Normal 133 4 2 3 2 2 2" xfId="20113"/>
    <cellStyle name="Normal 133 4 2 3 2 3" xfId="12725"/>
    <cellStyle name="Normal 133 4 2 3 2 3 2" xfId="23441"/>
    <cellStyle name="Normal 133 4 2 3 2 4" xfId="16785"/>
    <cellStyle name="Normal 133 4 2 3 3" xfId="7733"/>
    <cellStyle name="Normal 133 4 2 3 3 2" xfId="18449"/>
    <cellStyle name="Normal 133 4 2 3 4" xfId="11061"/>
    <cellStyle name="Normal 133 4 2 3 4 2" xfId="21777"/>
    <cellStyle name="Normal 133 4 2 3 5" xfId="15121"/>
    <cellStyle name="Normal 133 4 2 4" xfId="5230"/>
    <cellStyle name="Normal 133 4 2 4 2" xfId="8565"/>
    <cellStyle name="Normal 133 4 2 4 2 2" xfId="19281"/>
    <cellStyle name="Normal 133 4 2 4 3" xfId="11893"/>
    <cellStyle name="Normal 133 4 2 4 3 2" xfId="22609"/>
    <cellStyle name="Normal 133 4 2 4 4" xfId="15953"/>
    <cellStyle name="Normal 133 4 2 5" xfId="6899"/>
    <cellStyle name="Normal 133 4 2 5 2" xfId="17617"/>
    <cellStyle name="Normal 133 4 2 6" xfId="10229"/>
    <cellStyle name="Normal 133 4 2 6 2" xfId="20945"/>
    <cellStyle name="Normal 133 4 2 7" xfId="14287"/>
    <cellStyle name="Normal 133 4 3" xfId="3746"/>
    <cellStyle name="Normal 133 4 3 2" xfId="4602"/>
    <cellStyle name="Normal 133 4 3 2 2" xfId="6270"/>
    <cellStyle name="Normal 133 4 3 2 2 2" xfId="9605"/>
    <cellStyle name="Normal 133 4 3 2 2 2 2" xfId="20321"/>
    <cellStyle name="Normal 133 4 3 2 2 3" xfId="12933"/>
    <cellStyle name="Normal 133 4 3 2 2 3 2" xfId="23649"/>
    <cellStyle name="Normal 133 4 3 2 2 4" xfId="16993"/>
    <cellStyle name="Normal 133 4 3 2 3" xfId="7941"/>
    <cellStyle name="Normal 133 4 3 2 3 2" xfId="18657"/>
    <cellStyle name="Normal 133 4 3 2 4" xfId="11269"/>
    <cellStyle name="Normal 133 4 3 2 4 2" xfId="21985"/>
    <cellStyle name="Normal 133 4 3 2 5" xfId="15329"/>
    <cellStyle name="Normal 133 4 3 3" xfId="5438"/>
    <cellStyle name="Normal 133 4 3 3 2" xfId="8773"/>
    <cellStyle name="Normal 133 4 3 3 2 2" xfId="19489"/>
    <cellStyle name="Normal 133 4 3 3 3" xfId="12101"/>
    <cellStyle name="Normal 133 4 3 3 3 2" xfId="22817"/>
    <cellStyle name="Normal 133 4 3 3 4" xfId="16161"/>
    <cellStyle name="Normal 133 4 3 4" xfId="7109"/>
    <cellStyle name="Normal 133 4 3 4 2" xfId="17825"/>
    <cellStyle name="Normal 133 4 3 5" xfId="10437"/>
    <cellStyle name="Normal 133 4 3 5 2" xfId="21153"/>
    <cellStyle name="Normal 133 4 3 6" xfId="14497"/>
    <cellStyle name="Normal 133 4 4" xfId="4184"/>
    <cellStyle name="Normal 133 4 4 2" xfId="5854"/>
    <cellStyle name="Normal 133 4 4 2 2" xfId="9189"/>
    <cellStyle name="Normal 133 4 4 2 2 2" xfId="19905"/>
    <cellStyle name="Normal 133 4 4 2 3" xfId="12517"/>
    <cellStyle name="Normal 133 4 4 2 3 2" xfId="23233"/>
    <cellStyle name="Normal 133 4 4 2 4" xfId="16577"/>
    <cellStyle name="Normal 133 4 4 3" xfId="7525"/>
    <cellStyle name="Normal 133 4 4 3 2" xfId="18241"/>
    <cellStyle name="Normal 133 4 4 4" xfId="10853"/>
    <cellStyle name="Normal 133 4 4 4 2" xfId="21569"/>
    <cellStyle name="Normal 133 4 4 5" xfId="14913"/>
    <cellStyle name="Normal 133 4 5" xfId="5019"/>
    <cellStyle name="Normal 133 4 5 2" xfId="8357"/>
    <cellStyle name="Normal 133 4 5 2 2" xfId="19073"/>
    <cellStyle name="Normal 133 4 5 3" xfId="11685"/>
    <cellStyle name="Normal 133 4 5 3 2" xfId="22401"/>
    <cellStyle name="Normal 133 4 5 4" xfId="15745"/>
    <cellStyle name="Normal 133 4 6" xfId="6689"/>
    <cellStyle name="Normal 133 4 6 2" xfId="17409"/>
    <cellStyle name="Normal 133 4 7" xfId="10021"/>
    <cellStyle name="Normal 133 4 7 2" xfId="20737"/>
    <cellStyle name="Normal 133 4 8" xfId="14078"/>
    <cellStyle name="Normal 133 5" xfId="2876"/>
    <cellStyle name="Normal 133 5 2" xfId="3963"/>
    <cellStyle name="Normal 133 5 2 2" xfId="4803"/>
    <cellStyle name="Normal 133 5 2 2 2" xfId="6471"/>
    <cellStyle name="Normal 133 5 2 2 2 2" xfId="9806"/>
    <cellStyle name="Normal 133 5 2 2 2 2 2" xfId="20522"/>
    <cellStyle name="Normal 133 5 2 2 2 3" xfId="13134"/>
    <cellStyle name="Normal 133 5 2 2 2 3 2" xfId="23850"/>
    <cellStyle name="Normal 133 5 2 2 2 4" xfId="17194"/>
    <cellStyle name="Normal 133 5 2 2 3" xfId="8142"/>
    <cellStyle name="Normal 133 5 2 2 3 2" xfId="18858"/>
    <cellStyle name="Normal 133 5 2 2 4" xfId="11470"/>
    <cellStyle name="Normal 133 5 2 2 4 2" xfId="22186"/>
    <cellStyle name="Normal 133 5 2 2 5" xfId="15530"/>
    <cellStyle name="Normal 133 5 2 3" xfId="5639"/>
    <cellStyle name="Normal 133 5 2 3 2" xfId="8974"/>
    <cellStyle name="Normal 133 5 2 3 2 2" xfId="19690"/>
    <cellStyle name="Normal 133 5 2 3 3" xfId="12302"/>
    <cellStyle name="Normal 133 5 2 3 3 2" xfId="23018"/>
    <cellStyle name="Normal 133 5 2 3 4" xfId="16362"/>
    <cellStyle name="Normal 133 5 2 4" xfId="7310"/>
    <cellStyle name="Normal 133 5 2 4 2" xfId="18026"/>
    <cellStyle name="Normal 133 5 2 5" xfId="10638"/>
    <cellStyle name="Normal 133 5 2 5 2" xfId="21354"/>
    <cellStyle name="Normal 133 5 2 6" xfId="14698"/>
    <cellStyle name="Normal 133 5 3" xfId="4387"/>
    <cellStyle name="Normal 133 5 3 2" xfId="6055"/>
    <cellStyle name="Normal 133 5 3 2 2" xfId="9390"/>
    <cellStyle name="Normal 133 5 3 2 2 2" xfId="20106"/>
    <cellStyle name="Normal 133 5 3 2 3" xfId="12718"/>
    <cellStyle name="Normal 133 5 3 2 3 2" xfId="23434"/>
    <cellStyle name="Normal 133 5 3 2 4" xfId="16778"/>
    <cellStyle name="Normal 133 5 3 3" xfId="7726"/>
    <cellStyle name="Normal 133 5 3 3 2" xfId="18442"/>
    <cellStyle name="Normal 133 5 3 4" xfId="11054"/>
    <cellStyle name="Normal 133 5 3 4 2" xfId="21770"/>
    <cellStyle name="Normal 133 5 3 5" xfId="15114"/>
    <cellStyle name="Normal 133 5 4" xfId="5223"/>
    <cellStyle name="Normal 133 5 4 2" xfId="8558"/>
    <cellStyle name="Normal 133 5 4 2 2" xfId="19274"/>
    <cellStyle name="Normal 133 5 4 3" xfId="11886"/>
    <cellStyle name="Normal 133 5 4 3 2" xfId="22602"/>
    <cellStyle name="Normal 133 5 4 4" xfId="15946"/>
    <cellStyle name="Normal 133 5 5" xfId="6892"/>
    <cellStyle name="Normal 133 5 5 2" xfId="17610"/>
    <cellStyle name="Normal 133 5 6" xfId="10222"/>
    <cellStyle name="Normal 133 5 6 2" xfId="20938"/>
    <cellStyle name="Normal 133 5 7" xfId="14280"/>
    <cellStyle name="Normal 133 6" xfId="3739"/>
    <cellStyle name="Normal 133 6 2" xfId="4595"/>
    <cellStyle name="Normal 133 6 2 2" xfId="6263"/>
    <cellStyle name="Normal 133 6 2 2 2" xfId="9598"/>
    <cellStyle name="Normal 133 6 2 2 2 2" xfId="20314"/>
    <cellStyle name="Normal 133 6 2 2 3" xfId="12926"/>
    <cellStyle name="Normal 133 6 2 2 3 2" xfId="23642"/>
    <cellStyle name="Normal 133 6 2 2 4" xfId="16986"/>
    <cellStyle name="Normal 133 6 2 3" xfId="7934"/>
    <cellStyle name="Normal 133 6 2 3 2" xfId="18650"/>
    <cellStyle name="Normal 133 6 2 4" xfId="11262"/>
    <cellStyle name="Normal 133 6 2 4 2" xfId="21978"/>
    <cellStyle name="Normal 133 6 2 5" xfId="15322"/>
    <cellStyle name="Normal 133 6 3" xfId="5431"/>
    <cellStyle name="Normal 133 6 3 2" xfId="8766"/>
    <cellStyle name="Normal 133 6 3 2 2" xfId="19482"/>
    <cellStyle name="Normal 133 6 3 3" xfId="12094"/>
    <cellStyle name="Normal 133 6 3 3 2" xfId="22810"/>
    <cellStyle name="Normal 133 6 3 4" xfId="16154"/>
    <cellStyle name="Normal 133 6 4" xfId="7102"/>
    <cellStyle name="Normal 133 6 4 2" xfId="17818"/>
    <cellStyle name="Normal 133 6 5" xfId="10430"/>
    <cellStyle name="Normal 133 6 5 2" xfId="21146"/>
    <cellStyle name="Normal 133 6 6" xfId="14490"/>
    <cellStyle name="Normal 133 7" xfId="4177"/>
    <cellStyle name="Normal 133 7 2" xfId="5847"/>
    <cellStyle name="Normal 133 7 2 2" xfId="9182"/>
    <cellStyle name="Normal 133 7 2 2 2" xfId="19898"/>
    <cellStyle name="Normal 133 7 2 3" xfId="12510"/>
    <cellStyle name="Normal 133 7 2 3 2" xfId="23226"/>
    <cellStyle name="Normal 133 7 2 4" xfId="16570"/>
    <cellStyle name="Normal 133 7 3" xfId="7518"/>
    <cellStyle name="Normal 133 7 3 2" xfId="18234"/>
    <cellStyle name="Normal 133 7 4" xfId="10846"/>
    <cellStyle name="Normal 133 7 4 2" xfId="21562"/>
    <cellStyle name="Normal 133 7 5" xfId="14906"/>
    <cellStyle name="Normal 133 8" xfId="5012"/>
    <cellStyle name="Normal 133 8 2" xfId="8350"/>
    <cellStyle name="Normal 133 8 2 2" xfId="19066"/>
    <cellStyle name="Normal 133 8 3" xfId="11678"/>
    <cellStyle name="Normal 133 8 3 2" xfId="22394"/>
    <cellStyle name="Normal 133 8 4" xfId="15738"/>
    <cellStyle name="Normal 133 9" xfId="6682"/>
    <cellStyle name="Normal 133 9 2" xfId="17402"/>
    <cellStyle name="Normal 134" xfId="1179"/>
    <cellStyle name="Normal 134 2" xfId="2884"/>
    <cellStyle name="Normal 135" xfId="1180"/>
    <cellStyle name="Normal 135 2" xfId="2885"/>
    <cellStyle name="Normal 136" xfId="1181"/>
    <cellStyle name="Normal 136 2" xfId="2886"/>
    <cellStyle name="Normal 137" xfId="1182"/>
    <cellStyle name="Normal 137 2" xfId="2887"/>
    <cellStyle name="Normal 138" xfId="1183"/>
    <cellStyle name="Normal 138 2" xfId="2888"/>
    <cellStyle name="Normal 139" xfId="1184"/>
    <cellStyle name="Normal 139 2" xfId="2889"/>
    <cellStyle name="Normal 14" xfId="1185"/>
    <cellStyle name="Normal 14 2" xfId="1186"/>
    <cellStyle name="Normal 14 2 2" xfId="2891"/>
    <cellStyle name="Normal 14 3" xfId="1187"/>
    <cellStyle name="Normal 14 3 2" xfId="2892"/>
    <cellStyle name="Normal 14 4" xfId="1188"/>
    <cellStyle name="Normal 14 4 2" xfId="2893"/>
    <cellStyle name="Normal 14 5" xfId="2890"/>
    <cellStyle name="Normal 140" xfId="1189"/>
    <cellStyle name="Normal 140 2" xfId="2894"/>
    <cellStyle name="Normal 141" xfId="1190"/>
    <cellStyle name="Normal 141 2" xfId="2895"/>
    <cellStyle name="Normal 142" xfId="1191"/>
    <cellStyle name="Normal 142 2" xfId="1192"/>
    <cellStyle name="Normal 142 2 2" xfId="2897"/>
    <cellStyle name="Normal 142 3" xfId="1193"/>
    <cellStyle name="Normal 142 3 2" xfId="2898"/>
    <cellStyle name="Normal 142 3 2 2" xfId="3971"/>
    <cellStyle name="Normal 142 3 2 2 2" xfId="4811"/>
    <cellStyle name="Normal 142 3 2 2 2 2" xfId="6479"/>
    <cellStyle name="Normal 142 3 2 2 2 2 2" xfId="9814"/>
    <cellStyle name="Normal 142 3 2 2 2 2 2 2" xfId="20530"/>
    <cellStyle name="Normal 142 3 2 2 2 2 3" xfId="13142"/>
    <cellStyle name="Normal 142 3 2 2 2 2 3 2" xfId="23858"/>
    <cellStyle name="Normal 142 3 2 2 2 2 4" xfId="17202"/>
    <cellStyle name="Normal 142 3 2 2 2 3" xfId="8150"/>
    <cellStyle name="Normal 142 3 2 2 2 3 2" xfId="18866"/>
    <cellStyle name="Normal 142 3 2 2 2 4" xfId="11478"/>
    <cellStyle name="Normal 142 3 2 2 2 4 2" xfId="22194"/>
    <cellStyle name="Normal 142 3 2 2 2 5" xfId="15538"/>
    <cellStyle name="Normal 142 3 2 2 3" xfId="5647"/>
    <cellStyle name="Normal 142 3 2 2 3 2" xfId="8982"/>
    <cellStyle name="Normal 142 3 2 2 3 2 2" xfId="19698"/>
    <cellStyle name="Normal 142 3 2 2 3 3" xfId="12310"/>
    <cellStyle name="Normal 142 3 2 2 3 3 2" xfId="23026"/>
    <cellStyle name="Normal 142 3 2 2 3 4" xfId="16370"/>
    <cellStyle name="Normal 142 3 2 2 4" xfId="7318"/>
    <cellStyle name="Normal 142 3 2 2 4 2" xfId="18034"/>
    <cellStyle name="Normal 142 3 2 2 5" xfId="10646"/>
    <cellStyle name="Normal 142 3 2 2 5 2" xfId="21362"/>
    <cellStyle name="Normal 142 3 2 2 6" xfId="14706"/>
    <cellStyle name="Normal 142 3 2 3" xfId="4395"/>
    <cellStyle name="Normal 142 3 2 3 2" xfId="6063"/>
    <cellStyle name="Normal 142 3 2 3 2 2" xfId="9398"/>
    <cellStyle name="Normal 142 3 2 3 2 2 2" xfId="20114"/>
    <cellStyle name="Normal 142 3 2 3 2 3" xfId="12726"/>
    <cellStyle name="Normal 142 3 2 3 2 3 2" xfId="23442"/>
    <cellStyle name="Normal 142 3 2 3 2 4" xfId="16786"/>
    <cellStyle name="Normal 142 3 2 3 3" xfId="7734"/>
    <cellStyle name="Normal 142 3 2 3 3 2" xfId="18450"/>
    <cellStyle name="Normal 142 3 2 3 4" xfId="11062"/>
    <cellStyle name="Normal 142 3 2 3 4 2" xfId="21778"/>
    <cellStyle name="Normal 142 3 2 3 5" xfId="15122"/>
    <cellStyle name="Normal 142 3 2 4" xfId="5231"/>
    <cellStyle name="Normal 142 3 2 4 2" xfId="8566"/>
    <cellStyle name="Normal 142 3 2 4 2 2" xfId="19282"/>
    <cellStyle name="Normal 142 3 2 4 3" xfId="11894"/>
    <cellStyle name="Normal 142 3 2 4 3 2" xfId="22610"/>
    <cellStyle name="Normal 142 3 2 4 4" xfId="15954"/>
    <cellStyle name="Normal 142 3 2 5" xfId="6900"/>
    <cellStyle name="Normal 142 3 2 5 2" xfId="17618"/>
    <cellStyle name="Normal 142 3 2 6" xfId="10230"/>
    <cellStyle name="Normal 142 3 2 6 2" xfId="20946"/>
    <cellStyle name="Normal 142 3 2 7" xfId="14288"/>
    <cellStyle name="Normal 142 3 3" xfId="3747"/>
    <cellStyle name="Normal 142 3 3 2" xfId="4603"/>
    <cellStyle name="Normal 142 3 3 2 2" xfId="6271"/>
    <cellStyle name="Normal 142 3 3 2 2 2" xfId="9606"/>
    <cellStyle name="Normal 142 3 3 2 2 2 2" xfId="20322"/>
    <cellStyle name="Normal 142 3 3 2 2 3" xfId="12934"/>
    <cellStyle name="Normal 142 3 3 2 2 3 2" xfId="23650"/>
    <cellStyle name="Normal 142 3 3 2 2 4" xfId="16994"/>
    <cellStyle name="Normal 142 3 3 2 3" xfId="7942"/>
    <cellStyle name="Normal 142 3 3 2 3 2" xfId="18658"/>
    <cellStyle name="Normal 142 3 3 2 4" xfId="11270"/>
    <cellStyle name="Normal 142 3 3 2 4 2" xfId="21986"/>
    <cellStyle name="Normal 142 3 3 2 5" xfId="15330"/>
    <cellStyle name="Normal 142 3 3 3" xfId="5439"/>
    <cellStyle name="Normal 142 3 3 3 2" xfId="8774"/>
    <cellStyle name="Normal 142 3 3 3 2 2" xfId="19490"/>
    <cellStyle name="Normal 142 3 3 3 3" xfId="12102"/>
    <cellStyle name="Normal 142 3 3 3 3 2" xfId="22818"/>
    <cellStyle name="Normal 142 3 3 3 4" xfId="16162"/>
    <cellStyle name="Normal 142 3 3 4" xfId="7110"/>
    <cellStyle name="Normal 142 3 3 4 2" xfId="17826"/>
    <cellStyle name="Normal 142 3 3 5" xfId="10438"/>
    <cellStyle name="Normal 142 3 3 5 2" xfId="21154"/>
    <cellStyle name="Normal 142 3 3 6" xfId="14498"/>
    <cellStyle name="Normal 142 3 4" xfId="4185"/>
    <cellStyle name="Normal 142 3 4 2" xfId="5855"/>
    <cellStyle name="Normal 142 3 4 2 2" xfId="9190"/>
    <cellStyle name="Normal 142 3 4 2 2 2" xfId="19906"/>
    <cellStyle name="Normal 142 3 4 2 3" xfId="12518"/>
    <cellStyle name="Normal 142 3 4 2 3 2" xfId="23234"/>
    <cellStyle name="Normal 142 3 4 2 4" xfId="16578"/>
    <cellStyle name="Normal 142 3 4 3" xfId="7526"/>
    <cellStyle name="Normal 142 3 4 3 2" xfId="18242"/>
    <cellStyle name="Normal 142 3 4 4" xfId="10854"/>
    <cellStyle name="Normal 142 3 4 4 2" xfId="21570"/>
    <cellStyle name="Normal 142 3 4 5" xfId="14914"/>
    <cellStyle name="Normal 142 3 5" xfId="5020"/>
    <cellStyle name="Normal 142 3 5 2" xfId="8358"/>
    <cellStyle name="Normal 142 3 5 2 2" xfId="19074"/>
    <cellStyle name="Normal 142 3 5 3" xfId="11686"/>
    <cellStyle name="Normal 142 3 5 3 2" xfId="22402"/>
    <cellStyle name="Normal 142 3 5 4" xfId="15746"/>
    <cellStyle name="Normal 142 3 6" xfId="6690"/>
    <cellStyle name="Normal 142 3 6 2" xfId="17410"/>
    <cellStyle name="Normal 142 3 7" xfId="10022"/>
    <cellStyle name="Normal 142 3 7 2" xfId="20738"/>
    <cellStyle name="Normal 142 3 8" xfId="14079"/>
    <cellStyle name="Normal 142 4" xfId="1194"/>
    <cellStyle name="Normal 142 4 2" xfId="2899"/>
    <cellStyle name="Normal 142 4 2 2" xfId="3972"/>
    <cellStyle name="Normal 142 4 2 2 2" xfId="4812"/>
    <cellStyle name="Normal 142 4 2 2 2 2" xfId="6480"/>
    <cellStyle name="Normal 142 4 2 2 2 2 2" xfId="9815"/>
    <cellStyle name="Normal 142 4 2 2 2 2 2 2" xfId="20531"/>
    <cellStyle name="Normal 142 4 2 2 2 2 3" xfId="13143"/>
    <cellStyle name="Normal 142 4 2 2 2 2 3 2" xfId="23859"/>
    <cellStyle name="Normal 142 4 2 2 2 2 4" xfId="17203"/>
    <cellStyle name="Normal 142 4 2 2 2 3" xfId="8151"/>
    <cellStyle name="Normal 142 4 2 2 2 3 2" xfId="18867"/>
    <cellStyle name="Normal 142 4 2 2 2 4" xfId="11479"/>
    <cellStyle name="Normal 142 4 2 2 2 4 2" xfId="22195"/>
    <cellStyle name="Normal 142 4 2 2 2 5" xfId="15539"/>
    <cellStyle name="Normal 142 4 2 2 3" xfId="5648"/>
    <cellStyle name="Normal 142 4 2 2 3 2" xfId="8983"/>
    <cellStyle name="Normal 142 4 2 2 3 2 2" xfId="19699"/>
    <cellStyle name="Normal 142 4 2 2 3 3" xfId="12311"/>
    <cellStyle name="Normal 142 4 2 2 3 3 2" xfId="23027"/>
    <cellStyle name="Normal 142 4 2 2 3 4" xfId="16371"/>
    <cellStyle name="Normal 142 4 2 2 4" xfId="7319"/>
    <cellStyle name="Normal 142 4 2 2 4 2" xfId="18035"/>
    <cellStyle name="Normal 142 4 2 2 5" xfId="10647"/>
    <cellStyle name="Normal 142 4 2 2 5 2" xfId="21363"/>
    <cellStyle name="Normal 142 4 2 2 6" xfId="14707"/>
    <cellStyle name="Normal 142 4 2 3" xfId="4396"/>
    <cellStyle name="Normal 142 4 2 3 2" xfId="6064"/>
    <cellStyle name="Normal 142 4 2 3 2 2" xfId="9399"/>
    <cellStyle name="Normal 142 4 2 3 2 2 2" xfId="20115"/>
    <cellStyle name="Normal 142 4 2 3 2 3" xfId="12727"/>
    <cellStyle name="Normal 142 4 2 3 2 3 2" xfId="23443"/>
    <cellStyle name="Normal 142 4 2 3 2 4" xfId="16787"/>
    <cellStyle name="Normal 142 4 2 3 3" xfId="7735"/>
    <cellStyle name="Normal 142 4 2 3 3 2" xfId="18451"/>
    <cellStyle name="Normal 142 4 2 3 4" xfId="11063"/>
    <cellStyle name="Normal 142 4 2 3 4 2" xfId="21779"/>
    <cellStyle name="Normal 142 4 2 3 5" xfId="15123"/>
    <cellStyle name="Normal 142 4 2 4" xfId="5232"/>
    <cellStyle name="Normal 142 4 2 4 2" xfId="8567"/>
    <cellStyle name="Normal 142 4 2 4 2 2" xfId="19283"/>
    <cellStyle name="Normal 142 4 2 4 3" xfId="11895"/>
    <cellStyle name="Normal 142 4 2 4 3 2" xfId="22611"/>
    <cellStyle name="Normal 142 4 2 4 4" xfId="15955"/>
    <cellStyle name="Normal 142 4 2 5" xfId="6901"/>
    <cellStyle name="Normal 142 4 2 5 2" xfId="17619"/>
    <cellStyle name="Normal 142 4 2 6" xfId="10231"/>
    <cellStyle name="Normal 142 4 2 6 2" xfId="20947"/>
    <cellStyle name="Normal 142 4 2 7" xfId="14289"/>
    <cellStyle name="Normal 142 4 3" xfId="3748"/>
    <cellStyle name="Normal 142 4 3 2" xfId="4604"/>
    <cellStyle name="Normal 142 4 3 2 2" xfId="6272"/>
    <cellStyle name="Normal 142 4 3 2 2 2" xfId="9607"/>
    <cellStyle name="Normal 142 4 3 2 2 2 2" xfId="20323"/>
    <cellStyle name="Normal 142 4 3 2 2 3" xfId="12935"/>
    <cellStyle name="Normal 142 4 3 2 2 3 2" xfId="23651"/>
    <cellStyle name="Normal 142 4 3 2 2 4" xfId="16995"/>
    <cellStyle name="Normal 142 4 3 2 3" xfId="7943"/>
    <cellStyle name="Normal 142 4 3 2 3 2" xfId="18659"/>
    <cellStyle name="Normal 142 4 3 2 4" xfId="11271"/>
    <cellStyle name="Normal 142 4 3 2 4 2" xfId="21987"/>
    <cellStyle name="Normal 142 4 3 2 5" xfId="15331"/>
    <cellStyle name="Normal 142 4 3 3" xfId="5440"/>
    <cellStyle name="Normal 142 4 3 3 2" xfId="8775"/>
    <cellStyle name="Normal 142 4 3 3 2 2" xfId="19491"/>
    <cellStyle name="Normal 142 4 3 3 3" xfId="12103"/>
    <cellStyle name="Normal 142 4 3 3 3 2" xfId="22819"/>
    <cellStyle name="Normal 142 4 3 3 4" xfId="16163"/>
    <cellStyle name="Normal 142 4 3 4" xfId="7111"/>
    <cellStyle name="Normal 142 4 3 4 2" xfId="17827"/>
    <cellStyle name="Normal 142 4 3 5" xfId="10439"/>
    <cellStyle name="Normal 142 4 3 5 2" xfId="21155"/>
    <cellStyle name="Normal 142 4 3 6" xfId="14499"/>
    <cellStyle name="Normal 142 4 4" xfId="4186"/>
    <cellStyle name="Normal 142 4 4 2" xfId="5856"/>
    <cellStyle name="Normal 142 4 4 2 2" xfId="9191"/>
    <cellStyle name="Normal 142 4 4 2 2 2" xfId="19907"/>
    <cellStyle name="Normal 142 4 4 2 3" xfId="12519"/>
    <cellStyle name="Normal 142 4 4 2 3 2" xfId="23235"/>
    <cellStyle name="Normal 142 4 4 2 4" xfId="16579"/>
    <cellStyle name="Normal 142 4 4 3" xfId="7527"/>
    <cellStyle name="Normal 142 4 4 3 2" xfId="18243"/>
    <cellStyle name="Normal 142 4 4 4" xfId="10855"/>
    <cellStyle name="Normal 142 4 4 4 2" xfId="21571"/>
    <cellStyle name="Normal 142 4 4 5" xfId="14915"/>
    <cellStyle name="Normal 142 4 5" xfId="5021"/>
    <cellStyle name="Normal 142 4 5 2" xfId="8359"/>
    <cellStyle name="Normal 142 4 5 2 2" xfId="19075"/>
    <cellStyle name="Normal 142 4 5 3" xfId="11687"/>
    <cellStyle name="Normal 142 4 5 3 2" xfId="22403"/>
    <cellStyle name="Normal 142 4 5 4" xfId="15747"/>
    <cellStyle name="Normal 142 4 6" xfId="6691"/>
    <cellStyle name="Normal 142 4 6 2" xfId="17411"/>
    <cellStyle name="Normal 142 4 7" xfId="10023"/>
    <cellStyle name="Normal 142 4 7 2" xfId="20739"/>
    <cellStyle name="Normal 142 4 8" xfId="14080"/>
    <cellStyle name="Normal 142 5" xfId="2896"/>
    <cellStyle name="Normal 143" xfId="1195"/>
    <cellStyle name="Normal 143 2" xfId="2900"/>
    <cellStyle name="Normal 144" xfId="1196"/>
    <cellStyle name="Normal 144 2" xfId="2901"/>
    <cellStyle name="Normal 145" xfId="1197"/>
    <cellStyle name="Normal 145 2" xfId="2902"/>
    <cellStyle name="Normal 146" xfId="1198"/>
    <cellStyle name="Normal 146 2" xfId="2903"/>
    <cellStyle name="Normal 147" xfId="1199"/>
    <cellStyle name="Normal 147 2" xfId="1200"/>
    <cellStyle name="Normal 147 2 2" xfId="1201"/>
    <cellStyle name="Normal 147 2 2 2" xfId="2906"/>
    <cellStyle name="Normal 147 2 3" xfId="2905"/>
    <cellStyle name="Normal 147 3" xfId="2904"/>
    <cellStyle name="Normal 148" xfId="1202"/>
    <cellStyle name="Normal 148 2" xfId="1203"/>
    <cellStyle name="Normal 148 2 2" xfId="2907"/>
    <cellStyle name="Normal 148 3" xfId="1204"/>
    <cellStyle name="Normal 149" xfId="1205"/>
    <cellStyle name="Normal 149 2" xfId="1206"/>
    <cellStyle name="Normal 149 2 2" xfId="2908"/>
    <cellStyle name="Normal 149 3" xfId="1207"/>
    <cellStyle name="Normal 15" xfId="1208"/>
    <cellStyle name="Normal 15 2" xfId="1209"/>
    <cellStyle name="Normal 15 2 2" xfId="2910"/>
    <cellStyle name="Normal 15 3" xfId="2909"/>
    <cellStyle name="Normal 150" xfId="1210"/>
    <cellStyle name="Normal 150 2" xfId="1211"/>
    <cellStyle name="Normal 150 2 2" xfId="2912"/>
    <cellStyle name="Normal 150 3" xfId="2911"/>
    <cellStyle name="Normal 150 3 2" xfId="3973"/>
    <cellStyle name="Normal 150 3 2 2" xfId="4813"/>
    <cellStyle name="Normal 150 3 2 2 2" xfId="6481"/>
    <cellStyle name="Normal 150 3 2 2 2 2" xfId="9816"/>
    <cellStyle name="Normal 150 3 2 2 2 2 2" xfId="20532"/>
    <cellStyle name="Normal 150 3 2 2 2 3" xfId="13144"/>
    <cellStyle name="Normal 150 3 2 2 2 3 2" xfId="23860"/>
    <cellStyle name="Normal 150 3 2 2 2 4" xfId="17204"/>
    <cellStyle name="Normal 150 3 2 2 3" xfId="8152"/>
    <cellStyle name="Normal 150 3 2 2 3 2" xfId="18868"/>
    <cellStyle name="Normal 150 3 2 2 4" xfId="11480"/>
    <cellStyle name="Normal 150 3 2 2 4 2" xfId="22196"/>
    <cellStyle name="Normal 150 3 2 2 5" xfId="15540"/>
    <cellStyle name="Normal 150 3 2 3" xfId="5649"/>
    <cellStyle name="Normal 150 3 2 3 2" xfId="8984"/>
    <cellStyle name="Normal 150 3 2 3 2 2" xfId="19700"/>
    <cellStyle name="Normal 150 3 2 3 3" xfId="12312"/>
    <cellStyle name="Normal 150 3 2 3 3 2" xfId="23028"/>
    <cellStyle name="Normal 150 3 2 3 4" xfId="16372"/>
    <cellStyle name="Normal 150 3 2 4" xfId="7320"/>
    <cellStyle name="Normal 150 3 2 4 2" xfId="18036"/>
    <cellStyle name="Normal 150 3 2 5" xfId="10648"/>
    <cellStyle name="Normal 150 3 2 5 2" xfId="21364"/>
    <cellStyle name="Normal 150 3 2 6" xfId="14708"/>
    <cellStyle name="Normal 150 3 3" xfId="4397"/>
    <cellStyle name="Normal 150 3 3 2" xfId="6065"/>
    <cellStyle name="Normal 150 3 3 2 2" xfId="9400"/>
    <cellStyle name="Normal 150 3 3 2 2 2" xfId="20116"/>
    <cellStyle name="Normal 150 3 3 2 3" xfId="12728"/>
    <cellStyle name="Normal 150 3 3 2 3 2" xfId="23444"/>
    <cellStyle name="Normal 150 3 3 2 4" xfId="16788"/>
    <cellStyle name="Normal 150 3 3 3" xfId="7736"/>
    <cellStyle name="Normal 150 3 3 3 2" xfId="18452"/>
    <cellStyle name="Normal 150 3 3 4" xfId="11064"/>
    <cellStyle name="Normal 150 3 3 4 2" xfId="21780"/>
    <cellStyle name="Normal 150 3 3 5" xfId="15124"/>
    <cellStyle name="Normal 150 3 4" xfId="5233"/>
    <cellStyle name="Normal 150 3 4 2" xfId="8568"/>
    <cellStyle name="Normal 150 3 4 2 2" xfId="19284"/>
    <cellStyle name="Normal 150 3 4 3" xfId="11896"/>
    <cellStyle name="Normal 150 3 4 3 2" xfId="22612"/>
    <cellStyle name="Normal 150 3 4 4" xfId="15956"/>
    <cellStyle name="Normal 150 3 5" xfId="6902"/>
    <cellStyle name="Normal 150 3 5 2" xfId="17620"/>
    <cellStyle name="Normal 150 3 6" xfId="10232"/>
    <cellStyle name="Normal 150 3 6 2" xfId="20948"/>
    <cellStyle name="Normal 150 3 7" xfId="14290"/>
    <cellStyle name="Normal 150 4" xfId="3749"/>
    <cellStyle name="Normal 150 4 2" xfId="4605"/>
    <cellStyle name="Normal 150 4 2 2" xfId="6273"/>
    <cellStyle name="Normal 150 4 2 2 2" xfId="9608"/>
    <cellStyle name="Normal 150 4 2 2 2 2" xfId="20324"/>
    <cellStyle name="Normal 150 4 2 2 3" xfId="12936"/>
    <cellStyle name="Normal 150 4 2 2 3 2" xfId="23652"/>
    <cellStyle name="Normal 150 4 2 2 4" xfId="16996"/>
    <cellStyle name="Normal 150 4 2 3" xfId="7944"/>
    <cellStyle name="Normal 150 4 2 3 2" xfId="18660"/>
    <cellStyle name="Normal 150 4 2 4" xfId="11272"/>
    <cellStyle name="Normal 150 4 2 4 2" xfId="21988"/>
    <cellStyle name="Normal 150 4 2 5" xfId="15332"/>
    <cellStyle name="Normal 150 4 3" xfId="5441"/>
    <cellStyle name="Normal 150 4 3 2" xfId="8776"/>
    <cellStyle name="Normal 150 4 3 2 2" xfId="19492"/>
    <cellStyle name="Normal 150 4 3 3" xfId="12104"/>
    <cellStyle name="Normal 150 4 3 3 2" xfId="22820"/>
    <cellStyle name="Normal 150 4 3 4" xfId="16164"/>
    <cellStyle name="Normal 150 4 4" xfId="7112"/>
    <cellStyle name="Normal 150 4 4 2" xfId="17828"/>
    <cellStyle name="Normal 150 4 5" xfId="10440"/>
    <cellStyle name="Normal 150 4 5 2" xfId="21156"/>
    <cellStyle name="Normal 150 4 6" xfId="14500"/>
    <cellStyle name="Normal 150 5" xfId="4187"/>
    <cellStyle name="Normal 150 5 2" xfId="5857"/>
    <cellStyle name="Normal 150 5 2 2" xfId="9192"/>
    <cellStyle name="Normal 150 5 2 2 2" xfId="19908"/>
    <cellStyle name="Normal 150 5 2 3" xfId="12520"/>
    <cellStyle name="Normal 150 5 2 3 2" xfId="23236"/>
    <cellStyle name="Normal 150 5 2 4" xfId="16580"/>
    <cellStyle name="Normal 150 5 3" xfId="7528"/>
    <cellStyle name="Normal 150 5 3 2" xfId="18244"/>
    <cellStyle name="Normal 150 5 4" xfId="10856"/>
    <cellStyle name="Normal 150 5 4 2" xfId="21572"/>
    <cellStyle name="Normal 150 5 5" xfId="14916"/>
    <cellStyle name="Normal 150 6" xfId="5022"/>
    <cellStyle name="Normal 150 6 2" xfId="8360"/>
    <cellStyle name="Normal 150 6 2 2" xfId="19076"/>
    <cellStyle name="Normal 150 6 3" xfId="11688"/>
    <cellStyle name="Normal 150 6 3 2" xfId="22404"/>
    <cellStyle name="Normal 150 6 4" xfId="15748"/>
    <cellStyle name="Normal 150 7" xfId="6692"/>
    <cellStyle name="Normal 150 7 2" xfId="17412"/>
    <cellStyle name="Normal 150 8" xfId="10024"/>
    <cellStyle name="Normal 150 8 2" xfId="20740"/>
    <cellStyle name="Normal 150 9" xfId="14081"/>
    <cellStyle name="Normal 151" xfId="1212"/>
    <cellStyle name="Normal 151 2" xfId="1213"/>
    <cellStyle name="Normal 151 2 2" xfId="2914"/>
    <cellStyle name="Normal 151 3" xfId="2913"/>
    <cellStyle name="Normal 151 3 2" xfId="3974"/>
    <cellStyle name="Normal 151 3 2 2" xfId="4814"/>
    <cellStyle name="Normal 151 3 2 2 2" xfId="6482"/>
    <cellStyle name="Normal 151 3 2 2 2 2" xfId="9817"/>
    <cellStyle name="Normal 151 3 2 2 2 2 2" xfId="20533"/>
    <cellStyle name="Normal 151 3 2 2 2 3" xfId="13145"/>
    <cellStyle name="Normal 151 3 2 2 2 3 2" xfId="23861"/>
    <cellStyle name="Normal 151 3 2 2 2 4" xfId="17205"/>
    <cellStyle name="Normal 151 3 2 2 3" xfId="8153"/>
    <cellStyle name="Normal 151 3 2 2 3 2" xfId="18869"/>
    <cellStyle name="Normal 151 3 2 2 4" xfId="11481"/>
    <cellStyle name="Normal 151 3 2 2 4 2" xfId="22197"/>
    <cellStyle name="Normal 151 3 2 2 5" xfId="15541"/>
    <cellStyle name="Normal 151 3 2 3" xfId="5650"/>
    <cellStyle name="Normal 151 3 2 3 2" xfId="8985"/>
    <cellStyle name="Normal 151 3 2 3 2 2" xfId="19701"/>
    <cellStyle name="Normal 151 3 2 3 3" xfId="12313"/>
    <cellStyle name="Normal 151 3 2 3 3 2" xfId="23029"/>
    <cellStyle name="Normal 151 3 2 3 4" xfId="16373"/>
    <cellStyle name="Normal 151 3 2 4" xfId="7321"/>
    <cellStyle name="Normal 151 3 2 4 2" xfId="18037"/>
    <cellStyle name="Normal 151 3 2 5" xfId="10649"/>
    <cellStyle name="Normal 151 3 2 5 2" xfId="21365"/>
    <cellStyle name="Normal 151 3 2 6" xfId="14709"/>
    <cellStyle name="Normal 151 3 3" xfId="4398"/>
    <cellStyle name="Normal 151 3 3 2" xfId="6066"/>
    <cellStyle name="Normal 151 3 3 2 2" xfId="9401"/>
    <cellStyle name="Normal 151 3 3 2 2 2" xfId="20117"/>
    <cellStyle name="Normal 151 3 3 2 3" xfId="12729"/>
    <cellStyle name="Normal 151 3 3 2 3 2" xfId="23445"/>
    <cellStyle name="Normal 151 3 3 2 4" xfId="16789"/>
    <cellStyle name="Normal 151 3 3 3" xfId="7737"/>
    <cellStyle name="Normal 151 3 3 3 2" xfId="18453"/>
    <cellStyle name="Normal 151 3 3 4" xfId="11065"/>
    <cellStyle name="Normal 151 3 3 4 2" xfId="21781"/>
    <cellStyle name="Normal 151 3 3 5" xfId="15125"/>
    <cellStyle name="Normal 151 3 4" xfId="5234"/>
    <cellStyle name="Normal 151 3 4 2" xfId="8569"/>
    <cellStyle name="Normal 151 3 4 2 2" xfId="19285"/>
    <cellStyle name="Normal 151 3 4 3" xfId="11897"/>
    <cellStyle name="Normal 151 3 4 3 2" xfId="22613"/>
    <cellStyle name="Normal 151 3 4 4" xfId="15957"/>
    <cellStyle name="Normal 151 3 5" xfId="6903"/>
    <cellStyle name="Normal 151 3 5 2" xfId="17621"/>
    <cellStyle name="Normal 151 3 6" xfId="10233"/>
    <cellStyle name="Normal 151 3 6 2" xfId="20949"/>
    <cellStyle name="Normal 151 3 7" xfId="14291"/>
    <cellStyle name="Normal 151 4" xfId="3750"/>
    <cellStyle name="Normal 151 4 2" xfId="4606"/>
    <cellStyle name="Normal 151 4 2 2" xfId="6274"/>
    <cellStyle name="Normal 151 4 2 2 2" xfId="9609"/>
    <cellStyle name="Normal 151 4 2 2 2 2" xfId="20325"/>
    <cellStyle name="Normal 151 4 2 2 3" xfId="12937"/>
    <cellStyle name="Normal 151 4 2 2 3 2" xfId="23653"/>
    <cellStyle name="Normal 151 4 2 2 4" xfId="16997"/>
    <cellStyle name="Normal 151 4 2 3" xfId="7945"/>
    <cellStyle name="Normal 151 4 2 3 2" xfId="18661"/>
    <cellStyle name="Normal 151 4 2 4" xfId="11273"/>
    <cellStyle name="Normal 151 4 2 4 2" xfId="21989"/>
    <cellStyle name="Normal 151 4 2 5" xfId="15333"/>
    <cellStyle name="Normal 151 4 3" xfId="5442"/>
    <cellStyle name="Normal 151 4 3 2" xfId="8777"/>
    <cellStyle name="Normal 151 4 3 2 2" xfId="19493"/>
    <cellStyle name="Normal 151 4 3 3" xfId="12105"/>
    <cellStyle name="Normal 151 4 3 3 2" xfId="22821"/>
    <cellStyle name="Normal 151 4 3 4" xfId="16165"/>
    <cellStyle name="Normal 151 4 4" xfId="7113"/>
    <cellStyle name="Normal 151 4 4 2" xfId="17829"/>
    <cellStyle name="Normal 151 4 5" xfId="10441"/>
    <cellStyle name="Normal 151 4 5 2" xfId="21157"/>
    <cellStyle name="Normal 151 4 6" xfId="14501"/>
    <cellStyle name="Normal 151 5" xfId="4188"/>
    <cellStyle name="Normal 151 5 2" xfId="5858"/>
    <cellStyle name="Normal 151 5 2 2" xfId="9193"/>
    <cellStyle name="Normal 151 5 2 2 2" xfId="19909"/>
    <cellStyle name="Normal 151 5 2 3" xfId="12521"/>
    <cellStyle name="Normal 151 5 2 3 2" xfId="23237"/>
    <cellStyle name="Normal 151 5 2 4" xfId="16581"/>
    <cellStyle name="Normal 151 5 3" xfId="7529"/>
    <cellStyle name="Normal 151 5 3 2" xfId="18245"/>
    <cellStyle name="Normal 151 5 4" xfId="10857"/>
    <cellStyle name="Normal 151 5 4 2" xfId="21573"/>
    <cellStyle name="Normal 151 5 5" xfId="14917"/>
    <cellStyle name="Normal 151 6" xfId="5023"/>
    <cellStyle name="Normal 151 6 2" xfId="8361"/>
    <cellStyle name="Normal 151 6 2 2" xfId="19077"/>
    <cellStyle name="Normal 151 6 3" xfId="11689"/>
    <cellStyle name="Normal 151 6 3 2" xfId="22405"/>
    <cellStyle name="Normal 151 6 4" xfId="15749"/>
    <cellStyle name="Normal 151 7" xfId="6693"/>
    <cellStyle name="Normal 151 7 2" xfId="17413"/>
    <cellStyle name="Normal 151 8" xfId="10025"/>
    <cellStyle name="Normal 151 8 2" xfId="20741"/>
    <cellStyle name="Normal 151 9" xfId="14082"/>
    <cellStyle name="Normal 152" xfId="1214"/>
    <cellStyle name="Normal 152 2" xfId="1215"/>
    <cellStyle name="Normal 152 2 2" xfId="2916"/>
    <cellStyle name="Normal 152 3" xfId="2915"/>
    <cellStyle name="Normal 152 3 2" xfId="3975"/>
    <cellStyle name="Normal 152 3 2 2" xfId="4815"/>
    <cellStyle name="Normal 152 3 2 2 2" xfId="6483"/>
    <cellStyle name="Normal 152 3 2 2 2 2" xfId="9818"/>
    <cellStyle name="Normal 152 3 2 2 2 2 2" xfId="20534"/>
    <cellStyle name="Normal 152 3 2 2 2 3" xfId="13146"/>
    <cellStyle name="Normal 152 3 2 2 2 3 2" xfId="23862"/>
    <cellStyle name="Normal 152 3 2 2 2 4" xfId="17206"/>
    <cellStyle name="Normal 152 3 2 2 3" xfId="8154"/>
    <cellStyle name="Normal 152 3 2 2 3 2" xfId="18870"/>
    <cellStyle name="Normal 152 3 2 2 4" xfId="11482"/>
    <cellStyle name="Normal 152 3 2 2 4 2" xfId="22198"/>
    <cellStyle name="Normal 152 3 2 2 5" xfId="15542"/>
    <cellStyle name="Normal 152 3 2 3" xfId="5651"/>
    <cellStyle name="Normal 152 3 2 3 2" xfId="8986"/>
    <cellStyle name="Normal 152 3 2 3 2 2" xfId="19702"/>
    <cellStyle name="Normal 152 3 2 3 3" xfId="12314"/>
    <cellStyle name="Normal 152 3 2 3 3 2" xfId="23030"/>
    <cellStyle name="Normal 152 3 2 3 4" xfId="16374"/>
    <cellStyle name="Normal 152 3 2 4" xfId="7322"/>
    <cellStyle name="Normal 152 3 2 4 2" xfId="18038"/>
    <cellStyle name="Normal 152 3 2 5" xfId="10650"/>
    <cellStyle name="Normal 152 3 2 5 2" xfId="21366"/>
    <cellStyle name="Normal 152 3 2 6" xfId="14710"/>
    <cellStyle name="Normal 152 3 3" xfId="4399"/>
    <cellStyle name="Normal 152 3 3 2" xfId="6067"/>
    <cellStyle name="Normal 152 3 3 2 2" xfId="9402"/>
    <cellStyle name="Normal 152 3 3 2 2 2" xfId="20118"/>
    <cellStyle name="Normal 152 3 3 2 3" xfId="12730"/>
    <cellStyle name="Normal 152 3 3 2 3 2" xfId="23446"/>
    <cellStyle name="Normal 152 3 3 2 4" xfId="16790"/>
    <cellStyle name="Normal 152 3 3 3" xfId="7738"/>
    <cellStyle name="Normal 152 3 3 3 2" xfId="18454"/>
    <cellStyle name="Normal 152 3 3 4" xfId="11066"/>
    <cellStyle name="Normal 152 3 3 4 2" xfId="21782"/>
    <cellStyle name="Normal 152 3 3 5" xfId="15126"/>
    <cellStyle name="Normal 152 3 4" xfId="5235"/>
    <cellStyle name="Normal 152 3 4 2" xfId="8570"/>
    <cellStyle name="Normal 152 3 4 2 2" xfId="19286"/>
    <cellStyle name="Normal 152 3 4 3" xfId="11898"/>
    <cellStyle name="Normal 152 3 4 3 2" xfId="22614"/>
    <cellStyle name="Normal 152 3 4 4" xfId="15958"/>
    <cellStyle name="Normal 152 3 5" xfId="6904"/>
    <cellStyle name="Normal 152 3 5 2" xfId="17622"/>
    <cellStyle name="Normal 152 3 6" xfId="10234"/>
    <cellStyle name="Normal 152 3 6 2" xfId="20950"/>
    <cellStyle name="Normal 152 3 7" xfId="14292"/>
    <cellStyle name="Normal 152 4" xfId="3751"/>
    <cellStyle name="Normal 152 4 2" xfId="4607"/>
    <cellStyle name="Normal 152 4 2 2" xfId="6275"/>
    <cellStyle name="Normal 152 4 2 2 2" xfId="9610"/>
    <cellStyle name="Normal 152 4 2 2 2 2" xfId="20326"/>
    <cellStyle name="Normal 152 4 2 2 3" xfId="12938"/>
    <cellStyle name="Normal 152 4 2 2 3 2" xfId="23654"/>
    <cellStyle name="Normal 152 4 2 2 4" xfId="16998"/>
    <cellStyle name="Normal 152 4 2 3" xfId="7946"/>
    <cellStyle name="Normal 152 4 2 3 2" xfId="18662"/>
    <cellStyle name="Normal 152 4 2 4" xfId="11274"/>
    <cellStyle name="Normal 152 4 2 4 2" xfId="21990"/>
    <cellStyle name="Normal 152 4 2 5" xfId="15334"/>
    <cellStyle name="Normal 152 4 3" xfId="5443"/>
    <cellStyle name="Normal 152 4 3 2" xfId="8778"/>
    <cellStyle name="Normal 152 4 3 2 2" xfId="19494"/>
    <cellStyle name="Normal 152 4 3 3" xfId="12106"/>
    <cellStyle name="Normal 152 4 3 3 2" xfId="22822"/>
    <cellStyle name="Normal 152 4 3 4" xfId="16166"/>
    <cellStyle name="Normal 152 4 4" xfId="7114"/>
    <cellStyle name="Normal 152 4 4 2" xfId="17830"/>
    <cellStyle name="Normal 152 4 5" xfId="10442"/>
    <cellStyle name="Normal 152 4 5 2" xfId="21158"/>
    <cellStyle name="Normal 152 4 6" xfId="14502"/>
    <cellStyle name="Normal 152 5" xfId="4189"/>
    <cellStyle name="Normal 152 5 2" xfId="5859"/>
    <cellStyle name="Normal 152 5 2 2" xfId="9194"/>
    <cellStyle name="Normal 152 5 2 2 2" xfId="19910"/>
    <cellStyle name="Normal 152 5 2 3" xfId="12522"/>
    <cellStyle name="Normal 152 5 2 3 2" xfId="23238"/>
    <cellStyle name="Normal 152 5 2 4" xfId="16582"/>
    <cellStyle name="Normal 152 5 3" xfId="7530"/>
    <cellStyle name="Normal 152 5 3 2" xfId="18246"/>
    <cellStyle name="Normal 152 5 4" xfId="10858"/>
    <cellStyle name="Normal 152 5 4 2" xfId="21574"/>
    <cellStyle name="Normal 152 5 5" xfId="14918"/>
    <cellStyle name="Normal 152 6" xfId="5024"/>
    <cellStyle name="Normal 152 6 2" xfId="8362"/>
    <cellStyle name="Normal 152 6 2 2" xfId="19078"/>
    <cellStyle name="Normal 152 6 3" xfId="11690"/>
    <cellStyle name="Normal 152 6 3 2" xfId="22406"/>
    <cellStyle name="Normal 152 6 4" xfId="15750"/>
    <cellStyle name="Normal 152 7" xfId="6694"/>
    <cellStyle name="Normal 152 7 2" xfId="17414"/>
    <cellStyle name="Normal 152 8" xfId="10026"/>
    <cellStyle name="Normal 152 8 2" xfId="20742"/>
    <cellStyle name="Normal 152 9" xfId="14083"/>
    <cellStyle name="Normal 153" xfId="1216"/>
    <cellStyle name="Normal 153 2" xfId="1217"/>
    <cellStyle name="Normal 153 2 2" xfId="2918"/>
    <cellStyle name="Normal 153 3" xfId="2917"/>
    <cellStyle name="Normal 153 3 2" xfId="3976"/>
    <cellStyle name="Normal 153 3 2 2" xfId="4816"/>
    <cellStyle name="Normal 153 3 2 2 2" xfId="6484"/>
    <cellStyle name="Normal 153 3 2 2 2 2" xfId="9819"/>
    <cellStyle name="Normal 153 3 2 2 2 2 2" xfId="20535"/>
    <cellStyle name="Normal 153 3 2 2 2 3" xfId="13147"/>
    <cellStyle name="Normal 153 3 2 2 2 3 2" xfId="23863"/>
    <cellStyle name="Normal 153 3 2 2 2 4" xfId="17207"/>
    <cellStyle name="Normal 153 3 2 2 3" xfId="8155"/>
    <cellStyle name="Normal 153 3 2 2 3 2" xfId="18871"/>
    <cellStyle name="Normal 153 3 2 2 4" xfId="11483"/>
    <cellStyle name="Normal 153 3 2 2 4 2" xfId="22199"/>
    <cellStyle name="Normal 153 3 2 2 5" xfId="15543"/>
    <cellStyle name="Normal 153 3 2 3" xfId="5652"/>
    <cellStyle name="Normal 153 3 2 3 2" xfId="8987"/>
    <cellStyle name="Normal 153 3 2 3 2 2" xfId="19703"/>
    <cellStyle name="Normal 153 3 2 3 3" xfId="12315"/>
    <cellStyle name="Normal 153 3 2 3 3 2" xfId="23031"/>
    <cellStyle name="Normal 153 3 2 3 4" xfId="16375"/>
    <cellStyle name="Normal 153 3 2 4" xfId="7323"/>
    <cellStyle name="Normal 153 3 2 4 2" xfId="18039"/>
    <cellStyle name="Normal 153 3 2 5" xfId="10651"/>
    <cellStyle name="Normal 153 3 2 5 2" xfId="21367"/>
    <cellStyle name="Normal 153 3 2 6" xfId="14711"/>
    <cellStyle name="Normal 153 3 3" xfId="4400"/>
    <cellStyle name="Normal 153 3 3 2" xfId="6068"/>
    <cellStyle name="Normal 153 3 3 2 2" xfId="9403"/>
    <cellStyle name="Normal 153 3 3 2 2 2" xfId="20119"/>
    <cellStyle name="Normal 153 3 3 2 3" xfId="12731"/>
    <cellStyle name="Normal 153 3 3 2 3 2" xfId="23447"/>
    <cellStyle name="Normal 153 3 3 2 4" xfId="16791"/>
    <cellStyle name="Normal 153 3 3 3" xfId="7739"/>
    <cellStyle name="Normal 153 3 3 3 2" xfId="18455"/>
    <cellStyle name="Normal 153 3 3 4" xfId="11067"/>
    <cellStyle name="Normal 153 3 3 4 2" xfId="21783"/>
    <cellStyle name="Normal 153 3 3 5" xfId="15127"/>
    <cellStyle name="Normal 153 3 4" xfId="5236"/>
    <cellStyle name="Normal 153 3 4 2" xfId="8571"/>
    <cellStyle name="Normal 153 3 4 2 2" xfId="19287"/>
    <cellStyle name="Normal 153 3 4 3" xfId="11899"/>
    <cellStyle name="Normal 153 3 4 3 2" xfId="22615"/>
    <cellStyle name="Normal 153 3 4 4" xfId="15959"/>
    <cellStyle name="Normal 153 3 5" xfId="6905"/>
    <cellStyle name="Normal 153 3 5 2" xfId="17623"/>
    <cellStyle name="Normal 153 3 6" xfId="10235"/>
    <cellStyle name="Normal 153 3 6 2" xfId="20951"/>
    <cellStyle name="Normal 153 3 7" xfId="14293"/>
    <cellStyle name="Normal 153 4" xfId="3752"/>
    <cellStyle name="Normal 153 4 2" xfId="4608"/>
    <cellStyle name="Normal 153 4 2 2" xfId="6276"/>
    <cellStyle name="Normal 153 4 2 2 2" xfId="9611"/>
    <cellStyle name="Normal 153 4 2 2 2 2" xfId="20327"/>
    <cellStyle name="Normal 153 4 2 2 3" xfId="12939"/>
    <cellStyle name="Normal 153 4 2 2 3 2" xfId="23655"/>
    <cellStyle name="Normal 153 4 2 2 4" xfId="16999"/>
    <cellStyle name="Normal 153 4 2 3" xfId="7947"/>
    <cellStyle name="Normal 153 4 2 3 2" xfId="18663"/>
    <cellStyle name="Normal 153 4 2 4" xfId="11275"/>
    <cellStyle name="Normal 153 4 2 4 2" xfId="21991"/>
    <cellStyle name="Normal 153 4 2 5" xfId="15335"/>
    <cellStyle name="Normal 153 4 3" xfId="5444"/>
    <cellStyle name="Normal 153 4 3 2" xfId="8779"/>
    <cellStyle name="Normal 153 4 3 2 2" xfId="19495"/>
    <cellStyle name="Normal 153 4 3 3" xfId="12107"/>
    <cellStyle name="Normal 153 4 3 3 2" xfId="22823"/>
    <cellStyle name="Normal 153 4 3 4" xfId="16167"/>
    <cellStyle name="Normal 153 4 4" xfId="7115"/>
    <cellStyle name="Normal 153 4 4 2" xfId="17831"/>
    <cellStyle name="Normal 153 4 5" xfId="10443"/>
    <cellStyle name="Normal 153 4 5 2" xfId="21159"/>
    <cellStyle name="Normal 153 4 6" xfId="14503"/>
    <cellStyle name="Normal 153 5" xfId="4190"/>
    <cellStyle name="Normal 153 5 2" xfId="5860"/>
    <cellStyle name="Normal 153 5 2 2" xfId="9195"/>
    <cellStyle name="Normal 153 5 2 2 2" xfId="19911"/>
    <cellStyle name="Normal 153 5 2 3" xfId="12523"/>
    <cellStyle name="Normal 153 5 2 3 2" xfId="23239"/>
    <cellStyle name="Normal 153 5 2 4" xfId="16583"/>
    <cellStyle name="Normal 153 5 3" xfId="7531"/>
    <cellStyle name="Normal 153 5 3 2" xfId="18247"/>
    <cellStyle name="Normal 153 5 4" xfId="10859"/>
    <cellStyle name="Normal 153 5 4 2" xfId="21575"/>
    <cellStyle name="Normal 153 5 5" xfId="14919"/>
    <cellStyle name="Normal 153 6" xfId="5025"/>
    <cellStyle name="Normal 153 6 2" xfId="8363"/>
    <cellStyle name="Normal 153 6 2 2" xfId="19079"/>
    <cellStyle name="Normal 153 6 3" xfId="11691"/>
    <cellStyle name="Normal 153 6 3 2" xfId="22407"/>
    <cellStyle name="Normal 153 6 4" xfId="15751"/>
    <cellStyle name="Normal 153 7" xfId="6695"/>
    <cellStyle name="Normal 153 7 2" xfId="17415"/>
    <cellStyle name="Normal 153 8" xfId="10027"/>
    <cellStyle name="Normal 153 8 2" xfId="20743"/>
    <cellStyle name="Normal 153 9" xfId="14084"/>
    <cellStyle name="Normal 154" xfId="1218"/>
    <cellStyle name="Normal 154 2" xfId="1219"/>
    <cellStyle name="Normal 154 2 2" xfId="2920"/>
    <cellStyle name="Normal 154 3" xfId="2919"/>
    <cellStyle name="Normal 155" xfId="1220"/>
    <cellStyle name="Normal 155 2" xfId="1221"/>
    <cellStyle name="Normal 155 2 2" xfId="2922"/>
    <cellStyle name="Normal 155 3" xfId="2921"/>
    <cellStyle name="Normal 156" xfId="1222"/>
    <cellStyle name="Normal 156 2" xfId="1223"/>
    <cellStyle name="Normal 156 2 2" xfId="2924"/>
    <cellStyle name="Normal 156 3" xfId="2923"/>
    <cellStyle name="Normal 157" xfId="1224"/>
    <cellStyle name="Normal 157 2" xfId="1225"/>
    <cellStyle name="Normal 157 2 2" xfId="2926"/>
    <cellStyle name="Normal 157 3" xfId="2925"/>
    <cellStyle name="Normal 158" xfId="1226"/>
    <cellStyle name="Normal 158 2" xfId="2927"/>
    <cellStyle name="Normal 159" xfId="1227"/>
    <cellStyle name="Normal 159 2" xfId="2928"/>
    <cellStyle name="Normal 16" xfId="1228"/>
    <cellStyle name="Normal 16 2" xfId="1229"/>
    <cellStyle name="Normal 16 2 2" xfId="1230"/>
    <cellStyle name="Normal 16 2 2 2" xfId="2931"/>
    <cellStyle name="Normal 16 2 3" xfId="1231"/>
    <cellStyle name="Normal 16 2 3 2" xfId="2932"/>
    <cellStyle name="Normal 16 2 4" xfId="1232"/>
    <cellStyle name="Normal 16 2 4 2" xfId="2933"/>
    <cellStyle name="Normal 16 2 5" xfId="2930"/>
    <cellStyle name="Normal 16 3" xfId="1233"/>
    <cellStyle name="Normal 16 3 2" xfId="2934"/>
    <cellStyle name="Normal 16 4" xfId="1234"/>
    <cellStyle name="Normal 16 4 2" xfId="2935"/>
    <cellStyle name="Normal 16 5" xfId="2929"/>
    <cellStyle name="Normal 160" xfId="1235"/>
    <cellStyle name="Normal 160 2" xfId="2936"/>
    <cellStyle name="Normal 161" xfId="1236"/>
    <cellStyle name="Normal 161 2" xfId="2937"/>
    <cellStyle name="Normal 162" xfId="1237"/>
    <cellStyle name="Normal 162 2" xfId="2938"/>
    <cellStyle name="Normal 163" xfId="1238"/>
    <cellStyle name="Normal 163 2" xfId="2939"/>
    <cellStyle name="Normal 164" xfId="1239"/>
    <cellStyle name="Normal 164 2" xfId="2940"/>
    <cellStyle name="Normal 165" xfId="1240"/>
    <cellStyle name="Normal 165 2" xfId="2941"/>
    <cellStyle name="Normal 166" xfId="1241"/>
    <cellStyle name="Normal 166 2" xfId="2942"/>
    <cellStyle name="Normal 167" xfId="1242"/>
    <cellStyle name="Normal 167 2" xfId="2943"/>
    <cellStyle name="Normal 168" xfId="1243"/>
    <cellStyle name="Normal 168 2" xfId="3753"/>
    <cellStyle name="Normal 169" xfId="1244"/>
    <cellStyle name="Normal 169 2" xfId="3754"/>
    <cellStyle name="Normal 17" xfId="1245"/>
    <cellStyle name="Normal 17 2" xfId="1246"/>
    <cellStyle name="Normal 17 2 2" xfId="2945"/>
    <cellStyle name="Normal 17 3" xfId="2944"/>
    <cellStyle name="Normal 170" xfId="1247"/>
    <cellStyle name="Normal 170 2" xfId="3755"/>
    <cellStyle name="Normal 171" xfId="1248"/>
    <cellStyle name="Normal 171 2" xfId="3756"/>
    <cellStyle name="Normal 172" xfId="1249"/>
    <cellStyle name="Normal 172 2" xfId="3757"/>
    <cellStyle name="Normal 173" xfId="2235"/>
    <cellStyle name="Normal 174" xfId="3647"/>
    <cellStyle name="Normal 175" xfId="3648"/>
    <cellStyle name="Normal 176" xfId="3876"/>
    <cellStyle name="Normal 177" xfId="3877"/>
    <cellStyle name="Normal 178" xfId="3873"/>
    <cellStyle name="Normal 179" xfId="4087"/>
    <cellStyle name="Normal 18" xfId="1250"/>
    <cellStyle name="Normal 18 2" xfId="1251"/>
    <cellStyle name="Normal 18 2 2" xfId="2947"/>
    <cellStyle name="Normal 18 3" xfId="2946"/>
    <cellStyle name="Normal 180" xfId="3875"/>
    <cellStyle name="Normal 181" xfId="3878"/>
    <cellStyle name="Normal 182" xfId="4088"/>
    <cellStyle name="Normal 183" xfId="4301"/>
    <cellStyle name="Normal 184" xfId="4092"/>
    <cellStyle name="Normal 185" xfId="4089"/>
    <cellStyle name="Normal 186" xfId="4091"/>
    <cellStyle name="Normal 187" xfId="4090"/>
    <cellStyle name="Normal 188" xfId="4302"/>
    <cellStyle name="Normal 189" xfId="4927"/>
    <cellStyle name="Normal 19" xfId="1252"/>
    <cellStyle name="Normal 19 2" xfId="1253"/>
    <cellStyle name="Normal 19 2 2" xfId="1254"/>
    <cellStyle name="Normal 19 2 2 2" xfId="2950"/>
    <cellStyle name="Normal 19 2 3" xfId="1255"/>
    <cellStyle name="Normal 19 2 3 2" xfId="2951"/>
    <cellStyle name="Normal 19 2 4" xfId="2949"/>
    <cellStyle name="Normal 19 3" xfId="1256"/>
    <cellStyle name="Normal 19 3 2" xfId="2952"/>
    <cellStyle name="Normal 19 4" xfId="1257"/>
    <cellStyle name="Normal 19 4 2" xfId="2953"/>
    <cellStyle name="Normal 19 5" xfId="2948"/>
    <cellStyle name="Normal 190" xfId="5136"/>
    <cellStyle name="Normal 191" xfId="5138"/>
    <cellStyle name="Normal 192" xfId="5137"/>
    <cellStyle name="Normal 193" xfId="6595"/>
    <cellStyle name="Normal 194" xfId="6806"/>
    <cellStyle name="Normal 195" xfId="6807"/>
    <cellStyle name="Normal 196" xfId="6916"/>
    <cellStyle name="Normal 197" xfId="6597"/>
    <cellStyle name="Normal 198" xfId="6596"/>
    <cellStyle name="Normal 199" xfId="13258"/>
    <cellStyle name="Normal 2" xfId="1258"/>
    <cellStyle name="Normal 2 10" xfId="1259"/>
    <cellStyle name="Normal 2 10 2" xfId="2955"/>
    <cellStyle name="Normal 2 11" xfId="2954"/>
    <cellStyle name="Normal 2 2" xfId="1260"/>
    <cellStyle name="Normal 2 2 10" xfId="10028"/>
    <cellStyle name="Normal 2 2 10 2" xfId="20744"/>
    <cellStyle name="Normal 2 2 11" xfId="14085"/>
    <cellStyle name="Normal 2 2 2" xfId="1261"/>
    <cellStyle name="Normal 2 2 2 2" xfId="2957"/>
    <cellStyle name="Normal 2 2 2 3" xfId="13848"/>
    <cellStyle name="Normal 2 2 3" xfId="1262"/>
    <cellStyle name="Normal 2 2 3 2" xfId="1263"/>
    <cellStyle name="Normal 2 2 3 2 2" xfId="2959"/>
    <cellStyle name="Normal 2 2 3 3" xfId="1264"/>
    <cellStyle name="Normal 2 2 3 3 2" xfId="2960"/>
    <cellStyle name="Normal 2 2 3 4" xfId="2958"/>
    <cellStyle name="Normal 2 2 4" xfId="1265"/>
    <cellStyle name="Normal 2 2 4 2" xfId="1266"/>
    <cellStyle name="Normal 2 2 4 2 2" xfId="2962"/>
    <cellStyle name="Normal 2 2 4 2 2 2" xfId="3979"/>
    <cellStyle name="Normal 2 2 4 2 2 2 2" xfId="4819"/>
    <cellStyle name="Normal 2 2 4 2 2 2 2 2" xfId="6487"/>
    <cellStyle name="Normal 2 2 4 2 2 2 2 2 2" xfId="9822"/>
    <cellStyle name="Normal 2 2 4 2 2 2 2 2 2 2" xfId="20538"/>
    <cellStyle name="Normal 2 2 4 2 2 2 2 2 3" xfId="13150"/>
    <cellStyle name="Normal 2 2 4 2 2 2 2 2 3 2" xfId="23866"/>
    <cellStyle name="Normal 2 2 4 2 2 2 2 2 4" xfId="17210"/>
    <cellStyle name="Normal 2 2 4 2 2 2 2 3" xfId="8158"/>
    <cellStyle name="Normal 2 2 4 2 2 2 2 3 2" xfId="18874"/>
    <cellStyle name="Normal 2 2 4 2 2 2 2 4" xfId="11486"/>
    <cellStyle name="Normal 2 2 4 2 2 2 2 4 2" xfId="22202"/>
    <cellStyle name="Normal 2 2 4 2 2 2 2 5" xfId="15546"/>
    <cellStyle name="Normal 2 2 4 2 2 2 3" xfId="5655"/>
    <cellStyle name="Normal 2 2 4 2 2 2 3 2" xfId="8990"/>
    <cellStyle name="Normal 2 2 4 2 2 2 3 2 2" xfId="19706"/>
    <cellStyle name="Normal 2 2 4 2 2 2 3 3" xfId="12318"/>
    <cellStyle name="Normal 2 2 4 2 2 2 3 3 2" xfId="23034"/>
    <cellStyle name="Normal 2 2 4 2 2 2 3 4" xfId="16378"/>
    <cellStyle name="Normal 2 2 4 2 2 2 4" xfId="7326"/>
    <cellStyle name="Normal 2 2 4 2 2 2 4 2" xfId="18042"/>
    <cellStyle name="Normal 2 2 4 2 2 2 5" xfId="10654"/>
    <cellStyle name="Normal 2 2 4 2 2 2 5 2" xfId="21370"/>
    <cellStyle name="Normal 2 2 4 2 2 2 6" xfId="14714"/>
    <cellStyle name="Normal 2 2 4 2 2 3" xfId="4403"/>
    <cellStyle name="Normal 2 2 4 2 2 3 2" xfId="6071"/>
    <cellStyle name="Normal 2 2 4 2 2 3 2 2" xfId="9406"/>
    <cellStyle name="Normal 2 2 4 2 2 3 2 2 2" xfId="20122"/>
    <cellStyle name="Normal 2 2 4 2 2 3 2 3" xfId="12734"/>
    <cellStyle name="Normal 2 2 4 2 2 3 2 3 2" xfId="23450"/>
    <cellStyle name="Normal 2 2 4 2 2 3 2 4" xfId="16794"/>
    <cellStyle name="Normal 2 2 4 2 2 3 3" xfId="7742"/>
    <cellStyle name="Normal 2 2 4 2 2 3 3 2" xfId="18458"/>
    <cellStyle name="Normal 2 2 4 2 2 3 4" xfId="11070"/>
    <cellStyle name="Normal 2 2 4 2 2 3 4 2" xfId="21786"/>
    <cellStyle name="Normal 2 2 4 2 2 3 5" xfId="15130"/>
    <cellStyle name="Normal 2 2 4 2 2 4" xfId="5239"/>
    <cellStyle name="Normal 2 2 4 2 2 4 2" xfId="8574"/>
    <cellStyle name="Normal 2 2 4 2 2 4 2 2" xfId="19290"/>
    <cellStyle name="Normal 2 2 4 2 2 4 3" xfId="11902"/>
    <cellStyle name="Normal 2 2 4 2 2 4 3 2" xfId="22618"/>
    <cellStyle name="Normal 2 2 4 2 2 4 4" xfId="15962"/>
    <cellStyle name="Normal 2 2 4 2 2 5" xfId="6908"/>
    <cellStyle name="Normal 2 2 4 2 2 5 2" xfId="17626"/>
    <cellStyle name="Normal 2 2 4 2 2 6" xfId="10238"/>
    <cellStyle name="Normal 2 2 4 2 2 6 2" xfId="20954"/>
    <cellStyle name="Normal 2 2 4 2 2 7" xfId="14297"/>
    <cellStyle name="Normal 2 2 4 2 3" xfId="3760"/>
    <cellStyle name="Normal 2 2 4 2 3 2" xfId="4611"/>
    <cellStyle name="Normal 2 2 4 2 3 2 2" xfId="6279"/>
    <cellStyle name="Normal 2 2 4 2 3 2 2 2" xfId="9614"/>
    <cellStyle name="Normal 2 2 4 2 3 2 2 2 2" xfId="20330"/>
    <cellStyle name="Normal 2 2 4 2 3 2 2 3" xfId="12942"/>
    <cellStyle name="Normal 2 2 4 2 3 2 2 3 2" xfId="23658"/>
    <cellStyle name="Normal 2 2 4 2 3 2 2 4" xfId="17002"/>
    <cellStyle name="Normal 2 2 4 2 3 2 3" xfId="7950"/>
    <cellStyle name="Normal 2 2 4 2 3 2 3 2" xfId="18666"/>
    <cellStyle name="Normal 2 2 4 2 3 2 4" xfId="11278"/>
    <cellStyle name="Normal 2 2 4 2 3 2 4 2" xfId="21994"/>
    <cellStyle name="Normal 2 2 4 2 3 2 5" xfId="15338"/>
    <cellStyle name="Normal 2 2 4 2 3 3" xfId="5447"/>
    <cellStyle name="Normal 2 2 4 2 3 3 2" xfId="8782"/>
    <cellStyle name="Normal 2 2 4 2 3 3 2 2" xfId="19498"/>
    <cellStyle name="Normal 2 2 4 2 3 3 3" xfId="12110"/>
    <cellStyle name="Normal 2 2 4 2 3 3 3 2" xfId="22826"/>
    <cellStyle name="Normal 2 2 4 2 3 3 4" xfId="16170"/>
    <cellStyle name="Normal 2 2 4 2 3 4" xfId="7118"/>
    <cellStyle name="Normal 2 2 4 2 3 4 2" xfId="17834"/>
    <cellStyle name="Normal 2 2 4 2 3 5" xfId="10446"/>
    <cellStyle name="Normal 2 2 4 2 3 5 2" xfId="21162"/>
    <cellStyle name="Normal 2 2 4 2 3 6" xfId="14506"/>
    <cellStyle name="Normal 2 2 4 2 4" xfId="4193"/>
    <cellStyle name="Normal 2 2 4 2 4 2" xfId="5863"/>
    <cellStyle name="Normal 2 2 4 2 4 2 2" xfId="9198"/>
    <cellStyle name="Normal 2 2 4 2 4 2 2 2" xfId="19914"/>
    <cellStyle name="Normal 2 2 4 2 4 2 3" xfId="12526"/>
    <cellStyle name="Normal 2 2 4 2 4 2 3 2" xfId="23242"/>
    <cellStyle name="Normal 2 2 4 2 4 2 4" xfId="16586"/>
    <cellStyle name="Normal 2 2 4 2 4 3" xfId="7534"/>
    <cellStyle name="Normal 2 2 4 2 4 3 2" xfId="18250"/>
    <cellStyle name="Normal 2 2 4 2 4 4" xfId="10862"/>
    <cellStyle name="Normal 2 2 4 2 4 4 2" xfId="21578"/>
    <cellStyle name="Normal 2 2 4 2 4 5" xfId="14922"/>
    <cellStyle name="Normal 2 2 4 2 5" xfId="5028"/>
    <cellStyle name="Normal 2 2 4 2 5 2" xfId="8366"/>
    <cellStyle name="Normal 2 2 4 2 5 2 2" xfId="19082"/>
    <cellStyle name="Normal 2 2 4 2 5 3" xfId="11694"/>
    <cellStyle name="Normal 2 2 4 2 5 3 2" xfId="22410"/>
    <cellStyle name="Normal 2 2 4 2 5 4" xfId="15754"/>
    <cellStyle name="Normal 2 2 4 2 6" xfId="6698"/>
    <cellStyle name="Normal 2 2 4 2 6 2" xfId="17418"/>
    <cellStyle name="Normal 2 2 4 2 7" xfId="10030"/>
    <cellStyle name="Normal 2 2 4 2 7 2" xfId="20746"/>
    <cellStyle name="Normal 2 2 4 2 8" xfId="14087"/>
    <cellStyle name="Normal 2 2 4 3" xfId="2961"/>
    <cellStyle name="Normal 2 2 4 3 2" xfId="3978"/>
    <cellStyle name="Normal 2 2 4 3 2 2" xfId="4818"/>
    <cellStyle name="Normal 2 2 4 3 2 2 2" xfId="6486"/>
    <cellStyle name="Normal 2 2 4 3 2 2 2 2" xfId="9821"/>
    <cellStyle name="Normal 2 2 4 3 2 2 2 2 2" xfId="20537"/>
    <cellStyle name="Normal 2 2 4 3 2 2 2 3" xfId="13149"/>
    <cellStyle name="Normal 2 2 4 3 2 2 2 3 2" xfId="23865"/>
    <cellStyle name="Normal 2 2 4 3 2 2 2 4" xfId="17209"/>
    <cellStyle name="Normal 2 2 4 3 2 2 3" xfId="8157"/>
    <cellStyle name="Normal 2 2 4 3 2 2 3 2" xfId="18873"/>
    <cellStyle name="Normal 2 2 4 3 2 2 4" xfId="11485"/>
    <cellStyle name="Normal 2 2 4 3 2 2 4 2" xfId="22201"/>
    <cellStyle name="Normal 2 2 4 3 2 2 5" xfId="15545"/>
    <cellStyle name="Normal 2 2 4 3 2 3" xfId="5654"/>
    <cellStyle name="Normal 2 2 4 3 2 3 2" xfId="8989"/>
    <cellStyle name="Normal 2 2 4 3 2 3 2 2" xfId="19705"/>
    <cellStyle name="Normal 2 2 4 3 2 3 3" xfId="12317"/>
    <cellStyle name="Normal 2 2 4 3 2 3 3 2" xfId="23033"/>
    <cellStyle name="Normal 2 2 4 3 2 3 4" xfId="16377"/>
    <cellStyle name="Normal 2 2 4 3 2 4" xfId="7325"/>
    <cellStyle name="Normal 2 2 4 3 2 4 2" xfId="18041"/>
    <cellStyle name="Normal 2 2 4 3 2 5" xfId="10653"/>
    <cellStyle name="Normal 2 2 4 3 2 5 2" xfId="21369"/>
    <cellStyle name="Normal 2 2 4 3 2 6" xfId="14713"/>
    <cellStyle name="Normal 2 2 4 3 3" xfId="4402"/>
    <cellStyle name="Normal 2 2 4 3 3 2" xfId="6070"/>
    <cellStyle name="Normal 2 2 4 3 3 2 2" xfId="9405"/>
    <cellStyle name="Normal 2 2 4 3 3 2 2 2" xfId="20121"/>
    <cellStyle name="Normal 2 2 4 3 3 2 3" xfId="12733"/>
    <cellStyle name="Normal 2 2 4 3 3 2 3 2" xfId="23449"/>
    <cellStyle name="Normal 2 2 4 3 3 2 4" xfId="16793"/>
    <cellStyle name="Normal 2 2 4 3 3 3" xfId="7741"/>
    <cellStyle name="Normal 2 2 4 3 3 3 2" xfId="18457"/>
    <cellStyle name="Normal 2 2 4 3 3 4" xfId="11069"/>
    <cellStyle name="Normal 2 2 4 3 3 4 2" xfId="21785"/>
    <cellStyle name="Normal 2 2 4 3 3 5" xfId="15129"/>
    <cellStyle name="Normal 2 2 4 3 4" xfId="5238"/>
    <cellStyle name="Normal 2 2 4 3 4 2" xfId="8573"/>
    <cellStyle name="Normal 2 2 4 3 4 2 2" xfId="19289"/>
    <cellStyle name="Normal 2 2 4 3 4 3" xfId="11901"/>
    <cellStyle name="Normal 2 2 4 3 4 3 2" xfId="22617"/>
    <cellStyle name="Normal 2 2 4 3 4 4" xfId="15961"/>
    <cellStyle name="Normal 2 2 4 3 5" xfId="6907"/>
    <cellStyle name="Normal 2 2 4 3 5 2" xfId="17625"/>
    <cellStyle name="Normal 2 2 4 3 6" xfId="10237"/>
    <cellStyle name="Normal 2 2 4 3 6 2" xfId="20953"/>
    <cellStyle name="Normal 2 2 4 3 7" xfId="14296"/>
    <cellStyle name="Normal 2 2 4 4" xfId="3759"/>
    <cellStyle name="Normal 2 2 4 4 2" xfId="4610"/>
    <cellStyle name="Normal 2 2 4 4 2 2" xfId="6278"/>
    <cellStyle name="Normal 2 2 4 4 2 2 2" xfId="9613"/>
    <cellStyle name="Normal 2 2 4 4 2 2 2 2" xfId="20329"/>
    <cellStyle name="Normal 2 2 4 4 2 2 3" xfId="12941"/>
    <cellStyle name="Normal 2 2 4 4 2 2 3 2" xfId="23657"/>
    <cellStyle name="Normal 2 2 4 4 2 2 4" xfId="17001"/>
    <cellStyle name="Normal 2 2 4 4 2 3" xfId="7949"/>
    <cellStyle name="Normal 2 2 4 4 2 3 2" xfId="18665"/>
    <cellStyle name="Normal 2 2 4 4 2 4" xfId="11277"/>
    <cellStyle name="Normal 2 2 4 4 2 4 2" xfId="21993"/>
    <cellStyle name="Normal 2 2 4 4 2 5" xfId="15337"/>
    <cellStyle name="Normal 2 2 4 4 3" xfId="5446"/>
    <cellStyle name="Normal 2 2 4 4 3 2" xfId="8781"/>
    <cellStyle name="Normal 2 2 4 4 3 2 2" xfId="19497"/>
    <cellStyle name="Normal 2 2 4 4 3 3" xfId="12109"/>
    <cellStyle name="Normal 2 2 4 4 3 3 2" xfId="22825"/>
    <cellStyle name="Normal 2 2 4 4 3 4" xfId="16169"/>
    <cellStyle name="Normal 2 2 4 4 4" xfId="7117"/>
    <cellStyle name="Normal 2 2 4 4 4 2" xfId="17833"/>
    <cellStyle name="Normal 2 2 4 4 5" xfId="10445"/>
    <cellStyle name="Normal 2 2 4 4 5 2" xfId="21161"/>
    <cellStyle name="Normal 2 2 4 4 6" xfId="14505"/>
    <cellStyle name="Normal 2 2 4 5" xfId="4192"/>
    <cellStyle name="Normal 2 2 4 5 2" xfId="5862"/>
    <cellStyle name="Normal 2 2 4 5 2 2" xfId="9197"/>
    <cellStyle name="Normal 2 2 4 5 2 2 2" xfId="19913"/>
    <cellStyle name="Normal 2 2 4 5 2 3" xfId="12525"/>
    <cellStyle name="Normal 2 2 4 5 2 3 2" xfId="23241"/>
    <cellStyle name="Normal 2 2 4 5 2 4" xfId="16585"/>
    <cellStyle name="Normal 2 2 4 5 3" xfId="7533"/>
    <cellStyle name="Normal 2 2 4 5 3 2" xfId="18249"/>
    <cellStyle name="Normal 2 2 4 5 4" xfId="10861"/>
    <cellStyle name="Normal 2 2 4 5 4 2" xfId="21577"/>
    <cellStyle name="Normal 2 2 4 5 5" xfId="14921"/>
    <cellStyle name="Normal 2 2 4 6" xfId="5027"/>
    <cellStyle name="Normal 2 2 4 6 2" xfId="8365"/>
    <cellStyle name="Normal 2 2 4 6 2 2" xfId="19081"/>
    <cellStyle name="Normal 2 2 4 6 3" xfId="11693"/>
    <cellStyle name="Normal 2 2 4 6 3 2" xfId="22409"/>
    <cellStyle name="Normal 2 2 4 6 4" xfId="15753"/>
    <cellStyle name="Normal 2 2 4 7" xfId="6697"/>
    <cellStyle name="Normal 2 2 4 7 2" xfId="17417"/>
    <cellStyle name="Normal 2 2 4 8" xfId="10029"/>
    <cellStyle name="Normal 2 2 4 8 2" xfId="20745"/>
    <cellStyle name="Normal 2 2 4 9" xfId="14086"/>
    <cellStyle name="Normal 2 2 5" xfId="2956"/>
    <cellStyle name="Normal 2 2 5 2" xfId="3977"/>
    <cellStyle name="Normal 2 2 5 2 2" xfId="4817"/>
    <cellStyle name="Normal 2 2 5 2 2 2" xfId="6485"/>
    <cellStyle name="Normal 2 2 5 2 2 2 2" xfId="9820"/>
    <cellStyle name="Normal 2 2 5 2 2 2 2 2" xfId="20536"/>
    <cellStyle name="Normal 2 2 5 2 2 2 3" xfId="13148"/>
    <cellStyle name="Normal 2 2 5 2 2 2 3 2" xfId="23864"/>
    <cellStyle name="Normal 2 2 5 2 2 2 4" xfId="17208"/>
    <cellStyle name="Normal 2 2 5 2 2 3" xfId="8156"/>
    <cellStyle name="Normal 2 2 5 2 2 3 2" xfId="18872"/>
    <cellStyle name="Normal 2 2 5 2 2 4" xfId="11484"/>
    <cellStyle name="Normal 2 2 5 2 2 4 2" xfId="22200"/>
    <cellStyle name="Normal 2 2 5 2 2 5" xfId="15544"/>
    <cellStyle name="Normal 2 2 5 2 3" xfId="5653"/>
    <cellStyle name="Normal 2 2 5 2 3 2" xfId="8988"/>
    <cellStyle name="Normal 2 2 5 2 3 2 2" xfId="19704"/>
    <cellStyle name="Normal 2 2 5 2 3 3" xfId="12316"/>
    <cellStyle name="Normal 2 2 5 2 3 3 2" xfId="23032"/>
    <cellStyle name="Normal 2 2 5 2 3 4" xfId="16376"/>
    <cellStyle name="Normal 2 2 5 2 4" xfId="7324"/>
    <cellStyle name="Normal 2 2 5 2 4 2" xfId="18040"/>
    <cellStyle name="Normal 2 2 5 2 5" xfId="10652"/>
    <cellStyle name="Normal 2 2 5 2 5 2" xfId="21368"/>
    <cellStyle name="Normal 2 2 5 2 6" xfId="14712"/>
    <cellStyle name="Normal 2 2 5 3" xfId="4401"/>
    <cellStyle name="Normal 2 2 5 3 2" xfId="6069"/>
    <cellStyle name="Normal 2 2 5 3 2 2" xfId="9404"/>
    <cellStyle name="Normal 2 2 5 3 2 2 2" xfId="20120"/>
    <cellStyle name="Normal 2 2 5 3 2 3" xfId="12732"/>
    <cellStyle name="Normal 2 2 5 3 2 3 2" xfId="23448"/>
    <cellStyle name="Normal 2 2 5 3 2 4" xfId="16792"/>
    <cellStyle name="Normal 2 2 5 3 3" xfId="7740"/>
    <cellStyle name="Normal 2 2 5 3 3 2" xfId="18456"/>
    <cellStyle name="Normal 2 2 5 3 4" xfId="11068"/>
    <cellStyle name="Normal 2 2 5 3 4 2" xfId="21784"/>
    <cellStyle name="Normal 2 2 5 3 5" xfId="15128"/>
    <cellStyle name="Normal 2 2 5 4" xfId="5237"/>
    <cellStyle name="Normal 2 2 5 4 2" xfId="8572"/>
    <cellStyle name="Normal 2 2 5 4 2 2" xfId="19288"/>
    <cellStyle name="Normal 2 2 5 4 3" xfId="11900"/>
    <cellStyle name="Normal 2 2 5 4 3 2" xfId="22616"/>
    <cellStyle name="Normal 2 2 5 4 4" xfId="15960"/>
    <cellStyle name="Normal 2 2 5 5" xfId="6906"/>
    <cellStyle name="Normal 2 2 5 5 2" xfId="17624"/>
    <cellStyle name="Normal 2 2 5 6" xfId="10236"/>
    <cellStyle name="Normal 2 2 5 6 2" xfId="20952"/>
    <cellStyle name="Normal 2 2 5 7" xfId="14295"/>
    <cellStyle name="Normal 2 2 6" xfId="3758"/>
    <cellStyle name="Normal 2 2 6 2" xfId="4609"/>
    <cellStyle name="Normal 2 2 6 2 2" xfId="6277"/>
    <cellStyle name="Normal 2 2 6 2 2 2" xfId="9612"/>
    <cellStyle name="Normal 2 2 6 2 2 2 2" xfId="20328"/>
    <cellStyle name="Normal 2 2 6 2 2 3" xfId="12940"/>
    <cellStyle name="Normal 2 2 6 2 2 3 2" xfId="23656"/>
    <cellStyle name="Normal 2 2 6 2 2 4" xfId="17000"/>
    <cellStyle name="Normal 2 2 6 2 3" xfId="7948"/>
    <cellStyle name="Normal 2 2 6 2 3 2" xfId="18664"/>
    <cellStyle name="Normal 2 2 6 2 4" xfId="11276"/>
    <cellStyle name="Normal 2 2 6 2 4 2" xfId="21992"/>
    <cellStyle name="Normal 2 2 6 2 5" xfId="15336"/>
    <cellStyle name="Normal 2 2 6 3" xfId="5445"/>
    <cellStyle name="Normal 2 2 6 3 2" xfId="8780"/>
    <cellStyle name="Normal 2 2 6 3 2 2" xfId="19496"/>
    <cellStyle name="Normal 2 2 6 3 3" xfId="12108"/>
    <cellStyle name="Normal 2 2 6 3 3 2" xfId="22824"/>
    <cellStyle name="Normal 2 2 6 3 4" xfId="16168"/>
    <cellStyle name="Normal 2 2 6 4" xfId="7116"/>
    <cellStyle name="Normal 2 2 6 4 2" xfId="17832"/>
    <cellStyle name="Normal 2 2 6 5" xfId="10444"/>
    <cellStyle name="Normal 2 2 6 5 2" xfId="21160"/>
    <cellStyle name="Normal 2 2 6 6" xfId="14504"/>
    <cellStyle name="Normal 2 2 7" xfId="4191"/>
    <cellStyle name="Normal 2 2 7 2" xfId="5861"/>
    <cellStyle name="Normal 2 2 7 2 2" xfId="9196"/>
    <cellStyle name="Normal 2 2 7 2 2 2" xfId="19912"/>
    <cellStyle name="Normal 2 2 7 2 3" xfId="12524"/>
    <cellStyle name="Normal 2 2 7 2 3 2" xfId="23240"/>
    <cellStyle name="Normal 2 2 7 2 4" xfId="16584"/>
    <cellStyle name="Normal 2 2 7 3" xfId="7532"/>
    <cellStyle name="Normal 2 2 7 3 2" xfId="18248"/>
    <cellStyle name="Normal 2 2 7 4" xfId="10860"/>
    <cellStyle name="Normal 2 2 7 4 2" xfId="21576"/>
    <cellStyle name="Normal 2 2 7 5" xfId="14920"/>
    <cellStyle name="Normal 2 2 8" xfId="5026"/>
    <cellStyle name="Normal 2 2 8 2" xfId="8364"/>
    <cellStyle name="Normal 2 2 8 2 2" xfId="19080"/>
    <cellStyle name="Normal 2 2 8 3" xfId="11692"/>
    <cellStyle name="Normal 2 2 8 3 2" xfId="22408"/>
    <cellStyle name="Normal 2 2 8 4" xfId="15752"/>
    <cellStyle name="Normal 2 2 9" xfId="6696"/>
    <cellStyle name="Normal 2 2 9 2" xfId="17416"/>
    <cellStyle name="Normal 2 2_Pivot Table Tips" xfId="1267"/>
    <cellStyle name="Normal 2 3" xfId="1268"/>
    <cellStyle name="Normal 2 3 2" xfId="1269"/>
    <cellStyle name="Normal 2 3 2 2" xfId="2964"/>
    <cellStyle name="Normal 2 3 3" xfId="1270"/>
    <cellStyle name="Normal 2 3 4" xfId="1271"/>
    <cellStyle name="Normal 2 3 4 2" xfId="2965"/>
    <cellStyle name="Normal 2 3 5" xfId="1272"/>
    <cellStyle name="Normal 2 3 5 2" xfId="2966"/>
    <cellStyle name="Normal 2 3 6" xfId="2963"/>
    <cellStyle name="Normal 2 3 7" xfId="13849"/>
    <cellStyle name="Normal 2 4" xfId="1273"/>
    <cellStyle name="Normal 2 4 2" xfId="1274"/>
    <cellStyle name="Normal 2 4 2 2" xfId="2967"/>
    <cellStyle name="Normal 2 4 3" xfId="1275"/>
    <cellStyle name="Normal 2 4 3 2" xfId="2968"/>
    <cellStyle name="Normal 2 4 4" xfId="1276"/>
    <cellStyle name="Normal 2 4 4 2" xfId="2969"/>
    <cellStyle name="Normal 2 4 5" xfId="1277"/>
    <cellStyle name="Normal 2 5" xfId="1278"/>
    <cellStyle name="Normal 2 5 2" xfId="1279"/>
    <cellStyle name="Normal 2 5 2 2" xfId="2971"/>
    <cellStyle name="Normal 2 5 3" xfId="1280"/>
    <cellStyle name="Normal 2 5 3 2" xfId="2972"/>
    <cellStyle name="Normal 2 5 4" xfId="2970"/>
    <cellStyle name="Normal 2 6" xfId="1281"/>
    <cellStyle name="Normal 2 6 2" xfId="1282"/>
    <cellStyle name="Normal 2 6 2 2" xfId="2974"/>
    <cellStyle name="Normal 2 6 3" xfId="1283"/>
    <cellStyle name="Normal 2 6 3 2" xfId="2975"/>
    <cellStyle name="Normal 2 6 4" xfId="2973"/>
    <cellStyle name="Normal 2 7" xfId="1284"/>
    <cellStyle name="Normal 2 7 2" xfId="1285"/>
    <cellStyle name="Normal 2 7 2 10" xfId="14088"/>
    <cellStyle name="Normal 2 7 2 2" xfId="1286"/>
    <cellStyle name="Normal 2 7 2 2 2" xfId="1287"/>
    <cellStyle name="Normal 2 7 2 2 2 2" xfId="2979"/>
    <cellStyle name="Normal 2 7 2 2 2 2 2" xfId="3982"/>
    <cellStyle name="Normal 2 7 2 2 2 2 2 2" xfId="4822"/>
    <cellStyle name="Normal 2 7 2 2 2 2 2 2 2" xfId="6490"/>
    <cellStyle name="Normal 2 7 2 2 2 2 2 2 2 2" xfId="9825"/>
    <cellStyle name="Normal 2 7 2 2 2 2 2 2 2 2 2" xfId="20541"/>
    <cellStyle name="Normal 2 7 2 2 2 2 2 2 2 3" xfId="13153"/>
    <cellStyle name="Normal 2 7 2 2 2 2 2 2 2 3 2" xfId="23869"/>
    <cellStyle name="Normal 2 7 2 2 2 2 2 2 2 4" xfId="17213"/>
    <cellStyle name="Normal 2 7 2 2 2 2 2 2 3" xfId="8161"/>
    <cellStyle name="Normal 2 7 2 2 2 2 2 2 3 2" xfId="18877"/>
    <cellStyle name="Normal 2 7 2 2 2 2 2 2 4" xfId="11489"/>
    <cellStyle name="Normal 2 7 2 2 2 2 2 2 4 2" xfId="22205"/>
    <cellStyle name="Normal 2 7 2 2 2 2 2 2 5" xfId="15549"/>
    <cellStyle name="Normal 2 7 2 2 2 2 2 3" xfId="5658"/>
    <cellStyle name="Normal 2 7 2 2 2 2 2 3 2" xfId="8993"/>
    <cellStyle name="Normal 2 7 2 2 2 2 2 3 2 2" xfId="19709"/>
    <cellStyle name="Normal 2 7 2 2 2 2 2 3 3" xfId="12321"/>
    <cellStyle name="Normal 2 7 2 2 2 2 2 3 3 2" xfId="23037"/>
    <cellStyle name="Normal 2 7 2 2 2 2 2 3 4" xfId="16381"/>
    <cellStyle name="Normal 2 7 2 2 2 2 2 4" xfId="7329"/>
    <cellStyle name="Normal 2 7 2 2 2 2 2 4 2" xfId="18045"/>
    <cellStyle name="Normal 2 7 2 2 2 2 2 5" xfId="10657"/>
    <cellStyle name="Normal 2 7 2 2 2 2 2 5 2" xfId="21373"/>
    <cellStyle name="Normal 2 7 2 2 2 2 2 6" xfId="14717"/>
    <cellStyle name="Normal 2 7 2 2 2 2 3" xfId="4406"/>
    <cellStyle name="Normal 2 7 2 2 2 2 3 2" xfId="6074"/>
    <cellStyle name="Normal 2 7 2 2 2 2 3 2 2" xfId="9409"/>
    <cellStyle name="Normal 2 7 2 2 2 2 3 2 2 2" xfId="20125"/>
    <cellStyle name="Normal 2 7 2 2 2 2 3 2 3" xfId="12737"/>
    <cellStyle name="Normal 2 7 2 2 2 2 3 2 3 2" xfId="23453"/>
    <cellStyle name="Normal 2 7 2 2 2 2 3 2 4" xfId="16797"/>
    <cellStyle name="Normal 2 7 2 2 2 2 3 3" xfId="7745"/>
    <cellStyle name="Normal 2 7 2 2 2 2 3 3 2" xfId="18461"/>
    <cellStyle name="Normal 2 7 2 2 2 2 3 4" xfId="11073"/>
    <cellStyle name="Normal 2 7 2 2 2 2 3 4 2" xfId="21789"/>
    <cellStyle name="Normal 2 7 2 2 2 2 3 5" xfId="15133"/>
    <cellStyle name="Normal 2 7 2 2 2 2 4" xfId="5242"/>
    <cellStyle name="Normal 2 7 2 2 2 2 4 2" xfId="8577"/>
    <cellStyle name="Normal 2 7 2 2 2 2 4 2 2" xfId="19293"/>
    <cellStyle name="Normal 2 7 2 2 2 2 4 3" xfId="11905"/>
    <cellStyle name="Normal 2 7 2 2 2 2 4 3 2" xfId="22621"/>
    <cellStyle name="Normal 2 7 2 2 2 2 4 4" xfId="15965"/>
    <cellStyle name="Normal 2 7 2 2 2 2 5" xfId="6911"/>
    <cellStyle name="Normal 2 7 2 2 2 2 5 2" xfId="17629"/>
    <cellStyle name="Normal 2 7 2 2 2 2 6" xfId="10241"/>
    <cellStyle name="Normal 2 7 2 2 2 2 6 2" xfId="20957"/>
    <cellStyle name="Normal 2 7 2 2 2 2 7" xfId="14300"/>
    <cellStyle name="Normal 2 7 2 2 2 3" xfId="3763"/>
    <cellStyle name="Normal 2 7 2 2 2 3 2" xfId="4614"/>
    <cellStyle name="Normal 2 7 2 2 2 3 2 2" xfId="6282"/>
    <cellStyle name="Normal 2 7 2 2 2 3 2 2 2" xfId="9617"/>
    <cellStyle name="Normal 2 7 2 2 2 3 2 2 2 2" xfId="20333"/>
    <cellStyle name="Normal 2 7 2 2 2 3 2 2 3" xfId="12945"/>
    <cellStyle name="Normal 2 7 2 2 2 3 2 2 3 2" xfId="23661"/>
    <cellStyle name="Normal 2 7 2 2 2 3 2 2 4" xfId="17005"/>
    <cellStyle name="Normal 2 7 2 2 2 3 2 3" xfId="7953"/>
    <cellStyle name="Normal 2 7 2 2 2 3 2 3 2" xfId="18669"/>
    <cellStyle name="Normal 2 7 2 2 2 3 2 4" xfId="11281"/>
    <cellStyle name="Normal 2 7 2 2 2 3 2 4 2" xfId="21997"/>
    <cellStyle name="Normal 2 7 2 2 2 3 2 5" xfId="15341"/>
    <cellStyle name="Normal 2 7 2 2 2 3 3" xfId="5450"/>
    <cellStyle name="Normal 2 7 2 2 2 3 3 2" xfId="8785"/>
    <cellStyle name="Normal 2 7 2 2 2 3 3 2 2" xfId="19501"/>
    <cellStyle name="Normal 2 7 2 2 2 3 3 3" xfId="12113"/>
    <cellStyle name="Normal 2 7 2 2 2 3 3 3 2" xfId="22829"/>
    <cellStyle name="Normal 2 7 2 2 2 3 3 4" xfId="16173"/>
    <cellStyle name="Normal 2 7 2 2 2 3 4" xfId="7121"/>
    <cellStyle name="Normal 2 7 2 2 2 3 4 2" xfId="17837"/>
    <cellStyle name="Normal 2 7 2 2 2 3 5" xfId="10449"/>
    <cellStyle name="Normal 2 7 2 2 2 3 5 2" xfId="21165"/>
    <cellStyle name="Normal 2 7 2 2 2 3 6" xfId="14509"/>
    <cellStyle name="Normal 2 7 2 2 2 4" xfId="4196"/>
    <cellStyle name="Normal 2 7 2 2 2 4 2" xfId="5866"/>
    <cellStyle name="Normal 2 7 2 2 2 4 2 2" xfId="9201"/>
    <cellStyle name="Normal 2 7 2 2 2 4 2 2 2" xfId="19917"/>
    <cellStyle name="Normal 2 7 2 2 2 4 2 3" xfId="12529"/>
    <cellStyle name="Normal 2 7 2 2 2 4 2 3 2" xfId="23245"/>
    <cellStyle name="Normal 2 7 2 2 2 4 2 4" xfId="16589"/>
    <cellStyle name="Normal 2 7 2 2 2 4 3" xfId="7537"/>
    <cellStyle name="Normal 2 7 2 2 2 4 3 2" xfId="18253"/>
    <cellStyle name="Normal 2 7 2 2 2 4 4" xfId="10865"/>
    <cellStyle name="Normal 2 7 2 2 2 4 4 2" xfId="21581"/>
    <cellStyle name="Normal 2 7 2 2 2 4 5" xfId="14925"/>
    <cellStyle name="Normal 2 7 2 2 2 5" xfId="5031"/>
    <cellStyle name="Normal 2 7 2 2 2 5 2" xfId="8369"/>
    <cellStyle name="Normal 2 7 2 2 2 5 2 2" xfId="19085"/>
    <cellStyle name="Normal 2 7 2 2 2 5 3" xfId="11697"/>
    <cellStyle name="Normal 2 7 2 2 2 5 3 2" xfId="22413"/>
    <cellStyle name="Normal 2 7 2 2 2 5 4" xfId="15757"/>
    <cellStyle name="Normal 2 7 2 2 2 6" xfId="6701"/>
    <cellStyle name="Normal 2 7 2 2 2 6 2" xfId="17421"/>
    <cellStyle name="Normal 2 7 2 2 2 7" xfId="10033"/>
    <cellStyle name="Normal 2 7 2 2 2 7 2" xfId="20749"/>
    <cellStyle name="Normal 2 7 2 2 2 8" xfId="14090"/>
    <cellStyle name="Normal 2 7 2 2 3" xfId="2978"/>
    <cellStyle name="Normal 2 7 2 2 3 2" xfId="3981"/>
    <cellStyle name="Normal 2 7 2 2 3 2 2" xfId="4821"/>
    <cellStyle name="Normal 2 7 2 2 3 2 2 2" xfId="6489"/>
    <cellStyle name="Normal 2 7 2 2 3 2 2 2 2" xfId="9824"/>
    <cellStyle name="Normal 2 7 2 2 3 2 2 2 2 2" xfId="20540"/>
    <cellStyle name="Normal 2 7 2 2 3 2 2 2 3" xfId="13152"/>
    <cellStyle name="Normal 2 7 2 2 3 2 2 2 3 2" xfId="23868"/>
    <cellStyle name="Normal 2 7 2 2 3 2 2 2 4" xfId="17212"/>
    <cellStyle name="Normal 2 7 2 2 3 2 2 3" xfId="8160"/>
    <cellStyle name="Normal 2 7 2 2 3 2 2 3 2" xfId="18876"/>
    <cellStyle name="Normal 2 7 2 2 3 2 2 4" xfId="11488"/>
    <cellStyle name="Normal 2 7 2 2 3 2 2 4 2" xfId="22204"/>
    <cellStyle name="Normal 2 7 2 2 3 2 2 5" xfId="15548"/>
    <cellStyle name="Normal 2 7 2 2 3 2 3" xfId="5657"/>
    <cellStyle name="Normal 2 7 2 2 3 2 3 2" xfId="8992"/>
    <cellStyle name="Normal 2 7 2 2 3 2 3 2 2" xfId="19708"/>
    <cellStyle name="Normal 2 7 2 2 3 2 3 3" xfId="12320"/>
    <cellStyle name="Normal 2 7 2 2 3 2 3 3 2" xfId="23036"/>
    <cellStyle name="Normal 2 7 2 2 3 2 3 4" xfId="16380"/>
    <cellStyle name="Normal 2 7 2 2 3 2 4" xfId="7328"/>
    <cellStyle name="Normal 2 7 2 2 3 2 4 2" xfId="18044"/>
    <cellStyle name="Normal 2 7 2 2 3 2 5" xfId="10656"/>
    <cellStyle name="Normal 2 7 2 2 3 2 5 2" xfId="21372"/>
    <cellStyle name="Normal 2 7 2 2 3 2 6" xfId="14716"/>
    <cellStyle name="Normal 2 7 2 2 3 3" xfId="4405"/>
    <cellStyle name="Normal 2 7 2 2 3 3 2" xfId="6073"/>
    <cellStyle name="Normal 2 7 2 2 3 3 2 2" xfId="9408"/>
    <cellStyle name="Normal 2 7 2 2 3 3 2 2 2" xfId="20124"/>
    <cellStyle name="Normal 2 7 2 2 3 3 2 3" xfId="12736"/>
    <cellStyle name="Normal 2 7 2 2 3 3 2 3 2" xfId="23452"/>
    <cellStyle name="Normal 2 7 2 2 3 3 2 4" xfId="16796"/>
    <cellStyle name="Normal 2 7 2 2 3 3 3" xfId="7744"/>
    <cellStyle name="Normal 2 7 2 2 3 3 3 2" xfId="18460"/>
    <cellStyle name="Normal 2 7 2 2 3 3 4" xfId="11072"/>
    <cellStyle name="Normal 2 7 2 2 3 3 4 2" xfId="21788"/>
    <cellStyle name="Normal 2 7 2 2 3 3 5" xfId="15132"/>
    <cellStyle name="Normal 2 7 2 2 3 4" xfId="5241"/>
    <cellStyle name="Normal 2 7 2 2 3 4 2" xfId="8576"/>
    <cellStyle name="Normal 2 7 2 2 3 4 2 2" xfId="19292"/>
    <cellStyle name="Normal 2 7 2 2 3 4 3" xfId="11904"/>
    <cellStyle name="Normal 2 7 2 2 3 4 3 2" xfId="22620"/>
    <cellStyle name="Normal 2 7 2 2 3 4 4" xfId="15964"/>
    <cellStyle name="Normal 2 7 2 2 3 5" xfId="6910"/>
    <cellStyle name="Normal 2 7 2 2 3 5 2" xfId="17628"/>
    <cellStyle name="Normal 2 7 2 2 3 6" xfId="10240"/>
    <cellStyle name="Normal 2 7 2 2 3 6 2" xfId="20956"/>
    <cellStyle name="Normal 2 7 2 2 3 7" xfId="14299"/>
    <cellStyle name="Normal 2 7 2 2 4" xfId="3762"/>
    <cellStyle name="Normal 2 7 2 2 4 2" xfId="4613"/>
    <cellStyle name="Normal 2 7 2 2 4 2 2" xfId="6281"/>
    <cellStyle name="Normal 2 7 2 2 4 2 2 2" xfId="9616"/>
    <cellStyle name="Normal 2 7 2 2 4 2 2 2 2" xfId="20332"/>
    <cellStyle name="Normal 2 7 2 2 4 2 2 3" xfId="12944"/>
    <cellStyle name="Normal 2 7 2 2 4 2 2 3 2" xfId="23660"/>
    <cellStyle name="Normal 2 7 2 2 4 2 2 4" xfId="17004"/>
    <cellStyle name="Normal 2 7 2 2 4 2 3" xfId="7952"/>
    <cellStyle name="Normal 2 7 2 2 4 2 3 2" xfId="18668"/>
    <cellStyle name="Normal 2 7 2 2 4 2 4" xfId="11280"/>
    <cellStyle name="Normal 2 7 2 2 4 2 4 2" xfId="21996"/>
    <cellStyle name="Normal 2 7 2 2 4 2 5" xfId="15340"/>
    <cellStyle name="Normal 2 7 2 2 4 3" xfId="5449"/>
    <cellStyle name="Normal 2 7 2 2 4 3 2" xfId="8784"/>
    <cellStyle name="Normal 2 7 2 2 4 3 2 2" xfId="19500"/>
    <cellStyle name="Normal 2 7 2 2 4 3 3" xfId="12112"/>
    <cellStyle name="Normal 2 7 2 2 4 3 3 2" xfId="22828"/>
    <cellStyle name="Normal 2 7 2 2 4 3 4" xfId="16172"/>
    <cellStyle name="Normal 2 7 2 2 4 4" xfId="7120"/>
    <cellStyle name="Normal 2 7 2 2 4 4 2" xfId="17836"/>
    <cellStyle name="Normal 2 7 2 2 4 5" xfId="10448"/>
    <cellStyle name="Normal 2 7 2 2 4 5 2" xfId="21164"/>
    <cellStyle name="Normal 2 7 2 2 4 6" xfId="14508"/>
    <cellStyle name="Normal 2 7 2 2 5" xfId="4195"/>
    <cellStyle name="Normal 2 7 2 2 5 2" xfId="5865"/>
    <cellStyle name="Normal 2 7 2 2 5 2 2" xfId="9200"/>
    <cellStyle name="Normal 2 7 2 2 5 2 2 2" xfId="19916"/>
    <cellStyle name="Normal 2 7 2 2 5 2 3" xfId="12528"/>
    <cellStyle name="Normal 2 7 2 2 5 2 3 2" xfId="23244"/>
    <cellStyle name="Normal 2 7 2 2 5 2 4" xfId="16588"/>
    <cellStyle name="Normal 2 7 2 2 5 3" xfId="7536"/>
    <cellStyle name="Normal 2 7 2 2 5 3 2" xfId="18252"/>
    <cellStyle name="Normal 2 7 2 2 5 4" xfId="10864"/>
    <cellStyle name="Normal 2 7 2 2 5 4 2" xfId="21580"/>
    <cellStyle name="Normal 2 7 2 2 5 5" xfId="14924"/>
    <cellStyle name="Normal 2 7 2 2 6" xfId="5030"/>
    <cellStyle name="Normal 2 7 2 2 6 2" xfId="8368"/>
    <cellStyle name="Normal 2 7 2 2 6 2 2" xfId="19084"/>
    <cellStyle name="Normal 2 7 2 2 6 3" xfId="11696"/>
    <cellStyle name="Normal 2 7 2 2 6 3 2" xfId="22412"/>
    <cellStyle name="Normal 2 7 2 2 6 4" xfId="15756"/>
    <cellStyle name="Normal 2 7 2 2 7" xfId="6700"/>
    <cellStyle name="Normal 2 7 2 2 7 2" xfId="17420"/>
    <cellStyle name="Normal 2 7 2 2 8" xfId="10032"/>
    <cellStyle name="Normal 2 7 2 2 8 2" xfId="20748"/>
    <cellStyle name="Normal 2 7 2 2 9" xfId="14089"/>
    <cellStyle name="Normal 2 7 2 3" xfId="1288"/>
    <cellStyle name="Normal 2 7 2 3 2" xfId="2980"/>
    <cellStyle name="Normal 2 7 2 3 2 2" xfId="3983"/>
    <cellStyle name="Normal 2 7 2 3 2 2 2" xfId="4823"/>
    <cellStyle name="Normal 2 7 2 3 2 2 2 2" xfId="6491"/>
    <cellStyle name="Normal 2 7 2 3 2 2 2 2 2" xfId="9826"/>
    <cellStyle name="Normal 2 7 2 3 2 2 2 2 2 2" xfId="20542"/>
    <cellStyle name="Normal 2 7 2 3 2 2 2 2 3" xfId="13154"/>
    <cellStyle name="Normal 2 7 2 3 2 2 2 2 3 2" xfId="23870"/>
    <cellStyle name="Normal 2 7 2 3 2 2 2 2 4" xfId="17214"/>
    <cellStyle name="Normal 2 7 2 3 2 2 2 3" xfId="8162"/>
    <cellStyle name="Normal 2 7 2 3 2 2 2 3 2" xfId="18878"/>
    <cellStyle name="Normal 2 7 2 3 2 2 2 4" xfId="11490"/>
    <cellStyle name="Normal 2 7 2 3 2 2 2 4 2" xfId="22206"/>
    <cellStyle name="Normal 2 7 2 3 2 2 2 5" xfId="15550"/>
    <cellStyle name="Normal 2 7 2 3 2 2 3" xfId="5659"/>
    <cellStyle name="Normal 2 7 2 3 2 2 3 2" xfId="8994"/>
    <cellStyle name="Normal 2 7 2 3 2 2 3 2 2" xfId="19710"/>
    <cellStyle name="Normal 2 7 2 3 2 2 3 3" xfId="12322"/>
    <cellStyle name="Normal 2 7 2 3 2 2 3 3 2" xfId="23038"/>
    <cellStyle name="Normal 2 7 2 3 2 2 3 4" xfId="16382"/>
    <cellStyle name="Normal 2 7 2 3 2 2 4" xfId="7330"/>
    <cellStyle name="Normal 2 7 2 3 2 2 4 2" xfId="18046"/>
    <cellStyle name="Normal 2 7 2 3 2 2 5" xfId="10658"/>
    <cellStyle name="Normal 2 7 2 3 2 2 5 2" xfId="21374"/>
    <cellStyle name="Normal 2 7 2 3 2 2 6" xfId="14718"/>
    <cellStyle name="Normal 2 7 2 3 2 3" xfId="4407"/>
    <cellStyle name="Normal 2 7 2 3 2 3 2" xfId="6075"/>
    <cellStyle name="Normal 2 7 2 3 2 3 2 2" xfId="9410"/>
    <cellStyle name="Normal 2 7 2 3 2 3 2 2 2" xfId="20126"/>
    <cellStyle name="Normal 2 7 2 3 2 3 2 3" xfId="12738"/>
    <cellStyle name="Normal 2 7 2 3 2 3 2 3 2" xfId="23454"/>
    <cellStyle name="Normal 2 7 2 3 2 3 2 4" xfId="16798"/>
    <cellStyle name="Normal 2 7 2 3 2 3 3" xfId="7746"/>
    <cellStyle name="Normal 2 7 2 3 2 3 3 2" xfId="18462"/>
    <cellStyle name="Normal 2 7 2 3 2 3 4" xfId="11074"/>
    <cellStyle name="Normal 2 7 2 3 2 3 4 2" xfId="21790"/>
    <cellStyle name="Normal 2 7 2 3 2 3 5" xfId="15134"/>
    <cellStyle name="Normal 2 7 2 3 2 4" xfId="5243"/>
    <cellStyle name="Normal 2 7 2 3 2 4 2" xfId="8578"/>
    <cellStyle name="Normal 2 7 2 3 2 4 2 2" xfId="19294"/>
    <cellStyle name="Normal 2 7 2 3 2 4 3" xfId="11906"/>
    <cellStyle name="Normal 2 7 2 3 2 4 3 2" xfId="22622"/>
    <cellStyle name="Normal 2 7 2 3 2 4 4" xfId="15966"/>
    <cellStyle name="Normal 2 7 2 3 2 5" xfId="6912"/>
    <cellStyle name="Normal 2 7 2 3 2 5 2" xfId="17630"/>
    <cellStyle name="Normal 2 7 2 3 2 6" xfId="10242"/>
    <cellStyle name="Normal 2 7 2 3 2 6 2" xfId="20958"/>
    <cellStyle name="Normal 2 7 2 3 2 7" xfId="14301"/>
    <cellStyle name="Normal 2 7 2 3 3" xfId="3764"/>
    <cellStyle name="Normal 2 7 2 3 3 2" xfId="4615"/>
    <cellStyle name="Normal 2 7 2 3 3 2 2" xfId="6283"/>
    <cellStyle name="Normal 2 7 2 3 3 2 2 2" xfId="9618"/>
    <cellStyle name="Normal 2 7 2 3 3 2 2 2 2" xfId="20334"/>
    <cellStyle name="Normal 2 7 2 3 3 2 2 3" xfId="12946"/>
    <cellStyle name="Normal 2 7 2 3 3 2 2 3 2" xfId="23662"/>
    <cellStyle name="Normal 2 7 2 3 3 2 2 4" xfId="17006"/>
    <cellStyle name="Normal 2 7 2 3 3 2 3" xfId="7954"/>
    <cellStyle name="Normal 2 7 2 3 3 2 3 2" xfId="18670"/>
    <cellStyle name="Normal 2 7 2 3 3 2 4" xfId="11282"/>
    <cellStyle name="Normal 2 7 2 3 3 2 4 2" xfId="21998"/>
    <cellStyle name="Normal 2 7 2 3 3 2 5" xfId="15342"/>
    <cellStyle name="Normal 2 7 2 3 3 3" xfId="5451"/>
    <cellStyle name="Normal 2 7 2 3 3 3 2" xfId="8786"/>
    <cellStyle name="Normal 2 7 2 3 3 3 2 2" xfId="19502"/>
    <cellStyle name="Normal 2 7 2 3 3 3 3" xfId="12114"/>
    <cellStyle name="Normal 2 7 2 3 3 3 3 2" xfId="22830"/>
    <cellStyle name="Normal 2 7 2 3 3 3 4" xfId="16174"/>
    <cellStyle name="Normal 2 7 2 3 3 4" xfId="7122"/>
    <cellStyle name="Normal 2 7 2 3 3 4 2" xfId="17838"/>
    <cellStyle name="Normal 2 7 2 3 3 5" xfId="10450"/>
    <cellStyle name="Normal 2 7 2 3 3 5 2" xfId="21166"/>
    <cellStyle name="Normal 2 7 2 3 3 6" xfId="14510"/>
    <cellStyle name="Normal 2 7 2 3 4" xfId="4197"/>
    <cellStyle name="Normal 2 7 2 3 4 2" xfId="5867"/>
    <cellStyle name="Normal 2 7 2 3 4 2 2" xfId="9202"/>
    <cellStyle name="Normal 2 7 2 3 4 2 2 2" xfId="19918"/>
    <cellStyle name="Normal 2 7 2 3 4 2 3" xfId="12530"/>
    <cellStyle name="Normal 2 7 2 3 4 2 3 2" xfId="23246"/>
    <cellStyle name="Normal 2 7 2 3 4 2 4" xfId="16590"/>
    <cellStyle name="Normal 2 7 2 3 4 3" xfId="7538"/>
    <cellStyle name="Normal 2 7 2 3 4 3 2" xfId="18254"/>
    <cellStyle name="Normal 2 7 2 3 4 4" xfId="10866"/>
    <cellStyle name="Normal 2 7 2 3 4 4 2" xfId="21582"/>
    <cellStyle name="Normal 2 7 2 3 4 5" xfId="14926"/>
    <cellStyle name="Normal 2 7 2 3 5" xfId="5032"/>
    <cellStyle name="Normal 2 7 2 3 5 2" xfId="8370"/>
    <cellStyle name="Normal 2 7 2 3 5 2 2" xfId="19086"/>
    <cellStyle name="Normal 2 7 2 3 5 3" xfId="11698"/>
    <cellStyle name="Normal 2 7 2 3 5 3 2" xfId="22414"/>
    <cellStyle name="Normal 2 7 2 3 5 4" xfId="15758"/>
    <cellStyle name="Normal 2 7 2 3 6" xfId="6702"/>
    <cellStyle name="Normal 2 7 2 3 6 2" xfId="17422"/>
    <cellStyle name="Normal 2 7 2 3 7" xfId="10034"/>
    <cellStyle name="Normal 2 7 2 3 7 2" xfId="20750"/>
    <cellStyle name="Normal 2 7 2 3 8" xfId="14091"/>
    <cellStyle name="Normal 2 7 2 4" xfId="2977"/>
    <cellStyle name="Normal 2 7 2 4 2" xfId="3980"/>
    <cellStyle name="Normal 2 7 2 4 2 2" xfId="4820"/>
    <cellStyle name="Normal 2 7 2 4 2 2 2" xfId="6488"/>
    <cellStyle name="Normal 2 7 2 4 2 2 2 2" xfId="9823"/>
    <cellStyle name="Normal 2 7 2 4 2 2 2 2 2" xfId="20539"/>
    <cellStyle name="Normal 2 7 2 4 2 2 2 3" xfId="13151"/>
    <cellStyle name="Normal 2 7 2 4 2 2 2 3 2" xfId="23867"/>
    <cellStyle name="Normal 2 7 2 4 2 2 2 4" xfId="17211"/>
    <cellStyle name="Normal 2 7 2 4 2 2 3" xfId="8159"/>
    <cellStyle name="Normal 2 7 2 4 2 2 3 2" xfId="18875"/>
    <cellStyle name="Normal 2 7 2 4 2 2 4" xfId="11487"/>
    <cellStyle name="Normal 2 7 2 4 2 2 4 2" xfId="22203"/>
    <cellStyle name="Normal 2 7 2 4 2 2 5" xfId="15547"/>
    <cellStyle name="Normal 2 7 2 4 2 3" xfId="5656"/>
    <cellStyle name="Normal 2 7 2 4 2 3 2" xfId="8991"/>
    <cellStyle name="Normal 2 7 2 4 2 3 2 2" xfId="19707"/>
    <cellStyle name="Normal 2 7 2 4 2 3 3" xfId="12319"/>
    <cellStyle name="Normal 2 7 2 4 2 3 3 2" xfId="23035"/>
    <cellStyle name="Normal 2 7 2 4 2 3 4" xfId="16379"/>
    <cellStyle name="Normal 2 7 2 4 2 4" xfId="7327"/>
    <cellStyle name="Normal 2 7 2 4 2 4 2" xfId="18043"/>
    <cellStyle name="Normal 2 7 2 4 2 5" xfId="10655"/>
    <cellStyle name="Normal 2 7 2 4 2 5 2" xfId="21371"/>
    <cellStyle name="Normal 2 7 2 4 2 6" xfId="14715"/>
    <cellStyle name="Normal 2 7 2 4 3" xfId="4404"/>
    <cellStyle name="Normal 2 7 2 4 3 2" xfId="6072"/>
    <cellStyle name="Normal 2 7 2 4 3 2 2" xfId="9407"/>
    <cellStyle name="Normal 2 7 2 4 3 2 2 2" xfId="20123"/>
    <cellStyle name="Normal 2 7 2 4 3 2 3" xfId="12735"/>
    <cellStyle name="Normal 2 7 2 4 3 2 3 2" xfId="23451"/>
    <cellStyle name="Normal 2 7 2 4 3 2 4" xfId="16795"/>
    <cellStyle name="Normal 2 7 2 4 3 3" xfId="7743"/>
    <cellStyle name="Normal 2 7 2 4 3 3 2" xfId="18459"/>
    <cellStyle name="Normal 2 7 2 4 3 4" xfId="11071"/>
    <cellStyle name="Normal 2 7 2 4 3 4 2" xfId="21787"/>
    <cellStyle name="Normal 2 7 2 4 3 5" xfId="15131"/>
    <cellStyle name="Normal 2 7 2 4 4" xfId="5240"/>
    <cellStyle name="Normal 2 7 2 4 4 2" xfId="8575"/>
    <cellStyle name="Normal 2 7 2 4 4 2 2" xfId="19291"/>
    <cellStyle name="Normal 2 7 2 4 4 3" xfId="11903"/>
    <cellStyle name="Normal 2 7 2 4 4 3 2" xfId="22619"/>
    <cellStyle name="Normal 2 7 2 4 4 4" xfId="15963"/>
    <cellStyle name="Normal 2 7 2 4 5" xfId="6909"/>
    <cellStyle name="Normal 2 7 2 4 5 2" xfId="17627"/>
    <cellStyle name="Normal 2 7 2 4 6" xfId="10239"/>
    <cellStyle name="Normal 2 7 2 4 6 2" xfId="20955"/>
    <cellStyle name="Normal 2 7 2 4 7" xfId="14298"/>
    <cellStyle name="Normal 2 7 2 5" xfId="3761"/>
    <cellStyle name="Normal 2 7 2 5 2" xfId="4612"/>
    <cellStyle name="Normal 2 7 2 5 2 2" xfId="6280"/>
    <cellStyle name="Normal 2 7 2 5 2 2 2" xfId="9615"/>
    <cellStyle name="Normal 2 7 2 5 2 2 2 2" xfId="20331"/>
    <cellStyle name="Normal 2 7 2 5 2 2 3" xfId="12943"/>
    <cellStyle name="Normal 2 7 2 5 2 2 3 2" xfId="23659"/>
    <cellStyle name="Normal 2 7 2 5 2 2 4" xfId="17003"/>
    <cellStyle name="Normal 2 7 2 5 2 3" xfId="7951"/>
    <cellStyle name="Normal 2 7 2 5 2 3 2" xfId="18667"/>
    <cellStyle name="Normal 2 7 2 5 2 4" xfId="11279"/>
    <cellStyle name="Normal 2 7 2 5 2 4 2" xfId="21995"/>
    <cellStyle name="Normal 2 7 2 5 2 5" xfId="15339"/>
    <cellStyle name="Normal 2 7 2 5 3" xfId="5448"/>
    <cellStyle name="Normal 2 7 2 5 3 2" xfId="8783"/>
    <cellStyle name="Normal 2 7 2 5 3 2 2" xfId="19499"/>
    <cellStyle name="Normal 2 7 2 5 3 3" xfId="12111"/>
    <cellStyle name="Normal 2 7 2 5 3 3 2" xfId="22827"/>
    <cellStyle name="Normal 2 7 2 5 3 4" xfId="16171"/>
    <cellStyle name="Normal 2 7 2 5 4" xfId="7119"/>
    <cellStyle name="Normal 2 7 2 5 4 2" xfId="17835"/>
    <cellStyle name="Normal 2 7 2 5 5" xfId="10447"/>
    <cellStyle name="Normal 2 7 2 5 5 2" xfId="21163"/>
    <cellStyle name="Normal 2 7 2 5 6" xfId="14507"/>
    <cellStyle name="Normal 2 7 2 6" xfId="4194"/>
    <cellStyle name="Normal 2 7 2 6 2" xfId="5864"/>
    <cellStyle name="Normal 2 7 2 6 2 2" xfId="9199"/>
    <cellStyle name="Normal 2 7 2 6 2 2 2" xfId="19915"/>
    <cellStyle name="Normal 2 7 2 6 2 3" xfId="12527"/>
    <cellStyle name="Normal 2 7 2 6 2 3 2" xfId="23243"/>
    <cellStyle name="Normal 2 7 2 6 2 4" xfId="16587"/>
    <cellStyle name="Normal 2 7 2 6 3" xfId="7535"/>
    <cellStyle name="Normal 2 7 2 6 3 2" xfId="18251"/>
    <cellStyle name="Normal 2 7 2 6 4" xfId="10863"/>
    <cellStyle name="Normal 2 7 2 6 4 2" xfId="21579"/>
    <cellStyle name="Normal 2 7 2 6 5" xfId="14923"/>
    <cellStyle name="Normal 2 7 2 7" xfId="5029"/>
    <cellStyle name="Normal 2 7 2 7 2" xfId="8367"/>
    <cellStyle name="Normal 2 7 2 7 2 2" xfId="19083"/>
    <cellStyle name="Normal 2 7 2 7 3" xfId="11695"/>
    <cellStyle name="Normal 2 7 2 7 3 2" xfId="22411"/>
    <cellStyle name="Normal 2 7 2 7 4" xfId="15755"/>
    <cellStyle name="Normal 2 7 2 8" xfId="6699"/>
    <cellStyle name="Normal 2 7 2 8 2" xfId="17419"/>
    <cellStyle name="Normal 2 7 2 9" xfId="10031"/>
    <cellStyle name="Normal 2 7 2 9 2" xfId="20747"/>
    <cellStyle name="Normal 2 7 3" xfId="1289"/>
    <cellStyle name="Normal 2 7 3 2" xfId="1290"/>
    <cellStyle name="Normal 2 7 3 2 2" xfId="2982"/>
    <cellStyle name="Normal 2 7 3 2 2 2" xfId="3985"/>
    <cellStyle name="Normal 2 7 3 2 2 2 2" xfId="4825"/>
    <cellStyle name="Normal 2 7 3 2 2 2 2 2" xfId="6493"/>
    <cellStyle name="Normal 2 7 3 2 2 2 2 2 2" xfId="9828"/>
    <cellStyle name="Normal 2 7 3 2 2 2 2 2 2 2" xfId="20544"/>
    <cellStyle name="Normal 2 7 3 2 2 2 2 2 3" xfId="13156"/>
    <cellStyle name="Normal 2 7 3 2 2 2 2 2 3 2" xfId="23872"/>
    <cellStyle name="Normal 2 7 3 2 2 2 2 2 4" xfId="17216"/>
    <cellStyle name="Normal 2 7 3 2 2 2 2 3" xfId="8164"/>
    <cellStyle name="Normal 2 7 3 2 2 2 2 3 2" xfId="18880"/>
    <cellStyle name="Normal 2 7 3 2 2 2 2 4" xfId="11492"/>
    <cellStyle name="Normal 2 7 3 2 2 2 2 4 2" xfId="22208"/>
    <cellStyle name="Normal 2 7 3 2 2 2 2 5" xfId="15552"/>
    <cellStyle name="Normal 2 7 3 2 2 2 3" xfId="5661"/>
    <cellStyle name="Normal 2 7 3 2 2 2 3 2" xfId="8996"/>
    <cellStyle name="Normal 2 7 3 2 2 2 3 2 2" xfId="19712"/>
    <cellStyle name="Normal 2 7 3 2 2 2 3 3" xfId="12324"/>
    <cellStyle name="Normal 2 7 3 2 2 2 3 3 2" xfId="23040"/>
    <cellStyle name="Normal 2 7 3 2 2 2 3 4" xfId="16384"/>
    <cellStyle name="Normal 2 7 3 2 2 2 4" xfId="7332"/>
    <cellStyle name="Normal 2 7 3 2 2 2 4 2" xfId="18048"/>
    <cellStyle name="Normal 2 7 3 2 2 2 5" xfId="10660"/>
    <cellStyle name="Normal 2 7 3 2 2 2 5 2" xfId="21376"/>
    <cellStyle name="Normal 2 7 3 2 2 2 6" xfId="14720"/>
    <cellStyle name="Normal 2 7 3 2 2 3" xfId="4409"/>
    <cellStyle name="Normal 2 7 3 2 2 3 2" xfId="6077"/>
    <cellStyle name="Normal 2 7 3 2 2 3 2 2" xfId="9412"/>
    <cellStyle name="Normal 2 7 3 2 2 3 2 2 2" xfId="20128"/>
    <cellStyle name="Normal 2 7 3 2 2 3 2 3" xfId="12740"/>
    <cellStyle name="Normal 2 7 3 2 2 3 2 3 2" xfId="23456"/>
    <cellStyle name="Normal 2 7 3 2 2 3 2 4" xfId="16800"/>
    <cellStyle name="Normal 2 7 3 2 2 3 3" xfId="7748"/>
    <cellStyle name="Normal 2 7 3 2 2 3 3 2" xfId="18464"/>
    <cellStyle name="Normal 2 7 3 2 2 3 4" xfId="11076"/>
    <cellStyle name="Normal 2 7 3 2 2 3 4 2" xfId="21792"/>
    <cellStyle name="Normal 2 7 3 2 2 3 5" xfId="15136"/>
    <cellStyle name="Normal 2 7 3 2 2 4" xfId="5245"/>
    <cellStyle name="Normal 2 7 3 2 2 4 2" xfId="8580"/>
    <cellStyle name="Normal 2 7 3 2 2 4 2 2" xfId="19296"/>
    <cellStyle name="Normal 2 7 3 2 2 4 3" xfId="11908"/>
    <cellStyle name="Normal 2 7 3 2 2 4 3 2" xfId="22624"/>
    <cellStyle name="Normal 2 7 3 2 2 4 4" xfId="15968"/>
    <cellStyle name="Normal 2 7 3 2 2 5" xfId="6914"/>
    <cellStyle name="Normal 2 7 3 2 2 5 2" xfId="17632"/>
    <cellStyle name="Normal 2 7 3 2 2 6" xfId="10244"/>
    <cellStyle name="Normal 2 7 3 2 2 6 2" xfId="20960"/>
    <cellStyle name="Normal 2 7 3 2 2 7" xfId="14303"/>
    <cellStyle name="Normal 2 7 3 2 3" xfId="3766"/>
    <cellStyle name="Normal 2 7 3 2 3 2" xfId="4617"/>
    <cellStyle name="Normal 2 7 3 2 3 2 2" xfId="6285"/>
    <cellStyle name="Normal 2 7 3 2 3 2 2 2" xfId="9620"/>
    <cellStyle name="Normal 2 7 3 2 3 2 2 2 2" xfId="20336"/>
    <cellStyle name="Normal 2 7 3 2 3 2 2 3" xfId="12948"/>
    <cellStyle name="Normal 2 7 3 2 3 2 2 3 2" xfId="23664"/>
    <cellStyle name="Normal 2 7 3 2 3 2 2 4" xfId="17008"/>
    <cellStyle name="Normal 2 7 3 2 3 2 3" xfId="7956"/>
    <cellStyle name="Normal 2 7 3 2 3 2 3 2" xfId="18672"/>
    <cellStyle name="Normal 2 7 3 2 3 2 4" xfId="11284"/>
    <cellStyle name="Normal 2 7 3 2 3 2 4 2" xfId="22000"/>
    <cellStyle name="Normal 2 7 3 2 3 2 5" xfId="15344"/>
    <cellStyle name="Normal 2 7 3 2 3 3" xfId="5453"/>
    <cellStyle name="Normal 2 7 3 2 3 3 2" xfId="8788"/>
    <cellStyle name="Normal 2 7 3 2 3 3 2 2" xfId="19504"/>
    <cellStyle name="Normal 2 7 3 2 3 3 3" xfId="12116"/>
    <cellStyle name="Normal 2 7 3 2 3 3 3 2" xfId="22832"/>
    <cellStyle name="Normal 2 7 3 2 3 3 4" xfId="16176"/>
    <cellStyle name="Normal 2 7 3 2 3 4" xfId="7124"/>
    <cellStyle name="Normal 2 7 3 2 3 4 2" xfId="17840"/>
    <cellStyle name="Normal 2 7 3 2 3 5" xfId="10452"/>
    <cellStyle name="Normal 2 7 3 2 3 5 2" xfId="21168"/>
    <cellStyle name="Normal 2 7 3 2 3 6" xfId="14512"/>
    <cellStyle name="Normal 2 7 3 2 4" xfId="4199"/>
    <cellStyle name="Normal 2 7 3 2 4 2" xfId="5869"/>
    <cellStyle name="Normal 2 7 3 2 4 2 2" xfId="9204"/>
    <cellStyle name="Normal 2 7 3 2 4 2 2 2" xfId="19920"/>
    <cellStyle name="Normal 2 7 3 2 4 2 3" xfId="12532"/>
    <cellStyle name="Normal 2 7 3 2 4 2 3 2" xfId="23248"/>
    <cellStyle name="Normal 2 7 3 2 4 2 4" xfId="16592"/>
    <cellStyle name="Normal 2 7 3 2 4 3" xfId="7540"/>
    <cellStyle name="Normal 2 7 3 2 4 3 2" xfId="18256"/>
    <cellStyle name="Normal 2 7 3 2 4 4" xfId="10868"/>
    <cellStyle name="Normal 2 7 3 2 4 4 2" xfId="21584"/>
    <cellStyle name="Normal 2 7 3 2 4 5" xfId="14928"/>
    <cellStyle name="Normal 2 7 3 2 5" xfId="5034"/>
    <cellStyle name="Normal 2 7 3 2 5 2" xfId="8372"/>
    <cellStyle name="Normal 2 7 3 2 5 2 2" xfId="19088"/>
    <cellStyle name="Normal 2 7 3 2 5 3" xfId="11700"/>
    <cellStyle name="Normal 2 7 3 2 5 3 2" xfId="22416"/>
    <cellStyle name="Normal 2 7 3 2 5 4" xfId="15760"/>
    <cellStyle name="Normal 2 7 3 2 6" xfId="6704"/>
    <cellStyle name="Normal 2 7 3 2 6 2" xfId="17424"/>
    <cellStyle name="Normal 2 7 3 2 7" xfId="10036"/>
    <cellStyle name="Normal 2 7 3 2 7 2" xfId="20752"/>
    <cellStyle name="Normal 2 7 3 2 8" xfId="14093"/>
    <cellStyle name="Normal 2 7 3 3" xfId="2981"/>
    <cellStyle name="Normal 2 7 3 3 2" xfId="3984"/>
    <cellStyle name="Normal 2 7 3 3 2 2" xfId="4824"/>
    <cellStyle name="Normal 2 7 3 3 2 2 2" xfId="6492"/>
    <cellStyle name="Normal 2 7 3 3 2 2 2 2" xfId="9827"/>
    <cellStyle name="Normal 2 7 3 3 2 2 2 2 2" xfId="20543"/>
    <cellStyle name="Normal 2 7 3 3 2 2 2 3" xfId="13155"/>
    <cellStyle name="Normal 2 7 3 3 2 2 2 3 2" xfId="23871"/>
    <cellStyle name="Normal 2 7 3 3 2 2 2 4" xfId="17215"/>
    <cellStyle name="Normal 2 7 3 3 2 2 3" xfId="8163"/>
    <cellStyle name="Normal 2 7 3 3 2 2 3 2" xfId="18879"/>
    <cellStyle name="Normal 2 7 3 3 2 2 4" xfId="11491"/>
    <cellStyle name="Normal 2 7 3 3 2 2 4 2" xfId="22207"/>
    <cellStyle name="Normal 2 7 3 3 2 2 5" xfId="15551"/>
    <cellStyle name="Normal 2 7 3 3 2 3" xfId="5660"/>
    <cellStyle name="Normal 2 7 3 3 2 3 2" xfId="8995"/>
    <cellStyle name="Normal 2 7 3 3 2 3 2 2" xfId="19711"/>
    <cellStyle name="Normal 2 7 3 3 2 3 3" xfId="12323"/>
    <cellStyle name="Normal 2 7 3 3 2 3 3 2" xfId="23039"/>
    <cellStyle name="Normal 2 7 3 3 2 3 4" xfId="16383"/>
    <cellStyle name="Normal 2 7 3 3 2 4" xfId="7331"/>
    <cellStyle name="Normal 2 7 3 3 2 4 2" xfId="18047"/>
    <cellStyle name="Normal 2 7 3 3 2 5" xfId="10659"/>
    <cellStyle name="Normal 2 7 3 3 2 5 2" xfId="21375"/>
    <cellStyle name="Normal 2 7 3 3 2 6" xfId="14719"/>
    <cellStyle name="Normal 2 7 3 3 3" xfId="4408"/>
    <cellStyle name="Normal 2 7 3 3 3 2" xfId="6076"/>
    <cellStyle name="Normal 2 7 3 3 3 2 2" xfId="9411"/>
    <cellStyle name="Normal 2 7 3 3 3 2 2 2" xfId="20127"/>
    <cellStyle name="Normal 2 7 3 3 3 2 3" xfId="12739"/>
    <cellStyle name="Normal 2 7 3 3 3 2 3 2" xfId="23455"/>
    <cellStyle name="Normal 2 7 3 3 3 2 4" xfId="16799"/>
    <cellStyle name="Normal 2 7 3 3 3 3" xfId="7747"/>
    <cellStyle name="Normal 2 7 3 3 3 3 2" xfId="18463"/>
    <cellStyle name="Normal 2 7 3 3 3 4" xfId="11075"/>
    <cellStyle name="Normal 2 7 3 3 3 4 2" xfId="21791"/>
    <cellStyle name="Normal 2 7 3 3 3 5" xfId="15135"/>
    <cellStyle name="Normal 2 7 3 3 4" xfId="5244"/>
    <cellStyle name="Normal 2 7 3 3 4 2" xfId="8579"/>
    <cellStyle name="Normal 2 7 3 3 4 2 2" xfId="19295"/>
    <cellStyle name="Normal 2 7 3 3 4 3" xfId="11907"/>
    <cellStyle name="Normal 2 7 3 3 4 3 2" xfId="22623"/>
    <cellStyle name="Normal 2 7 3 3 4 4" xfId="15967"/>
    <cellStyle name="Normal 2 7 3 3 5" xfId="6913"/>
    <cellStyle name="Normal 2 7 3 3 5 2" xfId="17631"/>
    <cellStyle name="Normal 2 7 3 3 6" xfId="10243"/>
    <cellStyle name="Normal 2 7 3 3 6 2" xfId="20959"/>
    <cellStyle name="Normal 2 7 3 3 7" xfId="14302"/>
    <cellStyle name="Normal 2 7 3 4" xfId="3765"/>
    <cellStyle name="Normal 2 7 3 4 2" xfId="4616"/>
    <cellStyle name="Normal 2 7 3 4 2 2" xfId="6284"/>
    <cellStyle name="Normal 2 7 3 4 2 2 2" xfId="9619"/>
    <cellStyle name="Normal 2 7 3 4 2 2 2 2" xfId="20335"/>
    <cellStyle name="Normal 2 7 3 4 2 2 3" xfId="12947"/>
    <cellStyle name="Normal 2 7 3 4 2 2 3 2" xfId="23663"/>
    <cellStyle name="Normal 2 7 3 4 2 2 4" xfId="17007"/>
    <cellStyle name="Normal 2 7 3 4 2 3" xfId="7955"/>
    <cellStyle name="Normal 2 7 3 4 2 3 2" xfId="18671"/>
    <cellStyle name="Normal 2 7 3 4 2 4" xfId="11283"/>
    <cellStyle name="Normal 2 7 3 4 2 4 2" xfId="21999"/>
    <cellStyle name="Normal 2 7 3 4 2 5" xfId="15343"/>
    <cellStyle name="Normal 2 7 3 4 3" xfId="5452"/>
    <cellStyle name="Normal 2 7 3 4 3 2" xfId="8787"/>
    <cellStyle name="Normal 2 7 3 4 3 2 2" xfId="19503"/>
    <cellStyle name="Normal 2 7 3 4 3 3" xfId="12115"/>
    <cellStyle name="Normal 2 7 3 4 3 3 2" xfId="22831"/>
    <cellStyle name="Normal 2 7 3 4 3 4" xfId="16175"/>
    <cellStyle name="Normal 2 7 3 4 4" xfId="7123"/>
    <cellStyle name="Normal 2 7 3 4 4 2" xfId="17839"/>
    <cellStyle name="Normal 2 7 3 4 5" xfId="10451"/>
    <cellStyle name="Normal 2 7 3 4 5 2" xfId="21167"/>
    <cellStyle name="Normal 2 7 3 4 6" xfId="14511"/>
    <cellStyle name="Normal 2 7 3 5" xfId="4198"/>
    <cellStyle name="Normal 2 7 3 5 2" xfId="5868"/>
    <cellStyle name="Normal 2 7 3 5 2 2" xfId="9203"/>
    <cellStyle name="Normal 2 7 3 5 2 2 2" xfId="19919"/>
    <cellStyle name="Normal 2 7 3 5 2 3" xfId="12531"/>
    <cellStyle name="Normal 2 7 3 5 2 3 2" xfId="23247"/>
    <cellStyle name="Normal 2 7 3 5 2 4" xfId="16591"/>
    <cellStyle name="Normal 2 7 3 5 3" xfId="7539"/>
    <cellStyle name="Normal 2 7 3 5 3 2" xfId="18255"/>
    <cellStyle name="Normal 2 7 3 5 4" xfId="10867"/>
    <cellStyle name="Normal 2 7 3 5 4 2" xfId="21583"/>
    <cellStyle name="Normal 2 7 3 5 5" xfId="14927"/>
    <cellStyle name="Normal 2 7 3 6" xfId="5033"/>
    <cellStyle name="Normal 2 7 3 6 2" xfId="8371"/>
    <cellStyle name="Normal 2 7 3 6 2 2" xfId="19087"/>
    <cellStyle name="Normal 2 7 3 6 3" xfId="11699"/>
    <cellStyle name="Normal 2 7 3 6 3 2" xfId="22415"/>
    <cellStyle name="Normal 2 7 3 6 4" xfId="15759"/>
    <cellStyle name="Normal 2 7 3 7" xfId="6703"/>
    <cellStyle name="Normal 2 7 3 7 2" xfId="17423"/>
    <cellStyle name="Normal 2 7 3 8" xfId="10035"/>
    <cellStyle name="Normal 2 7 3 8 2" xfId="20751"/>
    <cellStyle name="Normal 2 7 3 9" xfId="14092"/>
    <cellStyle name="Normal 2 7 4" xfId="1291"/>
    <cellStyle name="Normal 2 7 4 2" xfId="2983"/>
    <cellStyle name="Normal 2 7 5" xfId="1292"/>
    <cellStyle name="Normal 2 7 5 2" xfId="2984"/>
    <cellStyle name="Normal 2 7 5 2 2" xfId="3986"/>
    <cellStyle name="Normal 2 7 5 2 2 2" xfId="4826"/>
    <cellStyle name="Normal 2 7 5 2 2 2 2" xfId="6494"/>
    <cellStyle name="Normal 2 7 5 2 2 2 2 2" xfId="9829"/>
    <cellStyle name="Normal 2 7 5 2 2 2 2 2 2" xfId="20545"/>
    <cellStyle name="Normal 2 7 5 2 2 2 2 3" xfId="13157"/>
    <cellStyle name="Normal 2 7 5 2 2 2 2 3 2" xfId="23873"/>
    <cellStyle name="Normal 2 7 5 2 2 2 2 4" xfId="17217"/>
    <cellStyle name="Normal 2 7 5 2 2 2 3" xfId="8165"/>
    <cellStyle name="Normal 2 7 5 2 2 2 3 2" xfId="18881"/>
    <cellStyle name="Normal 2 7 5 2 2 2 4" xfId="11493"/>
    <cellStyle name="Normal 2 7 5 2 2 2 4 2" xfId="22209"/>
    <cellStyle name="Normal 2 7 5 2 2 2 5" xfId="15553"/>
    <cellStyle name="Normal 2 7 5 2 2 3" xfId="5662"/>
    <cellStyle name="Normal 2 7 5 2 2 3 2" xfId="8997"/>
    <cellStyle name="Normal 2 7 5 2 2 3 2 2" xfId="19713"/>
    <cellStyle name="Normal 2 7 5 2 2 3 3" xfId="12325"/>
    <cellStyle name="Normal 2 7 5 2 2 3 3 2" xfId="23041"/>
    <cellStyle name="Normal 2 7 5 2 2 3 4" xfId="16385"/>
    <cellStyle name="Normal 2 7 5 2 2 4" xfId="7333"/>
    <cellStyle name="Normal 2 7 5 2 2 4 2" xfId="18049"/>
    <cellStyle name="Normal 2 7 5 2 2 5" xfId="10661"/>
    <cellStyle name="Normal 2 7 5 2 2 5 2" xfId="21377"/>
    <cellStyle name="Normal 2 7 5 2 2 6" xfId="14721"/>
    <cellStyle name="Normal 2 7 5 2 3" xfId="4410"/>
    <cellStyle name="Normal 2 7 5 2 3 2" xfId="6078"/>
    <cellStyle name="Normal 2 7 5 2 3 2 2" xfId="9413"/>
    <cellStyle name="Normal 2 7 5 2 3 2 2 2" xfId="20129"/>
    <cellStyle name="Normal 2 7 5 2 3 2 3" xfId="12741"/>
    <cellStyle name="Normal 2 7 5 2 3 2 3 2" xfId="23457"/>
    <cellStyle name="Normal 2 7 5 2 3 2 4" xfId="16801"/>
    <cellStyle name="Normal 2 7 5 2 3 3" xfId="7749"/>
    <cellStyle name="Normal 2 7 5 2 3 3 2" xfId="18465"/>
    <cellStyle name="Normal 2 7 5 2 3 4" xfId="11077"/>
    <cellStyle name="Normal 2 7 5 2 3 4 2" xfId="21793"/>
    <cellStyle name="Normal 2 7 5 2 3 5" xfId="15137"/>
    <cellStyle name="Normal 2 7 5 2 4" xfId="5246"/>
    <cellStyle name="Normal 2 7 5 2 4 2" xfId="8581"/>
    <cellStyle name="Normal 2 7 5 2 4 2 2" xfId="19297"/>
    <cellStyle name="Normal 2 7 5 2 4 3" xfId="11909"/>
    <cellStyle name="Normal 2 7 5 2 4 3 2" xfId="22625"/>
    <cellStyle name="Normal 2 7 5 2 4 4" xfId="15969"/>
    <cellStyle name="Normal 2 7 5 2 5" xfId="6915"/>
    <cellStyle name="Normal 2 7 5 2 5 2" xfId="17633"/>
    <cellStyle name="Normal 2 7 5 2 6" xfId="10245"/>
    <cellStyle name="Normal 2 7 5 2 6 2" xfId="20961"/>
    <cellStyle name="Normal 2 7 5 2 7" xfId="14304"/>
    <cellStyle name="Normal 2 7 5 3" xfId="3767"/>
    <cellStyle name="Normal 2 7 5 3 2" xfId="4618"/>
    <cellStyle name="Normal 2 7 5 3 2 2" xfId="6286"/>
    <cellStyle name="Normal 2 7 5 3 2 2 2" xfId="9621"/>
    <cellStyle name="Normal 2 7 5 3 2 2 2 2" xfId="20337"/>
    <cellStyle name="Normal 2 7 5 3 2 2 3" xfId="12949"/>
    <cellStyle name="Normal 2 7 5 3 2 2 3 2" xfId="23665"/>
    <cellStyle name="Normal 2 7 5 3 2 2 4" xfId="17009"/>
    <cellStyle name="Normal 2 7 5 3 2 3" xfId="7957"/>
    <cellStyle name="Normal 2 7 5 3 2 3 2" xfId="18673"/>
    <cellStyle name="Normal 2 7 5 3 2 4" xfId="11285"/>
    <cellStyle name="Normal 2 7 5 3 2 4 2" xfId="22001"/>
    <cellStyle name="Normal 2 7 5 3 2 5" xfId="15345"/>
    <cellStyle name="Normal 2 7 5 3 3" xfId="5454"/>
    <cellStyle name="Normal 2 7 5 3 3 2" xfId="8789"/>
    <cellStyle name="Normal 2 7 5 3 3 2 2" xfId="19505"/>
    <cellStyle name="Normal 2 7 5 3 3 3" xfId="12117"/>
    <cellStyle name="Normal 2 7 5 3 3 3 2" xfId="22833"/>
    <cellStyle name="Normal 2 7 5 3 3 4" xfId="16177"/>
    <cellStyle name="Normal 2 7 5 3 4" xfId="7125"/>
    <cellStyle name="Normal 2 7 5 3 4 2" xfId="17841"/>
    <cellStyle name="Normal 2 7 5 3 5" xfId="10453"/>
    <cellStyle name="Normal 2 7 5 3 5 2" xfId="21169"/>
    <cellStyle name="Normal 2 7 5 3 6" xfId="14513"/>
    <cellStyle name="Normal 2 7 5 4" xfId="4200"/>
    <cellStyle name="Normal 2 7 5 4 2" xfId="5870"/>
    <cellStyle name="Normal 2 7 5 4 2 2" xfId="9205"/>
    <cellStyle name="Normal 2 7 5 4 2 2 2" xfId="19921"/>
    <cellStyle name="Normal 2 7 5 4 2 3" xfId="12533"/>
    <cellStyle name="Normal 2 7 5 4 2 3 2" xfId="23249"/>
    <cellStyle name="Normal 2 7 5 4 2 4" xfId="16593"/>
    <cellStyle name="Normal 2 7 5 4 3" xfId="7541"/>
    <cellStyle name="Normal 2 7 5 4 3 2" xfId="18257"/>
    <cellStyle name="Normal 2 7 5 4 4" xfId="10869"/>
    <cellStyle name="Normal 2 7 5 4 4 2" xfId="21585"/>
    <cellStyle name="Normal 2 7 5 4 5" xfId="14929"/>
    <cellStyle name="Normal 2 7 5 5" xfId="5035"/>
    <cellStyle name="Normal 2 7 5 5 2" xfId="8373"/>
    <cellStyle name="Normal 2 7 5 5 2 2" xfId="19089"/>
    <cellStyle name="Normal 2 7 5 5 3" xfId="11701"/>
    <cellStyle name="Normal 2 7 5 5 3 2" xfId="22417"/>
    <cellStyle name="Normal 2 7 5 5 4" xfId="15761"/>
    <cellStyle name="Normal 2 7 5 6" xfId="6705"/>
    <cellStyle name="Normal 2 7 5 6 2" xfId="17425"/>
    <cellStyle name="Normal 2 7 5 7" xfId="10037"/>
    <cellStyle name="Normal 2 7 5 7 2" xfId="20753"/>
    <cellStyle name="Normal 2 7 5 8" xfId="14094"/>
    <cellStyle name="Normal 2 7 6" xfId="2976"/>
    <cellStyle name="Normal 2 8" xfId="1293"/>
    <cellStyle name="Normal 2 8 2" xfId="2985"/>
    <cellStyle name="Normal 2 9" xfId="1294"/>
    <cellStyle name="Normal 2 9 2" xfId="2986"/>
    <cellStyle name="Normal 2_Exhibits" xfId="1295"/>
    <cellStyle name="Normal 20" xfId="1296"/>
    <cellStyle name="Normal 20 2" xfId="1297"/>
    <cellStyle name="Normal 20 2 2" xfId="2988"/>
    <cellStyle name="Normal 20 3" xfId="1298"/>
    <cellStyle name="Normal 20 3 2" xfId="2989"/>
    <cellStyle name="Normal 20 4" xfId="1299"/>
    <cellStyle name="Normal 20 4 2" xfId="2990"/>
    <cellStyle name="Normal 20 5" xfId="2987"/>
    <cellStyle name="Normal 200" xfId="7017"/>
    <cellStyle name="Normal 201" xfId="13259"/>
    <cellStyle name="Normal 202" xfId="13965"/>
    <cellStyle name="Normal 203" xfId="13984"/>
    <cellStyle name="Normal 204" xfId="13902"/>
    <cellStyle name="Normal 205" xfId="13750"/>
    <cellStyle name="Normal 206" xfId="13985"/>
    <cellStyle name="Normal 207" xfId="14405"/>
    <cellStyle name="Normal 208" xfId="14195"/>
    <cellStyle name="Normal 209" xfId="23974"/>
    <cellStyle name="Normal 21" xfId="1300"/>
    <cellStyle name="Normal 21 2" xfId="1301"/>
    <cellStyle name="Normal 21 2 2" xfId="2991"/>
    <cellStyle name="Normal 210" xfId="23976"/>
    <cellStyle name="Normal 211" xfId="23977"/>
    <cellStyle name="Normal 212" xfId="23978"/>
    <cellStyle name="Normal 213" xfId="13986"/>
    <cellStyle name="Normal 214" xfId="14294"/>
    <cellStyle name="Normal 215" xfId="23975"/>
    <cellStyle name="Normal 22" xfId="1302"/>
    <cellStyle name="Normal 22 2" xfId="1303"/>
    <cellStyle name="Normal 22 2 2" xfId="1304"/>
    <cellStyle name="Normal 22 2 2 2" xfId="2994"/>
    <cellStyle name="Normal 22 2 3" xfId="2993"/>
    <cellStyle name="Normal 22 3" xfId="2992"/>
    <cellStyle name="Normal 23" xfId="1305"/>
    <cellStyle name="Normal 23 2" xfId="1306"/>
    <cellStyle name="Normal 23 2 2" xfId="2996"/>
    <cellStyle name="Normal 23 3" xfId="2995"/>
    <cellStyle name="Normal 24" xfId="1307"/>
    <cellStyle name="Normal 24 2" xfId="1308"/>
    <cellStyle name="Normal 24 2 2" xfId="2998"/>
    <cellStyle name="Normal 24 3" xfId="2997"/>
    <cellStyle name="Normal 25" xfId="1309"/>
    <cellStyle name="Normal 25 2" xfId="1310"/>
    <cellStyle name="Normal 25 2 2" xfId="3000"/>
    <cellStyle name="Normal 25 3" xfId="2999"/>
    <cellStyle name="Normal 26" xfId="1311"/>
    <cellStyle name="Normal 26 2" xfId="1312"/>
    <cellStyle name="Normal 26 2 2" xfId="3002"/>
    <cellStyle name="Normal 26 3" xfId="3001"/>
    <cellStyle name="Normal 27" xfId="1313"/>
    <cellStyle name="Normal 27 2" xfId="3003"/>
    <cellStyle name="Normal 28" xfId="1314"/>
    <cellStyle name="Normal 28 2" xfId="3004"/>
    <cellStyle name="Normal 29" xfId="1315"/>
    <cellStyle name="Normal 29 2" xfId="3005"/>
    <cellStyle name="Normal 3" xfId="1316"/>
    <cellStyle name="Normal 3 2" xfId="1317"/>
    <cellStyle name="Normal 3 2 2" xfId="1318"/>
    <cellStyle name="Normal 3 2 2 2" xfId="1319"/>
    <cellStyle name="Normal 3 2 2 2 2" xfId="3008"/>
    <cellStyle name="Normal 3 2 2 3" xfId="1320"/>
    <cellStyle name="Normal 3 2 2 3 2" xfId="3009"/>
    <cellStyle name="Normal 3 2 2 4" xfId="1321"/>
    <cellStyle name="Normal 3 2 2 4 2" xfId="3010"/>
    <cellStyle name="Normal 3 2 2 5" xfId="3007"/>
    <cellStyle name="Normal 3 2 3" xfId="1322"/>
    <cellStyle name="Normal 3 2 3 2" xfId="3011"/>
    <cellStyle name="Normal 3 2 4" xfId="1323"/>
    <cellStyle name="Normal 3 2 4 2" xfId="3012"/>
    <cellStyle name="Normal 3 2 5" xfId="1324"/>
    <cellStyle name="Normal 3 2 5 10" xfId="6706"/>
    <cellStyle name="Normal 3 2 5 10 2" xfId="17426"/>
    <cellStyle name="Normal 3 2 5 11" xfId="10038"/>
    <cellStyle name="Normal 3 2 5 11 2" xfId="20754"/>
    <cellStyle name="Normal 3 2 5 12" xfId="14095"/>
    <cellStyle name="Normal 3 2 5 2" xfId="1325"/>
    <cellStyle name="Normal 3 2 5 2 10" xfId="10039"/>
    <cellStyle name="Normal 3 2 5 2 10 2" xfId="20755"/>
    <cellStyle name="Normal 3 2 5 2 11" xfId="14096"/>
    <cellStyle name="Normal 3 2 5 2 2" xfId="1326"/>
    <cellStyle name="Normal 3 2 5 2 2 10" xfId="14097"/>
    <cellStyle name="Normal 3 2 5 2 2 2" xfId="1327"/>
    <cellStyle name="Normal 3 2 5 2 2 2 2" xfId="1328"/>
    <cellStyle name="Normal 3 2 5 2 2 2 2 2" xfId="3017"/>
    <cellStyle name="Normal 3 2 5 2 2 2 2 2 2" xfId="3991"/>
    <cellStyle name="Normal 3 2 5 2 2 2 2 2 2 2" xfId="4831"/>
    <cellStyle name="Normal 3 2 5 2 2 2 2 2 2 2 2" xfId="6499"/>
    <cellStyle name="Normal 3 2 5 2 2 2 2 2 2 2 2 2" xfId="9834"/>
    <cellStyle name="Normal 3 2 5 2 2 2 2 2 2 2 2 2 2" xfId="20550"/>
    <cellStyle name="Normal 3 2 5 2 2 2 2 2 2 2 2 3" xfId="13162"/>
    <cellStyle name="Normal 3 2 5 2 2 2 2 2 2 2 2 3 2" xfId="23878"/>
    <cellStyle name="Normal 3 2 5 2 2 2 2 2 2 2 2 4" xfId="17222"/>
    <cellStyle name="Normal 3 2 5 2 2 2 2 2 2 2 3" xfId="8170"/>
    <cellStyle name="Normal 3 2 5 2 2 2 2 2 2 2 3 2" xfId="18886"/>
    <cellStyle name="Normal 3 2 5 2 2 2 2 2 2 2 4" xfId="11498"/>
    <cellStyle name="Normal 3 2 5 2 2 2 2 2 2 2 4 2" xfId="22214"/>
    <cellStyle name="Normal 3 2 5 2 2 2 2 2 2 2 5" xfId="15558"/>
    <cellStyle name="Normal 3 2 5 2 2 2 2 2 2 3" xfId="5667"/>
    <cellStyle name="Normal 3 2 5 2 2 2 2 2 2 3 2" xfId="9002"/>
    <cellStyle name="Normal 3 2 5 2 2 2 2 2 2 3 2 2" xfId="19718"/>
    <cellStyle name="Normal 3 2 5 2 2 2 2 2 2 3 3" xfId="12330"/>
    <cellStyle name="Normal 3 2 5 2 2 2 2 2 2 3 3 2" xfId="23046"/>
    <cellStyle name="Normal 3 2 5 2 2 2 2 2 2 3 4" xfId="16390"/>
    <cellStyle name="Normal 3 2 5 2 2 2 2 2 2 4" xfId="7338"/>
    <cellStyle name="Normal 3 2 5 2 2 2 2 2 2 4 2" xfId="18054"/>
    <cellStyle name="Normal 3 2 5 2 2 2 2 2 2 5" xfId="10666"/>
    <cellStyle name="Normal 3 2 5 2 2 2 2 2 2 5 2" xfId="21382"/>
    <cellStyle name="Normal 3 2 5 2 2 2 2 2 2 6" xfId="14726"/>
    <cellStyle name="Normal 3 2 5 2 2 2 2 2 3" xfId="4415"/>
    <cellStyle name="Normal 3 2 5 2 2 2 2 2 3 2" xfId="6083"/>
    <cellStyle name="Normal 3 2 5 2 2 2 2 2 3 2 2" xfId="9418"/>
    <cellStyle name="Normal 3 2 5 2 2 2 2 2 3 2 2 2" xfId="20134"/>
    <cellStyle name="Normal 3 2 5 2 2 2 2 2 3 2 3" xfId="12746"/>
    <cellStyle name="Normal 3 2 5 2 2 2 2 2 3 2 3 2" xfId="23462"/>
    <cellStyle name="Normal 3 2 5 2 2 2 2 2 3 2 4" xfId="16806"/>
    <cellStyle name="Normal 3 2 5 2 2 2 2 2 3 3" xfId="7754"/>
    <cellStyle name="Normal 3 2 5 2 2 2 2 2 3 3 2" xfId="18470"/>
    <cellStyle name="Normal 3 2 5 2 2 2 2 2 3 4" xfId="11082"/>
    <cellStyle name="Normal 3 2 5 2 2 2 2 2 3 4 2" xfId="21798"/>
    <cellStyle name="Normal 3 2 5 2 2 2 2 2 3 5" xfId="15142"/>
    <cellStyle name="Normal 3 2 5 2 2 2 2 2 4" xfId="5251"/>
    <cellStyle name="Normal 3 2 5 2 2 2 2 2 4 2" xfId="8586"/>
    <cellStyle name="Normal 3 2 5 2 2 2 2 2 4 2 2" xfId="19302"/>
    <cellStyle name="Normal 3 2 5 2 2 2 2 2 4 3" xfId="11914"/>
    <cellStyle name="Normal 3 2 5 2 2 2 2 2 4 3 2" xfId="22630"/>
    <cellStyle name="Normal 3 2 5 2 2 2 2 2 4 4" xfId="15974"/>
    <cellStyle name="Normal 3 2 5 2 2 2 2 2 5" xfId="6921"/>
    <cellStyle name="Normal 3 2 5 2 2 2 2 2 5 2" xfId="17638"/>
    <cellStyle name="Normal 3 2 5 2 2 2 2 2 6" xfId="10250"/>
    <cellStyle name="Normal 3 2 5 2 2 2 2 2 6 2" xfId="20966"/>
    <cellStyle name="Normal 3 2 5 2 2 2 2 2 7" xfId="14309"/>
    <cellStyle name="Normal 3 2 5 2 2 2 2 3" xfId="3772"/>
    <cellStyle name="Normal 3 2 5 2 2 2 2 3 2" xfId="4623"/>
    <cellStyle name="Normal 3 2 5 2 2 2 2 3 2 2" xfId="6291"/>
    <cellStyle name="Normal 3 2 5 2 2 2 2 3 2 2 2" xfId="9626"/>
    <cellStyle name="Normal 3 2 5 2 2 2 2 3 2 2 2 2" xfId="20342"/>
    <cellStyle name="Normal 3 2 5 2 2 2 2 3 2 2 3" xfId="12954"/>
    <cellStyle name="Normal 3 2 5 2 2 2 2 3 2 2 3 2" xfId="23670"/>
    <cellStyle name="Normal 3 2 5 2 2 2 2 3 2 2 4" xfId="17014"/>
    <cellStyle name="Normal 3 2 5 2 2 2 2 3 2 3" xfId="7962"/>
    <cellStyle name="Normal 3 2 5 2 2 2 2 3 2 3 2" xfId="18678"/>
    <cellStyle name="Normal 3 2 5 2 2 2 2 3 2 4" xfId="11290"/>
    <cellStyle name="Normal 3 2 5 2 2 2 2 3 2 4 2" xfId="22006"/>
    <cellStyle name="Normal 3 2 5 2 2 2 2 3 2 5" xfId="15350"/>
    <cellStyle name="Normal 3 2 5 2 2 2 2 3 3" xfId="5459"/>
    <cellStyle name="Normal 3 2 5 2 2 2 2 3 3 2" xfId="8794"/>
    <cellStyle name="Normal 3 2 5 2 2 2 2 3 3 2 2" xfId="19510"/>
    <cellStyle name="Normal 3 2 5 2 2 2 2 3 3 3" xfId="12122"/>
    <cellStyle name="Normal 3 2 5 2 2 2 2 3 3 3 2" xfId="22838"/>
    <cellStyle name="Normal 3 2 5 2 2 2 2 3 3 4" xfId="16182"/>
    <cellStyle name="Normal 3 2 5 2 2 2 2 3 4" xfId="7130"/>
    <cellStyle name="Normal 3 2 5 2 2 2 2 3 4 2" xfId="17846"/>
    <cellStyle name="Normal 3 2 5 2 2 2 2 3 5" xfId="10458"/>
    <cellStyle name="Normal 3 2 5 2 2 2 2 3 5 2" xfId="21174"/>
    <cellStyle name="Normal 3 2 5 2 2 2 2 3 6" xfId="14518"/>
    <cellStyle name="Normal 3 2 5 2 2 2 2 4" xfId="4205"/>
    <cellStyle name="Normal 3 2 5 2 2 2 2 4 2" xfId="5875"/>
    <cellStyle name="Normal 3 2 5 2 2 2 2 4 2 2" xfId="9210"/>
    <cellStyle name="Normal 3 2 5 2 2 2 2 4 2 2 2" xfId="19926"/>
    <cellStyle name="Normal 3 2 5 2 2 2 2 4 2 3" xfId="12538"/>
    <cellStyle name="Normal 3 2 5 2 2 2 2 4 2 3 2" xfId="23254"/>
    <cellStyle name="Normal 3 2 5 2 2 2 2 4 2 4" xfId="16598"/>
    <cellStyle name="Normal 3 2 5 2 2 2 2 4 3" xfId="7546"/>
    <cellStyle name="Normal 3 2 5 2 2 2 2 4 3 2" xfId="18262"/>
    <cellStyle name="Normal 3 2 5 2 2 2 2 4 4" xfId="10874"/>
    <cellStyle name="Normal 3 2 5 2 2 2 2 4 4 2" xfId="21590"/>
    <cellStyle name="Normal 3 2 5 2 2 2 2 4 5" xfId="14934"/>
    <cellStyle name="Normal 3 2 5 2 2 2 2 5" xfId="5040"/>
    <cellStyle name="Normal 3 2 5 2 2 2 2 5 2" xfId="8378"/>
    <cellStyle name="Normal 3 2 5 2 2 2 2 5 2 2" xfId="19094"/>
    <cellStyle name="Normal 3 2 5 2 2 2 2 5 3" xfId="11706"/>
    <cellStyle name="Normal 3 2 5 2 2 2 2 5 3 2" xfId="22422"/>
    <cellStyle name="Normal 3 2 5 2 2 2 2 5 4" xfId="15766"/>
    <cellStyle name="Normal 3 2 5 2 2 2 2 6" xfId="6710"/>
    <cellStyle name="Normal 3 2 5 2 2 2 2 6 2" xfId="17430"/>
    <cellStyle name="Normal 3 2 5 2 2 2 2 7" xfId="10042"/>
    <cellStyle name="Normal 3 2 5 2 2 2 2 7 2" xfId="20758"/>
    <cellStyle name="Normal 3 2 5 2 2 2 2 8" xfId="14099"/>
    <cellStyle name="Normal 3 2 5 2 2 2 3" xfId="3016"/>
    <cellStyle name="Normal 3 2 5 2 2 2 3 2" xfId="3990"/>
    <cellStyle name="Normal 3 2 5 2 2 2 3 2 2" xfId="4830"/>
    <cellStyle name="Normal 3 2 5 2 2 2 3 2 2 2" xfId="6498"/>
    <cellStyle name="Normal 3 2 5 2 2 2 3 2 2 2 2" xfId="9833"/>
    <cellStyle name="Normal 3 2 5 2 2 2 3 2 2 2 2 2" xfId="20549"/>
    <cellStyle name="Normal 3 2 5 2 2 2 3 2 2 2 3" xfId="13161"/>
    <cellStyle name="Normal 3 2 5 2 2 2 3 2 2 2 3 2" xfId="23877"/>
    <cellStyle name="Normal 3 2 5 2 2 2 3 2 2 2 4" xfId="17221"/>
    <cellStyle name="Normal 3 2 5 2 2 2 3 2 2 3" xfId="8169"/>
    <cellStyle name="Normal 3 2 5 2 2 2 3 2 2 3 2" xfId="18885"/>
    <cellStyle name="Normal 3 2 5 2 2 2 3 2 2 4" xfId="11497"/>
    <cellStyle name="Normal 3 2 5 2 2 2 3 2 2 4 2" xfId="22213"/>
    <cellStyle name="Normal 3 2 5 2 2 2 3 2 2 5" xfId="15557"/>
    <cellStyle name="Normal 3 2 5 2 2 2 3 2 3" xfId="5666"/>
    <cellStyle name="Normal 3 2 5 2 2 2 3 2 3 2" xfId="9001"/>
    <cellStyle name="Normal 3 2 5 2 2 2 3 2 3 2 2" xfId="19717"/>
    <cellStyle name="Normal 3 2 5 2 2 2 3 2 3 3" xfId="12329"/>
    <cellStyle name="Normal 3 2 5 2 2 2 3 2 3 3 2" xfId="23045"/>
    <cellStyle name="Normal 3 2 5 2 2 2 3 2 3 4" xfId="16389"/>
    <cellStyle name="Normal 3 2 5 2 2 2 3 2 4" xfId="7337"/>
    <cellStyle name="Normal 3 2 5 2 2 2 3 2 4 2" xfId="18053"/>
    <cellStyle name="Normal 3 2 5 2 2 2 3 2 5" xfId="10665"/>
    <cellStyle name="Normal 3 2 5 2 2 2 3 2 5 2" xfId="21381"/>
    <cellStyle name="Normal 3 2 5 2 2 2 3 2 6" xfId="14725"/>
    <cellStyle name="Normal 3 2 5 2 2 2 3 3" xfId="4414"/>
    <cellStyle name="Normal 3 2 5 2 2 2 3 3 2" xfId="6082"/>
    <cellStyle name="Normal 3 2 5 2 2 2 3 3 2 2" xfId="9417"/>
    <cellStyle name="Normal 3 2 5 2 2 2 3 3 2 2 2" xfId="20133"/>
    <cellStyle name="Normal 3 2 5 2 2 2 3 3 2 3" xfId="12745"/>
    <cellStyle name="Normal 3 2 5 2 2 2 3 3 2 3 2" xfId="23461"/>
    <cellStyle name="Normal 3 2 5 2 2 2 3 3 2 4" xfId="16805"/>
    <cellStyle name="Normal 3 2 5 2 2 2 3 3 3" xfId="7753"/>
    <cellStyle name="Normal 3 2 5 2 2 2 3 3 3 2" xfId="18469"/>
    <cellStyle name="Normal 3 2 5 2 2 2 3 3 4" xfId="11081"/>
    <cellStyle name="Normal 3 2 5 2 2 2 3 3 4 2" xfId="21797"/>
    <cellStyle name="Normal 3 2 5 2 2 2 3 3 5" xfId="15141"/>
    <cellStyle name="Normal 3 2 5 2 2 2 3 4" xfId="5250"/>
    <cellStyle name="Normal 3 2 5 2 2 2 3 4 2" xfId="8585"/>
    <cellStyle name="Normal 3 2 5 2 2 2 3 4 2 2" xfId="19301"/>
    <cellStyle name="Normal 3 2 5 2 2 2 3 4 3" xfId="11913"/>
    <cellStyle name="Normal 3 2 5 2 2 2 3 4 3 2" xfId="22629"/>
    <cellStyle name="Normal 3 2 5 2 2 2 3 4 4" xfId="15973"/>
    <cellStyle name="Normal 3 2 5 2 2 2 3 5" xfId="6920"/>
    <cellStyle name="Normal 3 2 5 2 2 2 3 5 2" xfId="17637"/>
    <cellStyle name="Normal 3 2 5 2 2 2 3 6" xfId="10249"/>
    <cellStyle name="Normal 3 2 5 2 2 2 3 6 2" xfId="20965"/>
    <cellStyle name="Normal 3 2 5 2 2 2 3 7" xfId="14308"/>
    <cellStyle name="Normal 3 2 5 2 2 2 4" xfId="3771"/>
    <cellStyle name="Normal 3 2 5 2 2 2 4 2" xfId="4622"/>
    <cellStyle name="Normal 3 2 5 2 2 2 4 2 2" xfId="6290"/>
    <cellStyle name="Normal 3 2 5 2 2 2 4 2 2 2" xfId="9625"/>
    <cellStyle name="Normal 3 2 5 2 2 2 4 2 2 2 2" xfId="20341"/>
    <cellStyle name="Normal 3 2 5 2 2 2 4 2 2 3" xfId="12953"/>
    <cellStyle name="Normal 3 2 5 2 2 2 4 2 2 3 2" xfId="23669"/>
    <cellStyle name="Normal 3 2 5 2 2 2 4 2 2 4" xfId="17013"/>
    <cellStyle name="Normal 3 2 5 2 2 2 4 2 3" xfId="7961"/>
    <cellStyle name="Normal 3 2 5 2 2 2 4 2 3 2" xfId="18677"/>
    <cellStyle name="Normal 3 2 5 2 2 2 4 2 4" xfId="11289"/>
    <cellStyle name="Normal 3 2 5 2 2 2 4 2 4 2" xfId="22005"/>
    <cellStyle name="Normal 3 2 5 2 2 2 4 2 5" xfId="15349"/>
    <cellStyle name="Normal 3 2 5 2 2 2 4 3" xfId="5458"/>
    <cellStyle name="Normal 3 2 5 2 2 2 4 3 2" xfId="8793"/>
    <cellStyle name="Normal 3 2 5 2 2 2 4 3 2 2" xfId="19509"/>
    <cellStyle name="Normal 3 2 5 2 2 2 4 3 3" xfId="12121"/>
    <cellStyle name="Normal 3 2 5 2 2 2 4 3 3 2" xfId="22837"/>
    <cellStyle name="Normal 3 2 5 2 2 2 4 3 4" xfId="16181"/>
    <cellStyle name="Normal 3 2 5 2 2 2 4 4" xfId="7129"/>
    <cellStyle name="Normal 3 2 5 2 2 2 4 4 2" xfId="17845"/>
    <cellStyle name="Normal 3 2 5 2 2 2 4 5" xfId="10457"/>
    <cellStyle name="Normal 3 2 5 2 2 2 4 5 2" xfId="21173"/>
    <cellStyle name="Normal 3 2 5 2 2 2 4 6" xfId="14517"/>
    <cellStyle name="Normal 3 2 5 2 2 2 5" xfId="4204"/>
    <cellStyle name="Normal 3 2 5 2 2 2 5 2" xfId="5874"/>
    <cellStyle name="Normal 3 2 5 2 2 2 5 2 2" xfId="9209"/>
    <cellStyle name="Normal 3 2 5 2 2 2 5 2 2 2" xfId="19925"/>
    <cellStyle name="Normal 3 2 5 2 2 2 5 2 3" xfId="12537"/>
    <cellStyle name="Normal 3 2 5 2 2 2 5 2 3 2" xfId="23253"/>
    <cellStyle name="Normal 3 2 5 2 2 2 5 2 4" xfId="16597"/>
    <cellStyle name="Normal 3 2 5 2 2 2 5 3" xfId="7545"/>
    <cellStyle name="Normal 3 2 5 2 2 2 5 3 2" xfId="18261"/>
    <cellStyle name="Normal 3 2 5 2 2 2 5 4" xfId="10873"/>
    <cellStyle name="Normal 3 2 5 2 2 2 5 4 2" xfId="21589"/>
    <cellStyle name="Normal 3 2 5 2 2 2 5 5" xfId="14933"/>
    <cellStyle name="Normal 3 2 5 2 2 2 6" xfId="5039"/>
    <cellStyle name="Normal 3 2 5 2 2 2 6 2" xfId="8377"/>
    <cellStyle name="Normal 3 2 5 2 2 2 6 2 2" xfId="19093"/>
    <cellStyle name="Normal 3 2 5 2 2 2 6 3" xfId="11705"/>
    <cellStyle name="Normal 3 2 5 2 2 2 6 3 2" xfId="22421"/>
    <cellStyle name="Normal 3 2 5 2 2 2 6 4" xfId="15765"/>
    <cellStyle name="Normal 3 2 5 2 2 2 7" xfId="6709"/>
    <cellStyle name="Normal 3 2 5 2 2 2 7 2" xfId="17429"/>
    <cellStyle name="Normal 3 2 5 2 2 2 8" xfId="10041"/>
    <cellStyle name="Normal 3 2 5 2 2 2 8 2" xfId="20757"/>
    <cellStyle name="Normal 3 2 5 2 2 2 9" xfId="14098"/>
    <cellStyle name="Normal 3 2 5 2 2 3" xfId="1329"/>
    <cellStyle name="Normal 3 2 5 2 2 3 2" xfId="3018"/>
    <cellStyle name="Normal 3 2 5 2 2 3 2 2" xfId="3992"/>
    <cellStyle name="Normal 3 2 5 2 2 3 2 2 2" xfId="4832"/>
    <cellStyle name="Normal 3 2 5 2 2 3 2 2 2 2" xfId="6500"/>
    <cellStyle name="Normal 3 2 5 2 2 3 2 2 2 2 2" xfId="9835"/>
    <cellStyle name="Normal 3 2 5 2 2 3 2 2 2 2 2 2" xfId="20551"/>
    <cellStyle name="Normal 3 2 5 2 2 3 2 2 2 2 3" xfId="13163"/>
    <cellStyle name="Normal 3 2 5 2 2 3 2 2 2 2 3 2" xfId="23879"/>
    <cellStyle name="Normal 3 2 5 2 2 3 2 2 2 2 4" xfId="17223"/>
    <cellStyle name="Normal 3 2 5 2 2 3 2 2 2 3" xfId="8171"/>
    <cellStyle name="Normal 3 2 5 2 2 3 2 2 2 3 2" xfId="18887"/>
    <cellStyle name="Normal 3 2 5 2 2 3 2 2 2 4" xfId="11499"/>
    <cellStyle name="Normal 3 2 5 2 2 3 2 2 2 4 2" xfId="22215"/>
    <cellStyle name="Normal 3 2 5 2 2 3 2 2 2 5" xfId="15559"/>
    <cellStyle name="Normal 3 2 5 2 2 3 2 2 3" xfId="5668"/>
    <cellStyle name="Normal 3 2 5 2 2 3 2 2 3 2" xfId="9003"/>
    <cellStyle name="Normal 3 2 5 2 2 3 2 2 3 2 2" xfId="19719"/>
    <cellStyle name="Normal 3 2 5 2 2 3 2 2 3 3" xfId="12331"/>
    <cellStyle name="Normal 3 2 5 2 2 3 2 2 3 3 2" xfId="23047"/>
    <cellStyle name="Normal 3 2 5 2 2 3 2 2 3 4" xfId="16391"/>
    <cellStyle name="Normal 3 2 5 2 2 3 2 2 4" xfId="7339"/>
    <cellStyle name="Normal 3 2 5 2 2 3 2 2 4 2" xfId="18055"/>
    <cellStyle name="Normal 3 2 5 2 2 3 2 2 5" xfId="10667"/>
    <cellStyle name="Normal 3 2 5 2 2 3 2 2 5 2" xfId="21383"/>
    <cellStyle name="Normal 3 2 5 2 2 3 2 2 6" xfId="14727"/>
    <cellStyle name="Normal 3 2 5 2 2 3 2 3" xfId="4416"/>
    <cellStyle name="Normal 3 2 5 2 2 3 2 3 2" xfId="6084"/>
    <cellStyle name="Normal 3 2 5 2 2 3 2 3 2 2" xfId="9419"/>
    <cellStyle name="Normal 3 2 5 2 2 3 2 3 2 2 2" xfId="20135"/>
    <cellStyle name="Normal 3 2 5 2 2 3 2 3 2 3" xfId="12747"/>
    <cellStyle name="Normal 3 2 5 2 2 3 2 3 2 3 2" xfId="23463"/>
    <cellStyle name="Normal 3 2 5 2 2 3 2 3 2 4" xfId="16807"/>
    <cellStyle name="Normal 3 2 5 2 2 3 2 3 3" xfId="7755"/>
    <cellStyle name="Normal 3 2 5 2 2 3 2 3 3 2" xfId="18471"/>
    <cellStyle name="Normal 3 2 5 2 2 3 2 3 4" xfId="11083"/>
    <cellStyle name="Normal 3 2 5 2 2 3 2 3 4 2" xfId="21799"/>
    <cellStyle name="Normal 3 2 5 2 2 3 2 3 5" xfId="15143"/>
    <cellStyle name="Normal 3 2 5 2 2 3 2 4" xfId="5252"/>
    <cellStyle name="Normal 3 2 5 2 2 3 2 4 2" xfId="8587"/>
    <cellStyle name="Normal 3 2 5 2 2 3 2 4 2 2" xfId="19303"/>
    <cellStyle name="Normal 3 2 5 2 2 3 2 4 3" xfId="11915"/>
    <cellStyle name="Normal 3 2 5 2 2 3 2 4 3 2" xfId="22631"/>
    <cellStyle name="Normal 3 2 5 2 2 3 2 4 4" xfId="15975"/>
    <cellStyle name="Normal 3 2 5 2 2 3 2 5" xfId="6922"/>
    <cellStyle name="Normal 3 2 5 2 2 3 2 5 2" xfId="17639"/>
    <cellStyle name="Normal 3 2 5 2 2 3 2 6" xfId="10251"/>
    <cellStyle name="Normal 3 2 5 2 2 3 2 6 2" xfId="20967"/>
    <cellStyle name="Normal 3 2 5 2 2 3 2 7" xfId="14310"/>
    <cellStyle name="Normal 3 2 5 2 2 3 3" xfId="3773"/>
    <cellStyle name="Normal 3 2 5 2 2 3 3 2" xfId="4624"/>
    <cellStyle name="Normal 3 2 5 2 2 3 3 2 2" xfId="6292"/>
    <cellStyle name="Normal 3 2 5 2 2 3 3 2 2 2" xfId="9627"/>
    <cellStyle name="Normal 3 2 5 2 2 3 3 2 2 2 2" xfId="20343"/>
    <cellStyle name="Normal 3 2 5 2 2 3 3 2 2 3" xfId="12955"/>
    <cellStyle name="Normal 3 2 5 2 2 3 3 2 2 3 2" xfId="23671"/>
    <cellStyle name="Normal 3 2 5 2 2 3 3 2 2 4" xfId="17015"/>
    <cellStyle name="Normal 3 2 5 2 2 3 3 2 3" xfId="7963"/>
    <cellStyle name="Normal 3 2 5 2 2 3 3 2 3 2" xfId="18679"/>
    <cellStyle name="Normal 3 2 5 2 2 3 3 2 4" xfId="11291"/>
    <cellStyle name="Normal 3 2 5 2 2 3 3 2 4 2" xfId="22007"/>
    <cellStyle name="Normal 3 2 5 2 2 3 3 2 5" xfId="15351"/>
    <cellStyle name="Normal 3 2 5 2 2 3 3 3" xfId="5460"/>
    <cellStyle name="Normal 3 2 5 2 2 3 3 3 2" xfId="8795"/>
    <cellStyle name="Normal 3 2 5 2 2 3 3 3 2 2" xfId="19511"/>
    <cellStyle name="Normal 3 2 5 2 2 3 3 3 3" xfId="12123"/>
    <cellStyle name="Normal 3 2 5 2 2 3 3 3 3 2" xfId="22839"/>
    <cellStyle name="Normal 3 2 5 2 2 3 3 3 4" xfId="16183"/>
    <cellStyle name="Normal 3 2 5 2 2 3 3 4" xfId="7131"/>
    <cellStyle name="Normal 3 2 5 2 2 3 3 4 2" xfId="17847"/>
    <cellStyle name="Normal 3 2 5 2 2 3 3 5" xfId="10459"/>
    <cellStyle name="Normal 3 2 5 2 2 3 3 5 2" xfId="21175"/>
    <cellStyle name="Normal 3 2 5 2 2 3 3 6" xfId="14519"/>
    <cellStyle name="Normal 3 2 5 2 2 3 4" xfId="4206"/>
    <cellStyle name="Normal 3 2 5 2 2 3 4 2" xfId="5876"/>
    <cellStyle name="Normal 3 2 5 2 2 3 4 2 2" xfId="9211"/>
    <cellStyle name="Normal 3 2 5 2 2 3 4 2 2 2" xfId="19927"/>
    <cellStyle name="Normal 3 2 5 2 2 3 4 2 3" xfId="12539"/>
    <cellStyle name="Normal 3 2 5 2 2 3 4 2 3 2" xfId="23255"/>
    <cellStyle name="Normal 3 2 5 2 2 3 4 2 4" xfId="16599"/>
    <cellStyle name="Normal 3 2 5 2 2 3 4 3" xfId="7547"/>
    <cellStyle name="Normal 3 2 5 2 2 3 4 3 2" xfId="18263"/>
    <cellStyle name="Normal 3 2 5 2 2 3 4 4" xfId="10875"/>
    <cellStyle name="Normal 3 2 5 2 2 3 4 4 2" xfId="21591"/>
    <cellStyle name="Normal 3 2 5 2 2 3 4 5" xfId="14935"/>
    <cellStyle name="Normal 3 2 5 2 2 3 5" xfId="5041"/>
    <cellStyle name="Normal 3 2 5 2 2 3 5 2" xfId="8379"/>
    <cellStyle name="Normal 3 2 5 2 2 3 5 2 2" xfId="19095"/>
    <cellStyle name="Normal 3 2 5 2 2 3 5 3" xfId="11707"/>
    <cellStyle name="Normal 3 2 5 2 2 3 5 3 2" xfId="22423"/>
    <cellStyle name="Normal 3 2 5 2 2 3 5 4" xfId="15767"/>
    <cellStyle name="Normal 3 2 5 2 2 3 6" xfId="6711"/>
    <cellStyle name="Normal 3 2 5 2 2 3 6 2" xfId="17431"/>
    <cellStyle name="Normal 3 2 5 2 2 3 7" xfId="10043"/>
    <cellStyle name="Normal 3 2 5 2 2 3 7 2" xfId="20759"/>
    <cellStyle name="Normal 3 2 5 2 2 3 8" xfId="14100"/>
    <cellStyle name="Normal 3 2 5 2 2 4" xfId="3015"/>
    <cellStyle name="Normal 3 2 5 2 2 4 2" xfId="3989"/>
    <cellStyle name="Normal 3 2 5 2 2 4 2 2" xfId="4829"/>
    <cellStyle name="Normal 3 2 5 2 2 4 2 2 2" xfId="6497"/>
    <cellStyle name="Normal 3 2 5 2 2 4 2 2 2 2" xfId="9832"/>
    <cellStyle name="Normal 3 2 5 2 2 4 2 2 2 2 2" xfId="20548"/>
    <cellStyle name="Normal 3 2 5 2 2 4 2 2 2 3" xfId="13160"/>
    <cellStyle name="Normal 3 2 5 2 2 4 2 2 2 3 2" xfId="23876"/>
    <cellStyle name="Normal 3 2 5 2 2 4 2 2 2 4" xfId="17220"/>
    <cellStyle name="Normal 3 2 5 2 2 4 2 2 3" xfId="8168"/>
    <cellStyle name="Normal 3 2 5 2 2 4 2 2 3 2" xfId="18884"/>
    <cellStyle name="Normal 3 2 5 2 2 4 2 2 4" xfId="11496"/>
    <cellStyle name="Normal 3 2 5 2 2 4 2 2 4 2" xfId="22212"/>
    <cellStyle name="Normal 3 2 5 2 2 4 2 2 5" xfId="15556"/>
    <cellStyle name="Normal 3 2 5 2 2 4 2 3" xfId="5665"/>
    <cellStyle name="Normal 3 2 5 2 2 4 2 3 2" xfId="9000"/>
    <cellStyle name="Normal 3 2 5 2 2 4 2 3 2 2" xfId="19716"/>
    <cellStyle name="Normal 3 2 5 2 2 4 2 3 3" xfId="12328"/>
    <cellStyle name="Normal 3 2 5 2 2 4 2 3 3 2" xfId="23044"/>
    <cellStyle name="Normal 3 2 5 2 2 4 2 3 4" xfId="16388"/>
    <cellStyle name="Normal 3 2 5 2 2 4 2 4" xfId="7336"/>
    <cellStyle name="Normal 3 2 5 2 2 4 2 4 2" xfId="18052"/>
    <cellStyle name="Normal 3 2 5 2 2 4 2 5" xfId="10664"/>
    <cellStyle name="Normal 3 2 5 2 2 4 2 5 2" xfId="21380"/>
    <cellStyle name="Normal 3 2 5 2 2 4 2 6" xfId="14724"/>
    <cellStyle name="Normal 3 2 5 2 2 4 3" xfId="4413"/>
    <cellStyle name="Normal 3 2 5 2 2 4 3 2" xfId="6081"/>
    <cellStyle name="Normal 3 2 5 2 2 4 3 2 2" xfId="9416"/>
    <cellStyle name="Normal 3 2 5 2 2 4 3 2 2 2" xfId="20132"/>
    <cellStyle name="Normal 3 2 5 2 2 4 3 2 3" xfId="12744"/>
    <cellStyle name="Normal 3 2 5 2 2 4 3 2 3 2" xfId="23460"/>
    <cellStyle name="Normal 3 2 5 2 2 4 3 2 4" xfId="16804"/>
    <cellStyle name="Normal 3 2 5 2 2 4 3 3" xfId="7752"/>
    <cellStyle name="Normal 3 2 5 2 2 4 3 3 2" xfId="18468"/>
    <cellStyle name="Normal 3 2 5 2 2 4 3 4" xfId="11080"/>
    <cellStyle name="Normal 3 2 5 2 2 4 3 4 2" xfId="21796"/>
    <cellStyle name="Normal 3 2 5 2 2 4 3 5" xfId="15140"/>
    <cellStyle name="Normal 3 2 5 2 2 4 4" xfId="5249"/>
    <cellStyle name="Normal 3 2 5 2 2 4 4 2" xfId="8584"/>
    <cellStyle name="Normal 3 2 5 2 2 4 4 2 2" xfId="19300"/>
    <cellStyle name="Normal 3 2 5 2 2 4 4 3" xfId="11912"/>
    <cellStyle name="Normal 3 2 5 2 2 4 4 3 2" xfId="22628"/>
    <cellStyle name="Normal 3 2 5 2 2 4 4 4" xfId="15972"/>
    <cellStyle name="Normal 3 2 5 2 2 4 5" xfId="6919"/>
    <cellStyle name="Normal 3 2 5 2 2 4 5 2" xfId="17636"/>
    <cellStyle name="Normal 3 2 5 2 2 4 6" xfId="10248"/>
    <cellStyle name="Normal 3 2 5 2 2 4 6 2" xfId="20964"/>
    <cellStyle name="Normal 3 2 5 2 2 4 7" xfId="14307"/>
    <cellStyle name="Normal 3 2 5 2 2 5" xfId="3770"/>
    <cellStyle name="Normal 3 2 5 2 2 5 2" xfId="4621"/>
    <cellStyle name="Normal 3 2 5 2 2 5 2 2" xfId="6289"/>
    <cellStyle name="Normal 3 2 5 2 2 5 2 2 2" xfId="9624"/>
    <cellStyle name="Normal 3 2 5 2 2 5 2 2 2 2" xfId="20340"/>
    <cellStyle name="Normal 3 2 5 2 2 5 2 2 3" xfId="12952"/>
    <cellStyle name="Normal 3 2 5 2 2 5 2 2 3 2" xfId="23668"/>
    <cellStyle name="Normal 3 2 5 2 2 5 2 2 4" xfId="17012"/>
    <cellStyle name="Normal 3 2 5 2 2 5 2 3" xfId="7960"/>
    <cellStyle name="Normal 3 2 5 2 2 5 2 3 2" xfId="18676"/>
    <cellStyle name="Normal 3 2 5 2 2 5 2 4" xfId="11288"/>
    <cellStyle name="Normal 3 2 5 2 2 5 2 4 2" xfId="22004"/>
    <cellStyle name="Normal 3 2 5 2 2 5 2 5" xfId="15348"/>
    <cellStyle name="Normal 3 2 5 2 2 5 3" xfId="5457"/>
    <cellStyle name="Normal 3 2 5 2 2 5 3 2" xfId="8792"/>
    <cellStyle name="Normal 3 2 5 2 2 5 3 2 2" xfId="19508"/>
    <cellStyle name="Normal 3 2 5 2 2 5 3 3" xfId="12120"/>
    <cellStyle name="Normal 3 2 5 2 2 5 3 3 2" xfId="22836"/>
    <cellStyle name="Normal 3 2 5 2 2 5 3 4" xfId="16180"/>
    <cellStyle name="Normal 3 2 5 2 2 5 4" xfId="7128"/>
    <cellStyle name="Normal 3 2 5 2 2 5 4 2" xfId="17844"/>
    <cellStyle name="Normal 3 2 5 2 2 5 5" xfId="10456"/>
    <cellStyle name="Normal 3 2 5 2 2 5 5 2" xfId="21172"/>
    <cellStyle name="Normal 3 2 5 2 2 5 6" xfId="14516"/>
    <cellStyle name="Normal 3 2 5 2 2 6" xfId="4203"/>
    <cellStyle name="Normal 3 2 5 2 2 6 2" xfId="5873"/>
    <cellStyle name="Normal 3 2 5 2 2 6 2 2" xfId="9208"/>
    <cellStyle name="Normal 3 2 5 2 2 6 2 2 2" xfId="19924"/>
    <cellStyle name="Normal 3 2 5 2 2 6 2 3" xfId="12536"/>
    <cellStyle name="Normal 3 2 5 2 2 6 2 3 2" xfId="23252"/>
    <cellStyle name="Normal 3 2 5 2 2 6 2 4" xfId="16596"/>
    <cellStyle name="Normal 3 2 5 2 2 6 3" xfId="7544"/>
    <cellStyle name="Normal 3 2 5 2 2 6 3 2" xfId="18260"/>
    <cellStyle name="Normal 3 2 5 2 2 6 4" xfId="10872"/>
    <cellStyle name="Normal 3 2 5 2 2 6 4 2" xfId="21588"/>
    <cellStyle name="Normal 3 2 5 2 2 6 5" xfId="14932"/>
    <cellStyle name="Normal 3 2 5 2 2 7" xfId="5038"/>
    <cellStyle name="Normal 3 2 5 2 2 7 2" xfId="8376"/>
    <cellStyle name="Normal 3 2 5 2 2 7 2 2" xfId="19092"/>
    <cellStyle name="Normal 3 2 5 2 2 7 3" xfId="11704"/>
    <cellStyle name="Normal 3 2 5 2 2 7 3 2" xfId="22420"/>
    <cellStyle name="Normal 3 2 5 2 2 7 4" xfId="15764"/>
    <cellStyle name="Normal 3 2 5 2 2 8" xfId="6708"/>
    <cellStyle name="Normal 3 2 5 2 2 8 2" xfId="17428"/>
    <cellStyle name="Normal 3 2 5 2 2 9" xfId="10040"/>
    <cellStyle name="Normal 3 2 5 2 2 9 2" xfId="20756"/>
    <cellStyle name="Normal 3 2 5 2 3" xfId="1330"/>
    <cellStyle name="Normal 3 2 5 2 3 2" xfId="1331"/>
    <cellStyle name="Normal 3 2 5 2 3 2 2" xfId="3020"/>
    <cellStyle name="Normal 3 2 5 2 3 2 2 2" xfId="3994"/>
    <cellStyle name="Normal 3 2 5 2 3 2 2 2 2" xfId="4834"/>
    <cellStyle name="Normal 3 2 5 2 3 2 2 2 2 2" xfId="6502"/>
    <cellStyle name="Normal 3 2 5 2 3 2 2 2 2 2 2" xfId="9837"/>
    <cellStyle name="Normal 3 2 5 2 3 2 2 2 2 2 2 2" xfId="20553"/>
    <cellStyle name="Normal 3 2 5 2 3 2 2 2 2 2 3" xfId="13165"/>
    <cellStyle name="Normal 3 2 5 2 3 2 2 2 2 2 3 2" xfId="23881"/>
    <cellStyle name="Normal 3 2 5 2 3 2 2 2 2 2 4" xfId="17225"/>
    <cellStyle name="Normal 3 2 5 2 3 2 2 2 2 3" xfId="8173"/>
    <cellStyle name="Normal 3 2 5 2 3 2 2 2 2 3 2" xfId="18889"/>
    <cellStyle name="Normal 3 2 5 2 3 2 2 2 2 4" xfId="11501"/>
    <cellStyle name="Normal 3 2 5 2 3 2 2 2 2 4 2" xfId="22217"/>
    <cellStyle name="Normal 3 2 5 2 3 2 2 2 2 5" xfId="15561"/>
    <cellStyle name="Normal 3 2 5 2 3 2 2 2 3" xfId="5670"/>
    <cellStyle name="Normal 3 2 5 2 3 2 2 2 3 2" xfId="9005"/>
    <cellStyle name="Normal 3 2 5 2 3 2 2 2 3 2 2" xfId="19721"/>
    <cellStyle name="Normal 3 2 5 2 3 2 2 2 3 3" xfId="12333"/>
    <cellStyle name="Normal 3 2 5 2 3 2 2 2 3 3 2" xfId="23049"/>
    <cellStyle name="Normal 3 2 5 2 3 2 2 2 3 4" xfId="16393"/>
    <cellStyle name="Normal 3 2 5 2 3 2 2 2 4" xfId="7341"/>
    <cellStyle name="Normal 3 2 5 2 3 2 2 2 4 2" xfId="18057"/>
    <cellStyle name="Normal 3 2 5 2 3 2 2 2 5" xfId="10669"/>
    <cellStyle name="Normal 3 2 5 2 3 2 2 2 5 2" xfId="21385"/>
    <cellStyle name="Normal 3 2 5 2 3 2 2 2 6" xfId="14729"/>
    <cellStyle name="Normal 3 2 5 2 3 2 2 3" xfId="4418"/>
    <cellStyle name="Normal 3 2 5 2 3 2 2 3 2" xfId="6086"/>
    <cellStyle name="Normal 3 2 5 2 3 2 2 3 2 2" xfId="9421"/>
    <cellStyle name="Normal 3 2 5 2 3 2 2 3 2 2 2" xfId="20137"/>
    <cellStyle name="Normal 3 2 5 2 3 2 2 3 2 3" xfId="12749"/>
    <cellStyle name="Normal 3 2 5 2 3 2 2 3 2 3 2" xfId="23465"/>
    <cellStyle name="Normal 3 2 5 2 3 2 2 3 2 4" xfId="16809"/>
    <cellStyle name="Normal 3 2 5 2 3 2 2 3 3" xfId="7757"/>
    <cellStyle name="Normal 3 2 5 2 3 2 2 3 3 2" xfId="18473"/>
    <cellStyle name="Normal 3 2 5 2 3 2 2 3 4" xfId="11085"/>
    <cellStyle name="Normal 3 2 5 2 3 2 2 3 4 2" xfId="21801"/>
    <cellStyle name="Normal 3 2 5 2 3 2 2 3 5" xfId="15145"/>
    <cellStyle name="Normal 3 2 5 2 3 2 2 4" xfId="5254"/>
    <cellStyle name="Normal 3 2 5 2 3 2 2 4 2" xfId="8589"/>
    <cellStyle name="Normal 3 2 5 2 3 2 2 4 2 2" xfId="19305"/>
    <cellStyle name="Normal 3 2 5 2 3 2 2 4 3" xfId="11917"/>
    <cellStyle name="Normal 3 2 5 2 3 2 2 4 3 2" xfId="22633"/>
    <cellStyle name="Normal 3 2 5 2 3 2 2 4 4" xfId="15977"/>
    <cellStyle name="Normal 3 2 5 2 3 2 2 5" xfId="6924"/>
    <cellStyle name="Normal 3 2 5 2 3 2 2 5 2" xfId="17641"/>
    <cellStyle name="Normal 3 2 5 2 3 2 2 6" xfId="10253"/>
    <cellStyle name="Normal 3 2 5 2 3 2 2 6 2" xfId="20969"/>
    <cellStyle name="Normal 3 2 5 2 3 2 2 7" xfId="14312"/>
    <cellStyle name="Normal 3 2 5 2 3 2 3" xfId="3775"/>
    <cellStyle name="Normal 3 2 5 2 3 2 3 2" xfId="4626"/>
    <cellStyle name="Normal 3 2 5 2 3 2 3 2 2" xfId="6294"/>
    <cellStyle name="Normal 3 2 5 2 3 2 3 2 2 2" xfId="9629"/>
    <cellStyle name="Normal 3 2 5 2 3 2 3 2 2 2 2" xfId="20345"/>
    <cellStyle name="Normal 3 2 5 2 3 2 3 2 2 3" xfId="12957"/>
    <cellStyle name="Normal 3 2 5 2 3 2 3 2 2 3 2" xfId="23673"/>
    <cellStyle name="Normal 3 2 5 2 3 2 3 2 2 4" xfId="17017"/>
    <cellStyle name="Normal 3 2 5 2 3 2 3 2 3" xfId="7965"/>
    <cellStyle name="Normal 3 2 5 2 3 2 3 2 3 2" xfId="18681"/>
    <cellStyle name="Normal 3 2 5 2 3 2 3 2 4" xfId="11293"/>
    <cellStyle name="Normal 3 2 5 2 3 2 3 2 4 2" xfId="22009"/>
    <cellStyle name="Normal 3 2 5 2 3 2 3 2 5" xfId="15353"/>
    <cellStyle name="Normal 3 2 5 2 3 2 3 3" xfId="5462"/>
    <cellStyle name="Normal 3 2 5 2 3 2 3 3 2" xfId="8797"/>
    <cellStyle name="Normal 3 2 5 2 3 2 3 3 2 2" xfId="19513"/>
    <cellStyle name="Normal 3 2 5 2 3 2 3 3 3" xfId="12125"/>
    <cellStyle name="Normal 3 2 5 2 3 2 3 3 3 2" xfId="22841"/>
    <cellStyle name="Normal 3 2 5 2 3 2 3 3 4" xfId="16185"/>
    <cellStyle name="Normal 3 2 5 2 3 2 3 4" xfId="7133"/>
    <cellStyle name="Normal 3 2 5 2 3 2 3 4 2" xfId="17849"/>
    <cellStyle name="Normal 3 2 5 2 3 2 3 5" xfId="10461"/>
    <cellStyle name="Normal 3 2 5 2 3 2 3 5 2" xfId="21177"/>
    <cellStyle name="Normal 3 2 5 2 3 2 3 6" xfId="14521"/>
    <cellStyle name="Normal 3 2 5 2 3 2 4" xfId="4208"/>
    <cellStyle name="Normal 3 2 5 2 3 2 4 2" xfId="5878"/>
    <cellStyle name="Normal 3 2 5 2 3 2 4 2 2" xfId="9213"/>
    <cellStyle name="Normal 3 2 5 2 3 2 4 2 2 2" xfId="19929"/>
    <cellStyle name="Normal 3 2 5 2 3 2 4 2 3" xfId="12541"/>
    <cellStyle name="Normal 3 2 5 2 3 2 4 2 3 2" xfId="23257"/>
    <cellStyle name="Normal 3 2 5 2 3 2 4 2 4" xfId="16601"/>
    <cellStyle name="Normal 3 2 5 2 3 2 4 3" xfId="7549"/>
    <cellStyle name="Normal 3 2 5 2 3 2 4 3 2" xfId="18265"/>
    <cellStyle name="Normal 3 2 5 2 3 2 4 4" xfId="10877"/>
    <cellStyle name="Normal 3 2 5 2 3 2 4 4 2" xfId="21593"/>
    <cellStyle name="Normal 3 2 5 2 3 2 4 5" xfId="14937"/>
    <cellStyle name="Normal 3 2 5 2 3 2 5" xfId="5043"/>
    <cellStyle name="Normal 3 2 5 2 3 2 5 2" xfId="8381"/>
    <cellStyle name="Normal 3 2 5 2 3 2 5 2 2" xfId="19097"/>
    <cellStyle name="Normal 3 2 5 2 3 2 5 3" xfId="11709"/>
    <cellStyle name="Normal 3 2 5 2 3 2 5 3 2" xfId="22425"/>
    <cellStyle name="Normal 3 2 5 2 3 2 5 4" xfId="15769"/>
    <cellStyle name="Normal 3 2 5 2 3 2 6" xfId="6713"/>
    <cellStyle name="Normal 3 2 5 2 3 2 6 2" xfId="17433"/>
    <cellStyle name="Normal 3 2 5 2 3 2 7" xfId="10045"/>
    <cellStyle name="Normal 3 2 5 2 3 2 7 2" xfId="20761"/>
    <cellStyle name="Normal 3 2 5 2 3 2 8" xfId="14102"/>
    <cellStyle name="Normal 3 2 5 2 3 3" xfId="3019"/>
    <cellStyle name="Normal 3 2 5 2 3 3 2" xfId="3993"/>
    <cellStyle name="Normal 3 2 5 2 3 3 2 2" xfId="4833"/>
    <cellStyle name="Normal 3 2 5 2 3 3 2 2 2" xfId="6501"/>
    <cellStyle name="Normal 3 2 5 2 3 3 2 2 2 2" xfId="9836"/>
    <cellStyle name="Normal 3 2 5 2 3 3 2 2 2 2 2" xfId="20552"/>
    <cellStyle name="Normal 3 2 5 2 3 3 2 2 2 3" xfId="13164"/>
    <cellStyle name="Normal 3 2 5 2 3 3 2 2 2 3 2" xfId="23880"/>
    <cellStyle name="Normal 3 2 5 2 3 3 2 2 2 4" xfId="17224"/>
    <cellStyle name="Normal 3 2 5 2 3 3 2 2 3" xfId="8172"/>
    <cellStyle name="Normal 3 2 5 2 3 3 2 2 3 2" xfId="18888"/>
    <cellStyle name="Normal 3 2 5 2 3 3 2 2 4" xfId="11500"/>
    <cellStyle name="Normal 3 2 5 2 3 3 2 2 4 2" xfId="22216"/>
    <cellStyle name="Normal 3 2 5 2 3 3 2 2 5" xfId="15560"/>
    <cellStyle name="Normal 3 2 5 2 3 3 2 3" xfId="5669"/>
    <cellStyle name="Normal 3 2 5 2 3 3 2 3 2" xfId="9004"/>
    <cellStyle name="Normal 3 2 5 2 3 3 2 3 2 2" xfId="19720"/>
    <cellStyle name="Normal 3 2 5 2 3 3 2 3 3" xfId="12332"/>
    <cellStyle name="Normal 3 2 5 2 3 3 2 3 3 2" xfId="23048"/>
    <cellStyle name="Normal 3 2 5 2 3 3 2 3 4" xfId="16392"/>
    <cellStyle name="Normal 3 2 5 2 3 3 2 4" xfId="7340"/>
    <cellStyle name="Normal 3 2 5 2 3 3 2 4 2" xfId="18056"/>
    <cellStyle name="Normal 3 2 5 2 3 3 2 5" xfId="10668"/>
    <cellStyle name="Normal 3 2 5 2 3 3 2 5 2" xfId="21384"/>
    <cellStyle name="Normal 3 2 5 2 3 3 2 6" xfId="14728"/>
    <cellStyle name="Normal 3 2 5 2 3 3 3" xfId="4417"/>
    <cellStyle name="Normal 3 2 5 2 3 3 3 2" xfId="6085"/>
    <cellStyle name="Normal 3 2 5 2 3 3 3 2 2" xfId="9420"/>
    <cellStyle name="Normal 3 2 5 2 3 3 3 2 2 2" xfId="20136"/>
    <cellStyle name="Normal 3 2 5 2 3 3 3 2 3" xfId="12748"/>
    <cellStyle name="Normal 3 2 5 2 3 3 3 2 3 2" xfId="23464"/>
    <cellStyle name="Normal 3 2 5 2 3 3 3 2 4" xfId="16808"/>
    <cellStyle name="Normal 3 2 5 2 3 3 3 3" xfId="7756"/>
    <cellStyle name="Normal 3 2 5 2 3 3 3 3 2" xfId="18472"/>
    <cellStyle name="Normal 3 2 5 2 3 3 3 4" xfId="11084"/>
    <cellStyle name="Normal 3 2 5 2 3 3 3 4 2" xfId="21800"/>
    <cellStyle name="Normal 3 2 5 2 3 3 3 5" xfId="15144"/>
    <cellStyle name="Normal 3 2 5 2 3 3 4" xfId="5253"/>
    <cellStyle name="Normal 3 2 5 2 3 3 4 2" xfId="8588"/>
    <cellStyle name="Normal 3 2 5 2 3 3 4 2 2" xfId="19304"/>
    <cellStyle name="Normal 3 2 5 2 3 3 4 3" xfId="11916"/>
    <cellStyle name="Normal 3 2 5 2 3 3 4 3 2" xfId="22632"/>
    <cellStyle name="Normal 3 2 5 2 3 3 4 4" xfId="15976"/>
    <cellStyle name="Normal 3 2 5 2 3 3 5" xfId="6923"/>
    <cellStyle name="Normal 3 2 5 2 3 3 5 2" xfId="17640"/>
    <cellStyle name="Normal 3 2 5 2 3 3 6" xfId="10252"/>
    <cellStyle name="Normal 3 2 5 2 3 3 6 2" xfId="20968"/>
    <cellStyle name="Normal 3 2 5 2 3 3 7" xfId="14311"/>
    <cellStyle name="Normal 3 2 5 2 3 4" xfId="3774"/>
    <cellStyle name="Normal 3 2 5 2 3 4 2" xfId="4625"/>
    <cellStyle name="Normal 3 2 5 2 3 4 2 2" xfId="6293"/>
    <cellStyle name="Normal 3 2 5 2 3 4 2 2 2" xfId="9628"/>
    <cellStyle name="Normal 3 2 5 2 3 4 2 2 2 2" xfId="20344"/>
    <cellStyle name="Normal 3 2 5 2 3 4 2 2 3" xfId="12956"/>
    <cellStyle name="Normal 3 2 5 2 3 4 2 2 3 2" xfId="23672"/>
    <cellStyle name="Normal 3 2 5 2 3 4 2 2 4" xfId="17016"/>
    <cellStyle name="Normal 3 2 5 2 3 4 2 3" xfId="7964"/>
    <cellStyle name="Normal 3 2 5 2 3 4 2 3 2" xfId="18680"/>
    <cellStyle name="Normal 3 2 5 2 3 4 2 4" xfId="11292"/>
    <cellStyle name="Normal 3 2 5 2 3 4 2 4 2" xfId="22008"/>
    <cellStyle name="Normal 3 2 5 2 3 4 2 5" xfId="15352"/>
    <cellStyle name="Normal 3 2 5 2 3 4 3" xfId="5461"/>
    <cellStyle name="Normal 3 2 5 2 3 4 3 2" xfId="8796"/>
    <cellStyle name="Normal 3 2 5 2 3 4 3 2 2" xfId="19512"/>
    <cellStyle name="Normal 3 2 5 2 3 4 3 3" xfId="12124"/>
    <cellStyle name="Normal 3 2 5 2 3 4 3 3 2" xfId="22840"/>
    <cellStyle name="Normal 3 2 5 2 3 4 3 4" xfId="16184"/>
    <cellStyle name="Normal 3 2 5 2 3 4 4" xfId="7132"/>
    <cellStyle name="Normal 3 2 5 2 3 4 4 2" xfId="17848"/>
    <cellStyle name="Normal 3 2 5 2 3 4 5" xfId="10460"/>
    <cellStyle name="Normal 3 2 5 2 3 4 5 2" xfId="21176"/>
    <cellStyle name="Normal 3 2 5 2 3 4 6" xfId="14520"/>
    <cellStyle name="Normal 3 2 5 2 3 5" xfId="4207"/>
    <cellStyle name="Normal 3 2 5 2 3 5 2" xfId="5877"/>
    <cellStyle name="Normal 3 2 5 2 3 5 2 2" xfId="9212"/>
    <cellStyle name="Normal 3 2 5 2 3 5 2 2 2" xfId="19928"/>
    <cellStyle name="Normal 3 2 5 2 3 5 2 3" xfId="12540"/>
    <cellStyle name="Normal 3 2 5 2 3 5 2 3 2" xfId="23256"/>
    <cellStyle name="Normal 3 2 5 2 3 5 2 4" xfId="16600"/>
    <cellStyle name="Normal 3 2 5 2 3 5 3" xfId="7548"/>
    <cellStyle name="Normal 3 2 5 2 3 5 3 2" xfId="18264"/>
    <cellStyle name="Normal 3 2 5 2 3 5 4" xfId="10876"/>
    <cellStyle name="Normal 3 2 5 2 3 5 4 2" xfId="21592"/>
    <cellStyle name="Normal 3 2 5 2 3 5 5" xfId="14936"/>
    <cellStyle name="Normal 3 2 5 2 3 6" xfId="5042"/>
    <cellStyle name="Normal 3 2 5 2 3 6 2" xfId="8380"/>
    <cellStyle name="Normal 3 2 5 2 3 6 2 2" xfId="19096"/>
    <cellStyle name="Normal 3 2 5 2 3 6 3" xfId="11708"/>
    <cellStyle name="Normal 3 2 5 2 3 6 3 2" xfId="22424"/>
    <cellStyle name="Normal 3 2 5 2 3 6 4" xfId="15768"/>
    <cellStyle name="Normal 3 2 5 2 3 7" xfId="6712"/>
    <cellStyle name="Normal 3 2 5 2 3 7 2" xfId="17432"/>
    <cellStyle name="Normal 3 2 5 2 3 8" xfId="10044"/>
    <cellStyle name="Normal 3 2 5 2 3 8 2" xfId="20760"/>
    <cellStyle name="Normal 3 2 5 2 3 9" xfId="14101"/>
    <cellStyle name="Normal 3 2 5 2 4" xfId="1332"/>
    <cellStyle name="Normal 3 2 5 2 4 2" xfId="3021"/>
    <cellStyle name="Normal 3 2 5 2 4 2 2" xfId="3995"/>
    <cellStyle name="Normal 3 2 5 2 4 2 2 2" xfId="4835"/>
    <cellStyle name="Normal 3 2 5 2 4 2 2 2 2" xfId="6503"/>
    <cellStyle name="Normal 3 2 5 2 4 2 2 2 2 2" xfId="9838"/>
    <cellStyle name="Normal 3 2 5 2 4 2 2 2 2 2 2" xfId="20554"/>
    <cellStyle name="Normal 3 2 5 2 4 2 2 2 2 3" xfId="13166"/>
    <cellStyle name="Normal 3 2 5 2 4 2 2 2 2 3 2" xfId="23882"/>
    <cellStyle name="Normal 3 2 5 2 4 2 2 2 2 4" xfId="17226"/>
    <cellStyle name="Normal 3 2 5 2 4 2 2 2 3" xfId="8174"/>
    <cellStyle name="Normal 3 2 5 2 4 2 2 2 3 2" xfId="18890"/>
    <cellStyle name="Normal 3 2 5 2 4 2 2 2 4" xfId="11502"/>
    <cellStyle name="Normal 3 2 5 2 4 2 2 2 4 2" xfId="22218"/>
    <cellStyle name="Normal 3 2 5 2 4 2 2 2 5" xfId="15562"/>
    <cellStyle name="Normal 3 2 5 2 4 2 2 3" xfId="5671"/>
    <cellStyle name="Normal 3 2 5 2 4 2 2 3 2" xfId="9006"/>
    <cellStyle name="Normal 3 2 5 2 4 2 2 3 2 2" xfId="19722"/>
    <cellStyle name="Normal 3 2 5 2 4 2 2 3 3" xfId="12334"/>
    <cellStyle name="Normal 3 2 5 2 4 2 2 3 3 2" xfId="23050"/>
    <cellStyle name="Normal 3 2 5 2 4 2 2 3 4" xfId="16394"/>
    <cellStyle name="Normal 3 2 5 2 4 2 2 4" xfId="7342"/>
    <cellStyle name="Normal 3 2 5 2 4 2 2 4 2" xfId="18058"/>
    <cellStyle name="Normal 3 2 5 2 4 2 2 5" xfId="10670"/>
    <cellStyle name="Normal 3 2 5 2 4 2 2 5 2" xfId="21386"/>
    <cellStyle name="Normal 3 2 5 2 4 2 2 6" xfId="14730"/>
    <cellStyle name="Normal 3 2 5 2 4 2 3" xfId="4419"/>
    <cellStyle name="Normal 3 2 5 2 4 2 3 2" xfId="6087"/>
    <cellStyle name="Normal 3 2 5 2 4 2 3 2 2" xfId="9422"/>
    <cellStyle name="Normal 3 2 5 2 4 2 3 2 2 2" xfId="20138"/>
    <cellStyle name="Normal 3 2 5 2 4 2 3 2 3" xfId="12750"/>
    <cellStyle name="Normal 3 2 5 2 4 2 3 2 3 2" xfId="23466"/>
    <cellStyle name="Normal 3 2 5 2 4 2 3 2 4" xfId="16810"/>
    <cellStyle name="Normal 3 2 5 2 4 2 3 3" xfId="7758"/>
    <cellStyle name="Normal 3 2 5 2 4 2 3 3 2" xfId="18474"/>
    <cellStyle name="Normal 3 2 5 2 4 2 3 4" xfId="11086"/>
    <cellStyle name="Normal 3 2 5 2 4 2 3 4 2" xfId="21802"/>
    <cellStyle name="Normal 3 2 5 2 4 2 3 5" xfId="15146"/>
    <cellStyle name="Normal 3 2 5 2 4 2 4" xfId="5255"/>
    <cellStyle name="Normal 3 2 5 2 4 2 4 2" xfId="8590"/>
    <cellStyle name="Normal 3 2 5 2 4 2 4 2 2" xfId="19306"/>
    <cellStyle name="Normal 3 2 5 2 4 2 4 3" xfId="11918"/>
    <cellStyle name="Normal 3 2 5 2 4 2 4 3 2" xfId="22634"/>
    <cellStyle name="Normal 3 2 5 2 4 2 4 4" xfId="15978"/>
    <cellStyle name="Normal 3 2 5 2 4 2 5" xfId="6925"/>
    <cellStyle name="Normal 3 2 5 2 4 2 5 2" xfId="17642"/>
    <cellStyle name="Normal 3 2 5 2 4 2 6" xfId="10254"/>
    <cellStyle name="Normal 3 2 5 2 4 2 6 2" xfId="20970"/>
    <cellStyle name="Normal 3 2 5 2 4 2 7" xfId="14313"/>
    <cellStyle name="Normal 3 2 5 2 4 3" xfId="3776"/>
    <cellStyle name="Normal 3 2 5 2 4 3 2" xfId="4627"/>
    <cellStyle name="Normal 3 2 5 2 4 3 2 2" xfId="6295"/>
    <cellStyle name="Normal 3 2 5 2 4 3 2 2 2" xfId="9630"/>
    <cellStyle name="Normal 3 2 5 2 4 3 2 2 2 2" xfId="20346"/>
    <cellStyle name="Normal 3 2 5 2 4 3 2 2 3" xfId="12958"/>
    <cellStyle name="Normal 3 2 5 2 4 3 2 2 3 2" xfId="23674"/>
    <cellStyle name="Normal 3 2 5 2 4 3 2 2 4" xfId="17018"/>
    <cellStyle name="Normal 3 2 5 2 4 3 2 3" xfId="7966"/>
    <cellStyle name="Normal 3 2 5 2 4 3 2 3 2" xfId="18682"/>
    <cellStyle name="Normal 3 2 5 2 4 3 2 4" xfId="11294"/>
    <cellStyle name="Normal 3 2 5 2 4 3 2 4 2" xfId="22010"/>
    <cellStyle name="Normal 3 2 5 2 4 3 2 5" xfId="15354"/>
    <cellStyle name="Normal 3 2 5 2 4 3 3" xfId="5463"/>
    <cellStyle name="Normal 3 2 5 2 4 3 3 2" xfId="8798"/>
    <cellStyle name="Normal 3 2 5 2 4 3 3 2 2" xfId="19514"/>
    <cellStyle name="Normal 3 2 5 2 4 3 3 3" xfId="12126"/>
    <cellStyle name="Normal 3 2 5 2 4 3 3 3 2" xfId="22842"/>
    <cellStyle name="Normal 3 2 5 2 4 3 3 4" xfId="16186"/>
    <cellStyle name="Normal 3 2 5 2 4 3 4" xfId="7134"/>
    <cellStyle name="Normal 3 2 5 2 4 3 4 2" xfId="17850"/>
    <cellStyle name="Normal 3 2 5 2 4 3 5" xfId="10462"/>
    <cellStyle name="Normal 3 2 5 2 4 3 5 2" xfId="21178"/>
    <cellStyle name="Normal 3 2 5 2 4 3 6" xfId="14522"/>
    <cellStyle name="Normal 3 2 5 2 4 4" xfId="4209"/>
    <cellStyle name="Normal 3 2 5 2 4 4 2" xfId="5879"/>
    <cellStyle name="Normal 3 2 5 2 4 4 2 2" xfId="9214"/>
    <cellStyle name="Normal 3 2 5 2 4 4 2 2 2" xfId="19930"/>
    <cellStyle name="Normal 3 2 5 2 4 4 2 3" xfId="12542"/>
    <cellStyle name="Normal 3 2 5 2 4 4 2 3 2" xfId="23258"/>
    <cellStyle name="Normal 3 2 5 2 4 4 2 4" xfId="16602"/>
    <cellStyle name="Normal 3 2 5 2 4 4 3" xfId="7550"/>
    <cellStyle name="Normal 3 2 5 2 4 4 3 2" xfId="18266"/>
    <cellStyle name="Normal 3 2 5 2 4 4 4" xfId="10878"/>
    <cellStyle name="Normal 3 2 5 2 4 4 4 2" xfId="21594"/>
    <cellStyle name="Normal 3 2 5 2 4 4 5" xfId="14938"/>
    <cellStyle name="Normal 3 2 5 2 4 5" xfId="5044"/>
    <cellStyle name="Normal 3 2 5 2 4 5 2" xfId="8382"/>
    <cellStyle name="Normal 3 2 5 2 4 5 2 2" xfId="19098"/>
    <cellStyle name="Normal 3 2 5 2 4 5 3" xfId="11710"/>
    <cellStyle name="Normal 3 2 5 2 4 5 3 2" xfId="22426"/>
    <cellStyle name="Normal 3 2 5 2 4 5 4" xfId="15770"/>
    <cellStyle name="Normal 3 2 5 2 4 6" xfId="6714"/>
    <cellStyle name="Normal 3 2 5 2 4 6 2" xfId="17434"/>
    <cellStyle name="Normal 3 2 5 2 4 7" xfId="10046"/>
    <cellStyle name="Normal 3 2 5 2 4 7 2" xfId="20762"/>
    <cellStyle name="Normal 3 2 5 2 4 8" xfId="14103"/>
    <cellStyle name="Normal 3 2 5 2 5" xfId="3014"/>
    <cellStyle name="Normal 3 2 5 2 5 2" xfId="3988"/>
    <cellStyle name="Normal 3 2 5 2 5 2 2" xfId="4828"/>
    <cellStyle name="Normal 3 2 5 2 5 2 2 2" xfId="6496"/>
    <cellStyle name="Normal 3 2 5 2 5 2 2 2 2" xfId="9831"/>
    <cellStyle name="Normal 3 2 5 2 5 2 2 2 2 2" xfId="20547"/>
    <cellStyle name="Normal 3 2 5 2 5 2 2 2 3" xfId="13159"/>
    <cellStyle name="Normal 3 2 5 2 5 2 2 2 3 2" xfId="23875"/>
    <cellStyle name="Normal 3 2 5 2 5 2 2 2 4" xfId="17219"/>
    <cellStyle name="Normal 3 2 5 2 5 2 2 3" xfId="8167"/>
    <cellStyle name="Normal 3 2 5 2 5 2 2 3 2" xfId="18883"/>
    <cellStyle name="Normal 3 2 5 2 5 2 2 4" xfId="11495"/>
    <cellStyle name="Normal 3 2 5 2 5 2 2 4 2" xfId="22211"/>
    <cellStyle name="Normal 3 2 5 2 5 2 2 5" xfId="15555"/>
    <cellStyle name="Normal 3 2 5 2 5 2 3" xfId="5664"/>
    <cellStyle name="Normal 3 2 5 2 5 2 3 2" xfId="8999"/>
    <cellStyle name="Normal 3 2 5 2 5 2 3 2 2" xfId="19715"/>
    <cellStyle name="Normal 3 2 5 2 5 2 3 3" xfId="12327"/>
    <cellStyle name="Normal 3 2 5 2 5 2 3 3 2" xfId="23043"/>
    <cellStyle name="Normal 3 2 5 2 5 2 3 4" xfId="16387"/>
    <cellStyle name="Normal 3 2 5 2 5 2 4" xfId="7335"/>
    <cellStyle name="Normal 3 2 5 2 5 2 4 2" xfId="18051"/>
    <cellStyle name="Normal 3 2 5 2 5 2 5" xfId="10663"/>
    <cellStyle name="Normal 3 2 5 2 5 2 5 2" xfId="21379"/>
    <cellStyle name="Normal 3 2 5 2 5 2 6" xfId="14723"/>
    <cellStyle name="Normal 3 2 5 2 5 3" xfId="4412"/>
    <cellStyle name="Normal 3 2 5 2 5 3 2" xfId="6080"/>
    <cellStyle name="Normal 3 2 5 2 5 3 2 2" xfId="9415"/>
    <cellStyle name="Normal 3 2 5 2 5 3 2 2 2" xfId="20131"/>
    <cellStyle name="Normal 3 2 5 2 5 3 2 3" xfId="12743"/>
    <cellStyle name="Normal 3 2 5 2 5 3 2 3 2" xfId="23459"/>
    <cellStyle name="Normal 3 2 5 2 5 3 2 4" xfId="16803"/>
    <cellStyle name="Normal 3 2 5 2 5 3 3" xfId="7751"/>
    <cellStyle name="Normal 3 2 5 2 5 3 3 2" xfId="18467"/>
    <cellStyle name="Normal 3 2 5 2 5 3 4" xfId="11079"/>
    <cellStyle name="Normal 3 2 5 2 5 3 4 2" xfId="21795"/>
    <cellStyle name="Normal 3 2 5 2 5 3 5" xfId="15139"/>
    <cellStyle name="Normal 3 2 5 2 5 4" xfId="5248"/>
    <cellStyle name="Normal 3 2 5 2 5 4 2" xfId="8583"/>
    <cellStyle name="Normal 3 2 5 2 5 4 2 2" xfId="19299"/>
    <cellStyle name="Normal 3 2 5 2 5 4 3" xfId="11911"/>
    <cellStyle name="Normal 3 2 5 2 5 4 3 2" xfId="22627"/>
    <cellStyle name="Normal 3 2 5 2 5 4 4" xfId="15971"/>
    <cellStyle name="Normal 3 2 5 2 5 5" xfId="6918"/>
    <cellStyle name="Normal 3 2 5 2 5 5 2" xfId="17635"/>
    <cellStyle name="Normal 3 2 5 2 5 6" xfId="10247"/>
    <cellStyle name="Normal 3 2 5 2 5 6 2" xfId="20963"/>
    <cellStyle name="Normal 3 2 5 2 5 7" xfId="14306"/>
    <cellStyle name="Normal 3 2 5 2 6" xfId="3769"/>
    <cellStyle name="Normal 3 2 5 2 6 2" xfId="4620"/>
    <cellStyle name="Normal 3 2 5 2 6 2 2" xfId="6288"/>
    <cellStyle name="Normal 3 2 5 2 6 2 2 2" xfId="9623"/>
    <cellStyle name="Normal 3 2 5 2 6 2 2 2 2" xfId="20339"/>
    <cellStyle name="Normal 3 2 5 2 6 2 2 3" xfId="12951"/>
    <cellStyle name="Normal 3 2 5 2 6 2 2 3 2" xfId="23667"/>
    <cellStyle name="Normal 3 2 5 2 6 2 2 4" xfId="17011"/>
    <cellStyle name="Normal 3 2 5 2 6 2 3" xfId="7959"/>
    <cellStyle name="Normal 3 2 5 2 6 2 3 2" xfId="18675"/>
    <cellStyle name="Normal 3 2 5 2 6 2 4" xfId="11287"/>
    <cellStyle name="Normal 3 2 5 2 6 2 4 2" xfId="22003"/>
    <cellStyle name="Normal 3 2 5 2 6 2 5" xfId="15347"/>
    <cellStyle name="Normal 3 2 5 2 6 3" xfId="5456"/>
    <cellStyle name="Normal 3 2 5 2 6 3 2" xfId="8791"/>
    <cellStyle name="Normal 3 2 5 2 6 3 2 2" xfId="19507"/>
    <cellStyle name="Normal 3 2 5 2 6 3 3" xfId="12119"/>
    <cellStyle name="Normal 3 2 5 2 6 3 3 2" xfId="22835"/>
    <cellStyle name="Normal 3 2 5 2 6 3 4" xfId="16179"/>
    <cellStyle name="Normal 3 2 5 2 6 4" xfId="7127"/>
    <cellStyle name="Normal 3 2 5 2 6 4 2" xfId="17843"/>
    <cellStyle name="Normal 3 2 5 2 6 5" xfId="10455"/>
    <cellStyle name="Normal 3 2 5 2 6 5 2" xfId="21171"/>
    <cellStyle name="Normal 3 2 5 2 6 6" xfId="14515"/>
    <cellStyle name="Normal 3 2 5 2 7" xfId="4202"/>
    <cellStyle name="Normal 3 2 5 2 7 2" xfId="5872"/>
    <cellStyle name="Normal 3 2 5 2 7 2 2" xfId="9207"/>
    <cellStyle name="Normal 3 2 5 2 7 2 2 2" xfId="19923"/>
    <cellStyle name="Normal 3 2 5 2 7 2 3" xfId="12535"/>
    <cellStyle name="Normal 3 2 5 2 7 2 3 2" xfId="23251"/>
    <cellStyle name="Normal 3 2 5 2 7 2 4" xfId="16595"/>
    <cellStyle name="Normal 3 2 5 2 7 3" xfId="7543"/>
    <cellStyle name="Normal 3 2 5 2 7 3 2" xfId="18259"/>
    <cellStyle name="Normal 3 2 5 2 7 4" xfId="10871"/>
    <cellStyle name="Normal 3 2 5 2 7 4 2" xfId="21587"/>
    <cellStyle name="Normal 3 2 5 2 7 5" xfId="14931"/>
    <cellStyle name="Normal 3 2 5 2 8" xfId="5037"/>
    <cellStyle name="Normal 3 2 5 2 8 2" xfId="8375"/>
    <cellStyle name="Normal 3 2 5 2 8 2 2" xfId="19091"/>
    <cellStyle name="Normal 3 2 5 2 8 3" xfId="11703"/>
    <cellStyle name="Normal 3 2 5 2 8 3 2" xfId="22419"/>
    <cellStyle name="Normal 3 2 5 2 8 4" xfId="15763"/>
    <cellStyle name="Normal 3 2 5 2 9" xfId="6707"/>
    <cellStyle name="Normal 3 2 5 2 9 2" xfId="17427"/>
    <cellStyle name="Normal 3 2 5 3" xfId="1333"/>
    <cellStyle name="Normal 3 2 5 3 10" xfId="14104"/>
    <cellStyle name="Normal 3 2 5 3 2" xfId="1334"/>
    <cellStyle name="Normal 3 2 5 3 2 2" xfId="1335"/>
    <cellStyle name="Normal 3 2 5 3 2 2 2" xfId="3024"/>
    <cellStyle name="Normal 3 2 5 3 2 2 2 2" xfId="3998"/>
    <cellStyle name="Normal 3 2 5 3 2 2 2 2 2" xfId="4838"/>
    <cellStyle name="Normal 3 2 5 3 2 2 2 2 2 2" xfId="6506"/>
    <cellStyle name="Normal 3 2 5 3 2 2 2 2 2 2 2" xfId="9841"/>
    <cellStyle name="Normal 3 2 5 3 2 2 2 2 2 2 2 2" xfId="20557"/>
    <cellStyle name="Normal 3 2 5 3 2 2 2 2 2 2 3" xfId="13169"/>
    <cellStyle name="Normal 3 2 5 3 2 2 2 2 2 2 3 2" xfId="23885"/>
    <cellStyle name="Normal 3 2 5 3 2 2 2 2 2 2 4" xfId="17229"/>
    <cellStyle name="Normal 3 2 5 3 2 2 2 2 2 3" xfId="8177"/>
    <cellStyle name="Normal 3 2 5 3 2 2 2 2 2 3 2" xfId="18893"/>
    <cellStyle name="Normal 3 2 5 3 2 2 2 2 2 4" xfId="11505"/>
    <cellStyle name="Normal 3 2 5 3 2 2 2 2 2 4 2" xfId="22221"/>
    <cellStyle name="Normal 3 2 5 3 2 2 2 2 2 5" xfId="15565"/>
    <cellStyle name="Normal 3 2 5 3 2 2 2 2 3" xfId="5674"/>
    <cellStyle name="Normal 3 2 5 3 2 2 2 2 3 2" xfId="9009"/>
    <cellStyle name="Normal 3 2 5 3 2 2 2 2 3 2 2" xfId="19725"/>
    <cellStyle name="Normal 3 2 5 3 2 2 2 2 3 3" xfId="12337"/>
    <cellStyle name="Normal 3 2 5 3 2 2 2 2 3 3 2" xfId="23053"/>
    <cellStyle name="Normal 3 2 5 3 2 2 2 2 3 4" xfId="16397"/>
    <cellStyle name="Normal 3 2 5 3 2 2 2 2 4" xfId="7345"/>
    <cellStyle name="Normal 3 2 5 3 2 2 2 2 4 2" xfId="18061"/>
    <cellStyle name="Normal 3 2 5 3 2 2 2 2 5" xfId="10673"/>
    <cellStyle name="Normal 3 2 5 3 2 2 2 2 5 2" xfId="21389"/>
    <cellStyle name="Normal 3 2 5 3 2 2 2 2 6" xfId="14733"/>
    <cellStyle name="Normal 3 2 5 3 2 2 2 3" xfId="4422"/>
    <cellStyle name="Normal 3 2 5 3 2 2 2 3 2" xfId="6090"/>
    <cellStyle name="Normal 3 2 5 3 2 2 2 3 2 2" xfId="9425"/>
    <cellStyle name="Normal 3 2 5 3 2 2 2 3 2 2 2" xfId="20141"/>
    <cellStyle name="Normal 3 2 5 3 2 2 2 3 2 3" xfId="12753"/>
    <cellStyle name="Normal 3 2 5 3 2 2 2 3 2 3 2" xfId="23469"/>
    <cellStyle name="Normal 3 2 5 3 2 2 2 3 2 4" xfId="16813"/>
    <cellStyle name="Normal 3 2 5 3 2 2 2 3 3" xfId="7761"/>
    <cellStyle name="Normal 3 2 5 3 2 2 2 3 3 2" xfId="18477"/>
    <cellStyle name="Normal 3 2 5 3 2 2 2 3 4" xfId="11089"/>
    <cellStyle name="Normal 3 2 5 3 2 2 2 3 4 2" xfId="21805"/>
    <cellStyle name="Normal 3 2 5 3 2 2 2 3 5" xfId="15149"/>
    <cellStyle name="Normal 3 2 5 3 2 2 2 4" xfId="5258"/>
    <cellStyle name="Normal 3 2 5 3 2 2 2 4 2" xfId="8593"/>
    <cellStyle name="Normal 3 2 5 3 2 2 2 4 2 2" xfId="19309"/>
    <cellStyle name="Normal 3 2 5 3 2 2 2 4 3" xfId="11921"/>
    <cellStyle name="Normal 3 2 5 3 2 2 2 4 3 2" xfId="22637"/>
    <cellStyle name="Normal 3 2 5 3 2 2 2 4 4" xfId="15981"/>
    <cellStyle name="Normal 3 2 5 3 2 2 2 5" xfId="6928"/>
    <cellStyle name="Normal 3 2 5 3 2 2 2 5 2" xfId="17645"/>
    <cellStyle name="Normal 3 2 5 3 2 2 2 6" xfId="10257"/>
    <cellStyle name="Normal 3 2 5 3 2 2 2 6 2" xfId="20973"/>
    <cellStyle name="Normal 3 2 5 3 2 2 2 7" xfId="14316"/>
    <cellStyle name="Normal 3 2 5 3 2 2 3" xfId="3779"/>
    <cellStyle name="Normal 3 2 5 3 2 2 3 2" xfId="4630"/>
    <cellStyle name="Normal 3 2 5 3 2 2 3 2 2" xfId="6298"/>
    <cellStyle name="Normal 3 2 5 3 2 2 3 2 2 2" xfId="9633"/>
    <cellStyle name="Normal 3 2 5 3 2 2 3 2 2 2 2" xfId="20349"/>
    <cellStyle name="Normal 3 2 5 3 2 2 3 2 2 3" xfId="12961"/>
    <cellStyle name="Normal 3 2 5 3 2 2 3 2 2 3 2" xfId="23677"/>
    <cellStyle name="Normal 3 2 5 3 2 2 3 2 2 4" xfId="17021"/>
    <cellStyle name="Normal 3 2 5 3 2 2 3 2 3" xfId="7969"/>
    <cellStyle name="Normal 3 2 5 3 2 2 3 2 3 2" xfId="18685"/>
    <cellStyle name="Normal 3 2 5 3 2 2 3 2 4" xfId="11297"/>
    <cellStyle name="Normal 3 2 5 3 2 2 3 2 4 2" xfId="22013"/>
    <cellStyle name="Normal 3 2 5 3 2 2 3 2 5" xfId="15357"/>
    <cellStyle name="Normal 3 2 5 3 2 2 3 3" xfId="5466"/>
    <cellStyle name="Normal 3 2 5 3 2 2 3 3 2" xfId="8801"/>
    <cellStyle name="Normal 3 2 5 3 2 2 3 3 2 2" xfId="19517"/>
    <cellStyle name="Normal 3 2 5 3 2 2 3 3 3" xfId="12129"/>
    <cellStyle name="Normal 3 2 5 3 2 2 3 3 3 2" xfId="22845"/>
    <cellStyle name="Normal 3 2 5 3 2 2 3 3 4" xfId="16189"/>
    <cellStyle name="Normal 3 2 5 3 2 2 3 4" xfId="7137"/>
    <cellStyle name="Normal 3 2 5 3 2 2 3 4 2" xfId="17853"/>
    <cellStyle name="Normal 3 2 5 3 2 2 3 5" xfId="10465"/>
    <cellStyle name="Normal 3 2 5 3 2 2 3 5 2" xfId="21181"/>
    <cellStyle name="Normal 3 2 5 3 2 2 3 6" xfId="14525"/>
    <cellStyle name="Normal 3 2 5 3 2 2 4" xfId="4212"/>
    <cellStyle name="Normal 3 2 5 3 2 2 4 2" xfId="5882"/>
    <cellStyle name="Normal 3 2 5 3 2 2 4 2 2" xfId="9217"/>
    <cellStyle name="Normal 3 2 5 3 2 2 4 2 2 2" xfId="19933"/>
    <cellStyle name="Normal 3 2 5 3 2 2 4 2 3" xfId="12545"/>
    <cellStyle name="Normal 3 2 5 3 2 2 4 2 3 2" xfId="23261"/>
    <cellStyle name="Normal 3 2 5 3 2 2 4 2 4" xfId="16605"/>
    <cellStyle name="Normal 3 2 5 3 2 2 4 3" xfId="7553"/>
    <cellStyle name="Normal 3 2 5 3 2 2 4 3 2" xfId="18269"/>
    <cellStyle name="Normal 3 2 5 3 2 2 4 4" xfId="10881"/>
    <cellStyle name="Normal 3 2 5 3 2 2 4 4 2" xfId="21597"/>
    <cellStyle name="Normal 3 2 5 3 2 2 4 5" xfId="14941"/>
    <cellStyle name="Normal 3 2 5 3 2 2 5" xfId="5047"/>
    <cellStyle name="Normal 3 2 5 3 2 2 5 2" xfId="8385"/>
    <cellStyle name="Normal 3 2 5 3 2 2 5 2 2" xfId="19101"/>
    <cellStyle name="Normal 3 2 5 3 2 2 5 3" xfId="11713"/>
    <cellStyle name="Normal 3 2 5 3 2 2 5 3 2" xfId="22429"/>
    <cellStyle name="Normal 3 2 5 3 2 2 5 4" xfId="15773"/>
    <cellStyle name="Normal 3 2 5 3 2 2 6" xfId="6717"/>
    <cellStyle name="Normal 3 2 5 3 2 2 6 2" xfId="17437"/>
    <cellStyle name="Normal 3 2 5 3 2 2 7" xfId="10049"/>
    <cellStyle name="Normal 3 2 5 3 2 2 7 2" xfId="20765"/>
    <cellStyle name="Normal 3 2 5 3 2 2 8" xfId="14106"/>
    <cellStyle name="Normal 3 2 5 3 2 3" xfId="3023"/>
    <cellStyle name="Normal 3 2 5 3 2 3 2" xfId="3997"/>
    <cellStyle name="Normal 3 2 5 3 2 3 2 2" xfId="4837"/>
    <cellStyle name="Normal 3 2 5 3 2 3 2 2 2" xfId="6505"/>
    <cellStyle name="Normal 3 2 5 3 2 3 2 2 2 2" xfId="9840"/>
    <cellStyle name="Normal 3 2 5 3 2 3 2 2 2 2 2" xfId="20556"/>
    <cellStyle name="Normal 3 2 5 3 2 3 2 2 2 3" xfId="13168"/>
    <cellStyle name="Normal 3 2 5 3 2 3 2 2 2 3 2" xfId="23884"/>
    <cellStyle name="Normal 3 2 5 3 2 3 2 2 2 4" xfId="17228"/>
    <cellStyle name="Normal 3 2 5 3 2 3 2 2 3" xfId="8176"/>
    <cellStyle name="Normal 3 2 5 3 2 3 2 2 3 2" xfId="18892"/>
    <cellStyle name="Normal 3 2 5 3 2 3 2 2 4" xfId="11504"/>
    <cellStyle name="Normal 3 2 5 3 2 3 2 2 4 2" xfId="22220"/>
    <cellStyle name="Normal 3 2 5 3 2 3 2 2 5" xfId="15564"/>
    <cellStyle name="Normal 3 2 5 3 2 3 2 3" xfId="5673"/>
    <cellStyle name="Normal 3 2 5 3 2 3 2 3 2" xfId="9008"/>
    <cellStyle name="Normal 3 2 5 3 2 3 2 3 2 2" xfId="19724"/>
    <cellStyle name="Normal 3 2 5 3 2 3 2 3 3" xfId="12336"/>
    <cellStyle name="Normal 3 2 5 3 2 3 2 3 3 2" xfId="23052"/>
    <cellStyle name="Normal 3 2 5 3 2 3 2 3 4" xfId="16396"/>
    <cellStyle name="Normal 3 2 5 3 2 3 2 4" xfId="7344"/>
    <cellStyle name="Normal 3 2 5 3 2 3 2 4 2" xfId="18060"/>
    <cellStyle name="Normal 3 2 5 3 2 3 2 5" xfId="10672"/>
    <cellStyle name="Normal 3 2 5 3 2 3 2 5 2" xfId="21388"/>
    <cellStyle name="Normal 3 2 5 3 2 3 2 6" xfId="14732"/>
    <cellStyle name="Normal 3 2 5 3 2 3 3" xfId="4421"/>
    <cellStyle name="Normal 3 2 5 3 2 3 3 2" xfId="6089"/>
    <cellStyle name="Normal 3 2 5 3 2 3 3 2 2" xfId="9424"/>
    <cellStyle name="Normal 3 2 5 3 2 3 3 2 2 2" xfId="20140"/>
    <cellStyle name="Normal 3 2 5 3 2 3 3 2 3" xfId="12752"/>
    <cellStyle name="Normal 3 2 5 3 2 3 3 2 3 2" xfId="23468"/>
    <cellStyle name="Normal 3 2 5 3 2 3 3 2 4" xfId="16812"/>
    <cellStyle name="Normal 3 2 5 3 2 3 3 3" xfId="7760"/>
    <cellStyle name="Normal 3 2 5 3 2 3 3 3 2" xfId="18476"/>
    <cellStyle name="Normal 3 2 5 3 2 3 3 4" xfId="11088"/>
    <cellStyle name="Normal 3 2 5 3 2 3 3 4 2" xfId="21804"/>
    <cellStyle name="Normal 3 2 5 3 2 3 3 5" xfId="15148"/>
    <cellStyle name="Normal 3 2 5 3 2 3 4" xfId="5257"/>
    <cellStyle name="Normal 3 2 5 3 2 3 4 2" xfId="8592"/>
    <cellStyle name="Normal 3 2 5 3 2 3 4 2 2" xfId="19308"/>
    <cellStyle name="Normal 3 2 5 3 2 3 4 3" xfId="11920"/>
    <cellStyle name="Normal 3 2 5 3 2 3 4 3 2" xfId="22636"/>
    <cellStyle name="Normal 3 2 5 3 2 3 4 4" xfId="15980"/>
    <cellStyle name="Normal 3 2 5 3 2 3 5" xfId="6927"/>
    <cellStyle name="Normal 3 2 5 3 2 3 5 2" xfId="17644"/>
    <cellStyle name="Normal 3 2 5 3 2 3 6" xfId="10256"/>
    <cellStyle name="Normal 3 2 5 3 2 3 6 2" xfId="20972"/>
    <cellStyle name="Normal 3 2 5 3 2 3 7" xfId="14315"/>
    <cellStyle name="Normal 3 2 5 3 2 4" xfId="3778"/>
    <cellStyle name="Normal 3 2 5 3 2 4 2" xfId="4629"/>
    <cellStyle name="Normal 3 2 5 3 2 4 2 2" xfId="6297"/>
    <cellStyle name="Normal 3 2 5 3 2 4 2 2 2" xfId="9632"/>
    <cellStyle name="Normal 3 2 5 3 2 4 2 2 2 2" xfId="20348"/>
    <cellStyle name="Normal 3 2 5 3 2 4 2 2 3" xfId="12960"/>
    <cellStyle name="Normal 3 2 5 3 2 4 2 2 3 2" xfId="23676"/>
    <cellStyle name="Normal 3 2 5 3 2 4 2 2 4" xfId="17020"/>
    <cellStyle name="Normal 3 2 5 3 2 4 2 3" xfId="7968"/>
    <cellStyle name="Normal 3 2 5 3 2 4 2 3 2" xfId="18684"/>
    <cellStyle name="Normal 3 2 5 3 2 4 2 4" xfId="11296"/>
    <cellStyle name="Normal 3 2 5 3 2 4 2 4 2" xfId="22012"/>
    <cellStyle name="Normal 3 2 5 3 2 4 2 5" xfId="15356"/>
    <cellStyle name="Normal 3 2 5 3 2 4 3" xfId="5465"/>
    <cellStyle name="Normal 3 2 5 3 2 4 3 2" xfId="8800"/>
    <cellStyle name="Normal 3 2 5 3 2 4 3 2 2" xfId="19516"/>
    <cellStyle name="Normal 3 2 5 3 2 4 3 3" xfId="12128"/>
    <cellStyle name="Normal 3 2 5 3 2 4 3 3 2" xfId="22844"/>
    <cellStyle name="Normal 3 2 5 3 2 4 3 4" xfId="16188"/>
    <cellStyle name="Normal 3 2 5 3 2 4 4" xfId="7136"/>
    <cellStyle name="Normal 3 2 5 3 2 4 4 2" xfId="17852"/>
    <cellStyle name="Normal 3 2 5 3 2 4 5" xfId="10464"/>
    <cellStyle name="Normal 3 2 5 3 2 4 5 2" xfId="21180"/>
    <cellStyle name="Normal 3 2 5 3 2 4 6" xfId="14524"/>
    <cellStyle name="Normal 3 2 5 3 2 5" xfId="4211"/>
    <cellStyle name="Normal 3 2 5 3 2 5 2" xfId="5881"/>
    <cellStyle name="Normal 3 2 5 3 2 5 2 2" xfId="9216"/>
    <cellStyle name="Normal 3 2 5 3 2 5 2 2 2" xfId="19932"/>
    <cellStyle name="Normal 3 2 5 3 2 5 2 3" xfId="12544"/>
    <cellStyle name="Normal 3 2 5 3 2 5 2 3 2" xfId="23260"/>
    <cellStyle name="Normal 3 2 5 3 2 5 2 4" xfId="16604"/>
    <cellStyle name="Normal 3 2 5 3 2 5 3" xfId="7552"/>
    <cellStyle name="Normal 3 2 5 3 2 5 3 2" xfId="18268"/>
    <cellStyle name="Normal 3 2 5 3 2 5 4" xfId="10880"/>
    <cellStyle name="Normal 3 2 5 3 2 5 4 2" xfId="21596"/>
    <cellStyle name="Normal 3 2 5 3 2 5 5" xfId="14940"/>
    <cellStyle name="Normal 3 2 5 3 2 6" xfId="5046"/>
    <cellStyle name="Normal 3 2 5 3 2 6 2" xfId="8384"/>
    <cellStyle name="Normal 3 2 5 3 2 6 2 2" xfId="19100"/>
    <cellStyle name="Normal 3 2 5 3 2 6 3" xfId="11712"/>
    <cellStyle name="Normal 3 2 5 3 2 6 3 2" xfId="22428"/>
    <cellStyle name="Normal 3 2 5 3 2 6 4" xfId="15772"/>
    <cellStyle name="Normal 3 2 5 3 2 7" xfId="6716"/>
    <cellStyle name="Normal 3 2 5 3 2 7 2" xfId="17436"/>
    <cellStyle name="Normal 3 2 5 3 2 8" xfId="10048"/>
    <cellStyle name="Normal 3 2 5 3 2 8 2" xfId="20764"/>
    <cellStyle name="Normal 3 2 5 3 2 9" xfId="14105"/>
    <cellStyle name="Normal 3 2 5 3 3" xfId="1336"/>
    <cellStyle name="Normal 3 2 5 3 3 2" xfId="3025"/>
    <cellStyle name="Normal 3 2 5 3 3 2 2" xfId="3999"/>
    <cellStyle name="Normal 3 2 5 3 3 2 2 2" xfId="4839"/>
    <cellStyle name="Normal 3 2 5 3 3 2 2 2 2" xfId="6507"/>
    <cellStyle name="Normal 3 2 5 3 3 2 2 2 2 2" xfId="9842"/>
    <cellStyle name="Normal 3 2 5 3 3 2 2 2 2 2 2" xfId="20558"/>
    <cellStyle name="Normal 3 2 5 3 3 2 2 2 2 3" xfId="13170"/>
    <cellStyle name="Normal 3 2 5 3 3 2 2 2 2 3 2" xfId="23886"/>
    <cellStyle name="Normal 3 2 5 3 3 2 2 2 2 4" xfId="17230"/>
    <cellStyle name="Normal 3 2 5 3 3 2 2 2 3" xfId="8178"/>
    <cellStyle name="Normal 3 2 5 3 3 2 2 2 3 2" xfId="18894"/>
    <cellStyle name="Normal 3 2 5 3 3 2 2 2 4" xfId="11506"/>
    <cellStyle name="Normal 3 2 5 3 3 2 2 2 4 2" xfId="22222"/>
    <cellStyle name="Normal 3 2 5 3 3 2 2 2 5" xfId="15566"/>
    <cellStyle name="Normal 3 2 5 3 3 2 2 3" xfId="5675"/>
    <cellStyle name="Normal 3 2 5 3 3 2 2 3 2" xfId="9010"/>
    <cellStyle name="Normal 3 2 5 3 3 2 2 3 2 2" xfId="19726"/>
    <cellStyle name="Normal 3 2 5 3 3 2 2 3 3" xfId="12338"/>
    <cellStyle name="Normal 3 2 5 3 3 2 2 3 3 2" xfId="23054"/>
    <cellStyle name="Normal 3 2 5 3 3 2 2 3 4" xfId="16398"/>
    <cellStyle name="Normal 3 2 5 3 3 2 2 4" xfId="7346"/>
    <cellStyle name="Normal 3 2 5 3 3 2 2 4 2" xfId="18062"/>
    <cellStyle name="Normal 3 2 5 3 3 2 2 5" xfId="10674"/>
    <cellStyle name="Normal 3 2 5 3 3 2 2 5 2" xfId="21390"/>
    <cellStyle name="Normal 3 2 5 3 3 2 2 6" xfId="14734"/>
    <cellStyle name="Normal 3 2 5 3 3 2 3" xfId="4423"/>
    <cellStyle name="Normal 3 2 5 3 3 2 3 2" xfId="6091"/>
    <cellStyle name="Normal 3 2 5 3 3 2 3 2 2" xfId="9426"/>
    <cellStyle name="Normal 3 2 5 3 3 2 3 2 2 2" xfId="20142"/>
    <cellStyle name="Normal 3 2 5 3 3 2 3 2 3" xfId="12754"/>
    <cellStyle name="Normal 3 2 5 3 3 2 3 2 3 2" xfId="23470"/>
    <cellStyle name="Normal 3 2 5 3 3 2 3 2 4" xfId="16814"/>
    <cellStyle name="Normal 3 2 5 3 3 2 3 3" xfId="7762"/>
    <cellStyle name="Normal 3 2 5 3 3 2 3 3 2" xfId="18478"/>
    <cellStyle name="Normal 3 2 5 3 3 2 3 4" xfId="11090"/>
    <cellStyle name="Normal 3 2 5 3 3 2 3 4 2" xfId="21806"/>
    <cellStyle name="Normal 3 2 5 3 3 2 3 5" xfId="15150"/>
    <cellStyle name="Normal 3 2 5 3 3 2 4" xfId="5259"/>
    <cellStyle name="Normal 3 2 5 3 3 2 4 2" xfId="8594"/>
    <cellStyle name="Normal 3 2 5 3 3 2 4 2 2" xfId="19310"/>
    <cellStyle name="Normal 3 2 5 3 3 2 4 3" xfId="11922"/>
    <cellStyle name="Normal 3 2 5 3 3 2 4 3 2" xfId="22638"/>
    <cellStyle name="Normal 3 2 5 3 3 2 4 4" xfId="15982"/>
    <cellStyle name="Normal 3 2 5 3 3 2 5" xfId="6929"/>
    <cellStyle name="Normal 3 2 5 3 3 2 5 2" xfId="17646"/>
    <cellStyle name="Normal 3 2 5 3 3 2 6" xfId="10258"/>
    <cellStyle name="Normal 3 2 5 3 3 2 6 2" xfId="20974"/>
    <cellStyle name="Normal 3 2 5 3 3 2 7" xfId="14317"/>
    <cellStyle name="Normal 3 2 5 3 3 3" xfId="3780"/>
    <cellStyle name="Normal 3 2 5 3 3 3 2" xfId="4631"/>
    <cellStyle name="Normal 3 2 5 3 3 3 2 2" xfId="6299"/>
    <cellStyle name="Normal 3 2 5 3 3 3 2 2 2" xfId="9634"/>
    <cellStyle name="Normal 3 2 5 3 3 3 2 2 2 2" xfId="20350"/>
    <cellStyle name="Normal 3 2 5 3 3 3 2 2 3" xfId="12962"/>
    <cellStyle name="Normal 3 2 5 3 3 3 2 2 3 2" xfId="23678"/>
    <cellStyle name="Normal 3 2 5 3 3 3 2 2 4" xfId="17022"/>
    <cellStyle name="Normal 3 2 5 3 3 3 2 3" xfId="7970"/>
    <cellStyle name="Normal 3 2 5 3 3 3 2 3 2" xfId="18686"/>
    <cellStyle name="Normal 3 2 5 3 3 3 2 4" xfId="11298"/>
    <cellStyle name="Normal 3 2 5 3 3 3 2 4 2" xfId="22014"/>
    <cellStyle name="Normal 3 2 5 3 3 3 2 5" xfId="15358"/>
    <cellStyle name="Normal 3 2 5 3 3 3 3" xfId="5467"/>
    <cellStyle name="Normal 3 2 5 3 3 3 3 2" xfId="8802"/>
    <cellStyle name="Normal 3 2 5 3 3 3 3 2 2" xfId="19518"/>
    <cellStyle name="Normal 3 2 5 3 3 3 3 3" xfId="12130"/>
    <cellStyle name="Normal 3 2 5 3 3 3 3 3 2" xfId="22846"/>
    <cellStyle name="Normal 3 2 5 3 3 3 3 4" xfId="16190"/>
    <cellStyle name="Normal 3 2 5 3 3 3 4" xfId="7138"/>
    <cellStyle name="Normal 3 2 5 3 3 3 4 2" xfId="17854"/>
    <cellStyle name="Normal 3 2 5 3 3 3 5" xfId="10466"/>
    <cellStyle name="Normal 3 2 5 3 3 3 5 2" xfId="21182"/>
    <cellStyle name="Normal 3 2 5 3 3 3 6" xfId="14526"/>
    <cellStyle name="Normal 3 2 5 3 3 4" xfId="4213"/>
    <cellStyle name="Normal 3 2 5 3 3 4 2" xfId="5883"/>
    <cellStyle name="Normal 3 2 5 3 3 4 2 2" xfId="9218"/>
    <cellStyle name="Normal 3 2 5 3 3 4 2 2 2" xfId="19934"/>
    <cellStyle name="Normal 3 2 5 3 3 4 2 3" xfId="12546"/>
    <cellStyle name="Normal 3 2 5 3 3 4 2 3 2" xfId="23262"/>
    <cellStyle name="Normal 3 2 5 3 3 4 2 4" xfId="16606"/>
    <cellStyle name="Normal 3 2 5 3 3 4 3" xfId="7554"/>
    <cellStyle name="Normal 3 2 5 3 3 4 3 2" xfId="18270"/>
    <cellStyle name="Normal 3 2 5 3 3 4 4" xfId="10882"/>
    <cellStyle name="Normal 3 2 5 3 3 4 4 2" xfId="21598"/>
    <cellStyle name="Normal 3 2 5 3 3 4 5" xfId="14942"/>
    <cellStyle name="Normal 3 2 5 3 3 5" xfId="5048"/>
    <cellStyle name="Normal 3 2 5 3 3 5 2" xfId="8386"/>
    <cellStyle name="Normal 3 2 5 3 3 5 2 2" xfId="19102"/>
    <cellStyle name="Normal 3 2 5 3 3 5 3" xfId="11714"/>
    <cellStyle name="Normal 3 2 5 3 3 5 3 2" xfId="22430"/>
    <cellStyle name="Normal 3 2 5 3 3 5 4" xfId="15774"/>
    <cellStyle name="Normal 3 2 5 3 3 6" xfId="6718"/>
    <cellStyle name="Normal 3 2 5 3 3 6 2" xfId="17438"/>
    <cellStyle name="Normal 3 2 5 3 3 7" xfId="10050"/>
    <cellStyle name="Normal 3 2 5 3 3 7 2" xfId="20766"/>
    <cellStyle name="Normal 3 2 5 3 3 8" xfId="14107"/>
    <cellStyle name="Normal 3 2 5 3 4" xfId="3022"/>
    <cellStyle name="Normal 3 2 5 3 4 2" xfId="3996"/>
    <cellStyle name="Normal 3 2 5 3 4 2 2" xfId="4836"/>
    <cellStyle name="Normal 3 2 5 3 4 2 2 2" xfId="6504"/>
    <cellStyle name="Normal 3 2 5 3 4 2 2 2 2" xfId="9839"/>
    <cellStyle name="Normal 3 2 5 3 4 2 2 2 2 2" xfId="20555"/>
    <cellStyle name="Normal 3 2 5 3 4 2 2 2 3" xfId="13167"/>
    <cellStyle name="Normal 3 2 5 3 4 2 2 2 3 2" xfId="23883"/>
    <cellStyle name="Normal 3 2 5 3 4 2 2 2 4" xfId="17227"/>
    <cellStyle name="Normal 3 2 5 3 4 2 2 3" xfId="8175"/>
    <cellStyle name="Normal 3 2 5 3 4 2 2 3 2" xfId="18891"/>
    <cellStyle name="Normal 3 2 5 3 4 2 2 4" xfId="11503"/>
    <cellStyle name="Normal 3 2 5 3 4 2 2 4 2" xfId="22219"/>
    <cellStyle name="Normal 3 2 5 3 4 2 2 5" xfId="15563"/>
    <cellStyle name="Normal 3 2 5 3 4 2 3" xfId="5672"/>
    <cellStyle name="Normal 3 2 5 3 4 2 3 2" xfId="9007"/>
    <cellStyle name="Normal 3 2 5 3 4 2 3 2 2" xfId="19723"/>
    <cellStyle name="Normal 3 2 5 3 4 2 3 3" xfId="12335"/>
    <cellStyle name="Normal 3 2 5 3 4 2 3 3 2" xfId="23051"/>
    <cellStyle name="Normal 3 2 5 3 4 2 3 4" xfId="16395"/>
    <cellStyle name="Normal 3 2 5 3 4 2 4" xfId="7343"/>
    <cellStyle name="Normal 3 2 5 3 4 2 4 2" xfId="18059"/>
    <cellStyle name="Normal 3 2 5 3 4 2 5" xfId="10671"/>
    <cellStyle name="Normal 3 2 5 3 4 2 5 2" xfId="21387"/>
    <cellStyle name="Normal 3 2 5 3 4 2 6" xfId="14731"/>
    <cellStyle name="Normal 3 2 5 3 4 3" xfId="4420"/>
    <cellStyle name="Normal 3 2 5 3 4 3 2" xfId="6088"/>
    <cellStyle name="Normal 3 2 5 3 4 3 2 2" xfId="9423"/>
    <cellStyle name="Normal 3 2 5 3 4 3 2 2 2" xfId="20139"/>
    <cellStyle name="Normal 3 2 5 3 4 3 2 3" xfId="12751"/>
    <cellStyle name="Normal 3 2 5 3 4 3 2 3 2" xfId="23467"/>
    <cellStyle name="Normal 3 2 5 3 4 3 2 4" xfId="16811"/>
    <cellStyle name="Normal 3 2 5 3 4 3 3" xfId="7759"/>
    <cellStyle name="Normal 3 2 5 3 4 3 3 2" xfId="18475"/>
    <cellStyle name="Normal 3 2 5 3 4 3 4" xfId="11087"/>
    <cellStyle name="Normal 3 2 5 3 4 3 4 2" xfId="21803"/>
    <cellStyle name="Normal 3 2 5 3 4 3 5" xfId="15147"/>
    <cellStyle name="Normal 3 2 5 3 4 4" xfId="5256"/>
    <cellStyle name="Normal 3 2 5 3 4 4 2" xfId="8591"/>
    <cellStyle name="Normal 3 2 5 3 4 4 2 2" xfId="19307"/>
    <cellStyle name="Normal 3 2 5 3 4 4 3" xfId="11919"/>
    <cellStyle name="Normal 3 2 5 3 4 4 3 2" xfId="22635"/>
    <cellStyle name="Normal 3 2 5 3 4 4 4" xfId="15979"/>
    <cellStyle name="Normal 3 2 5 3 4 5" xfId="6926"/>
    <cellStyle name="Normal 3 2 5 3 4 5 2" xfId="17643"/>
    <cellStyle name="Normal 3 2 5 3 4 6" xfId="10255"/>
    <cellStyle name="Normal 3 2 5 3 4 6 2" xfId="20971"/>
    <cellStyle name="Normal 3 2 5 3 4 7" xfId="14314"/>
    <cellStyle name="Normal 3 2 5 3 5" xfId="3777"/>
    <cellStyle name="Normal 3 2 5 3 5 2" xfId="4628"/>
    <cellStyle name="Normal 3 2 5 3 5 2 2" xfId="6296"/>
    <cellStyle name="Normal 3 2 5 3 5 2 2 2" xfId="9631"/>
    <cellStyle name="Normal 3 2 5 3 5 2 2 2 2" xfId="20347"/>
    <cellStyle name="Normal 3 2 5 3 5 2 2 3" xfId="12959"/>
    <cellStyle name="Normal 3 2 5 3 5 2 2 3 2" xfId="23675"/>
    <cellStyle name="Normal 3 2 5 3 5 2 2 4" xfId="17019"/>
    <cellStyle name="Normal 3 2 5 3 5 2 3" xfId="7967"/>
    <cellStyle name="Normal 3 2 5 3 5 2 3 2" xfId="18683"/>
    <cellStyle name="Normal 3 2 5 3 5 2 4" xfId="11295"/>
    <cellStyle name="Normal 3 2 5 3 5 2 4 2" xfId="22011"/>
    <cellStyle name="Normal 3 2 5 3 5 2 5" xfId="15355"/>
    <cellStyle name="Normal 3 2 5 3 5 3" xfId="5464"/>
    <cellStyle name="Normal 3 2 5 3 5 3 2" xfId="8799"/>
    <cellStyle name="Normal 3 2 5 3 5 3 2 2" xfId="19515"/>
    <cellStyle name="Normal 3 2 5 3 5 3 3" xfId="12127"/>
    <cellStyle name="Normal 3 2 5 3 5 3 3 2" xfId="22843"/>
    <cellStyle name="Normal 3 2 5 3 5 3 4" xfId="16187"/>
    <cellStyle name="Normal 3 2 5 3 5 4" xfId="7135"/>
    <cellStyle name="Normal 3 2 5 3 5 4 2" xfId="17851"/>
    <cellStyle name="Normal 3 2 5 3 5 5" xfId="10463"/>
    <cellStyle name="Normal 3 2 5 3 5 5 2" xfId="21179"/>
    <cellStyle name="Normal 3 2 5 3 5 6" xfId="14523"/>
    <cellStyle name="Normal 3 2 5 3 6" xfId="4210"/>
    <cellStyle name="Normal 3 2 5 3 6 2" xfId="5880"/>
    <cellStyle name="Normal 3 2 5 3 6 2 2" xfId="9215"/>
    <cellStyle name="Normal 3 2 5 3 6 2 2 2" xfId="19931"/>
    <cellStyle name="Normal 3 2 5 3 6 2 3" xfId="12543"/>
    <cellStyle name="Normal 3 2 5 3 6 2 3 2" xfId="23259"/>
    <cellStyle name="Normal 3 2 5 3 6 2 4" xfId="16603"/>
    <cellStyle name="Normal 3 2 5 3 6 3" xfId="7551"/>
    <cellStyle name="Normal 3 2 5 3 6 3 2" xfId="18267"/>
    <cellStyle name="Normal 3 2 5 3 6 4" xfId="10879"/>
    <cellStyle name="Normal 3 2 5 3 6 4 2" xfId="21595"/>
    <cellStyle name="Normal 3 2 5 3 6 5" xfId="14939"/>
    <cellStyle name="Normal 3 2 5 3 7" xfId="5045"/>
    <cellStyle name="Normal 3 2 5 3 7 2" xfId="8383"/>
    <cellStyle name="Normal 3 2 5 3 7 2 2" xfId="19099"/>
    <cellStyle name="Normal 3 2 5 3 7 3" xfId="11711"/>
    <cellStyle name="Normal 3 2 5 3 7 3 2" xfId="22427"/>
    <cellStyle name="Normal 3 2 5 3 7 4" xfId="15771"/>
    <cellStyle name="Normal 3 2 5 3 8" xfId="6715"/>
    <cellStyle name="Normal 3 2 5 3 8 2" xfId="17435"/>
    <cellStyle name="Normal 3 2 5 3 9" xfId="10047"/>
    <cellStyle name="Normal 3 2 5 3 9 2" xfId="20763"/>
    <cellStyle name="Normal 3 2 5 4" xfId="1337"/>
    <cellStyle name="Normal 3 2 5 4 2" xfId="1338"/>
    <cellStyle name="Normal 3 2 5 4 2 2" xfId="3027"/>
    <cellStyle name="Normal 3 2 5 4 2 2 2" xfId="4001"/>
    <cellStyle name="Normal 3 2 5 4 2 2 2 2" xfId="4841"/>
    <cellStyle name="Normal 3 2 5 4 2 2 2 2 2" xfId="6509"/>
    <cellStyle name="Normal 3 2 5 4 2 2 2 2 2 2" xfId="9844"/>
    <cellStyle name="Normal 3 2 5 4 2 2 2 2 2 2 2" xfId="20560"/>
    <cellStyle name="Normal 3 2 5 4 2 2 2 2 2 3" xfId="13172"/>
    <cellStyle name="Normal 3 2 5 4 2 2 2 2 2 3 2" xfId="23888"/>
    <cellStyle name="Normal 3 2 5 4 2 2 2 2 2 4" xfId="17232"/>
    <cellStyle name="Normal 3 2 5 4 2 2 2 2 3" xfId="8180"/>
    <cellStyle name="Normal 3 2 5 4 2 2 2 2 3 2" xfId="18896"/>
    <cellStyle name="Normal 3 2 5 4 2 2 2 2 4" xfId="11508"/>
    <cellStyle name="Normal 3 2 5 4 2 2 2 2 4 2" xfId="22224"/>
    <cellStyle name="Normal 3 2 5 4 2 2 2 2 5" xfId="15568"/>
    <cellStyle name="Normal 3 2 5 4 2 2 2 3" xfId="5677"/>
    <cellStyle name="Normal 3 2 5 4 2 2 2 3 2" xfId="9012"/>
    <cellStyle name="Normal 3 2 5 4 2 2 2 3 2 2" xfId="19728"/>
    <cellStyle name="Normal 3 2 5 4 2 2 2 3 3" xfId="12340"/>
    <cellStyle name="Normal 3 2 5 4 2 2 2 3 3 2" xfId="23056"/>
    <cellStyle name="Normal 3 2 5 4 2 2 2 3 4" xfId="16400"/>
    <cellStyle name="Normal 3 2 5 4 2 2 2 4" xfId="7348"/>
    <cellStyle name="Normal 3 2 5 4 2 2 2 4 2" xfId="18064"/>
    <cellStyle name="Normal 3 2 5 4 2 2 2 5" xfId="10676"/>
    <cellStyle name="Normal 3 2 5 4 2 2 2 5 2" xfId="21392"/>
    <cellStyle name="Normal 3 2 5 4 2 2 2 6" xfId="14736"/>
    <cellStyle name="Normal 3 2 5 4 2 2 3" xfId="4425"/>
    <cellStyle name="Normal 3 2 5 4 2 2 3 2" xfId="6093"/>
    <cellStyle name="Normal 3 2 5 4 2 2 3 2 2" xfId="9428"/>
    <cellStyle name="Normal 3 2 5 4 2 2 3 2 2 2" xfId="20144"/>
    <cellStyle name="Normal 3 2 5 4 2 2 3 2 3" xfId="12756"/>
    <cellStyle name="Normal 3 2 5 4 2 2 3 2 3 2" xfId="23472"/>
    <cellStyle name="Normal 3 2 5 4 2 2 3 2 4" xfId="16816"/>
    <cellStyle name="Normal 3 2 5 4 2 2 3 3" xfId="7764"/>
    <cellStyle name="Normal 3 2 5 4 2 2 3 3 2" xfId="18480"/>
    <cellStyle name="Normal 3 2 5 4 2 2 3 4" xfId="11092"/>
    <cellStyle name="Normal 3 2 5 4 2 2 3 4 2" xfId="21808"/>
    <cellStyle name="Normal 3 2 5 4 2 2 3 5" xfId="15152"/>
    <cellStyle name="Normal 3 2 5 4 2 2 4" xfId="5261"/>
    <cellStyle name="Normal 3 2 5 4 2 2 4 2" xfId="8596"/>
    <cellStyle name="Normal 3 2 5 4 2 2 4 2 2" xfId="19312"/>
    <cellStyle name="Normal 3 2 5 4 2 2 4 3" xfId="11924"/>
    <cellStyle name="Normal 3 2 5 4 2 2 4 3 2" xfId="22640"/>
    <cellStyle name="Normal 3 2 5 4 2 2 4 4" xfId="15984"/>
    <cellStyle name="Normal 3 2 5 4 2 2 5" xfId="6931"/>
    <cellStyle name="Normal 3 2 5 4 2 2 5 2" xfId="17648"/>
    <cellStyle name="Normal 3 2 5 4 2 2 6" xfId="10260"/>
    <cellStyle name="Normal 3 2 5 4 2 2 6 2" xfId="20976"/>
    <cellStyle name="Normal 3 2 5 4 2 2 7" xfId="14319"/>
    <cellStyle name="Normal 3 2 5 4 2 3" xfId="3782"/>
    <cellStyle name="Normal 3 2 5 4 2 3 2" xfId="4633"/>
    <cellStyle name="Normal 3 2 5 4 2 3 2 2" xfId="6301"/>
    <cellStyle name="Normal 3 2 5 4 2 3 2 2 2" xfId="9636"/>
    <cellStyle name="Normal 3 2 5 4 2 3 2 2 2 2" xfId="20352"/>
    <cellStyle name="Normal 3 2 5 4 2 3 2 2 3" xfId="12964"/>
    <cellStyle name="Normal 3 2 5 4 2 3 2 2 3 2" xfId="23680"/>
    <cellStyle name="Normal 3 2 5 4 2 3 2 2 4" xfId="17024"/>
    <cellStyle name="Normal 3 2 5 4 2 3 2 3" xfId="7972"/>
    <cellStyle name="Normal 3 2 5 4 2 3 2 3 2" xfId="18688"/>
    <cellStyle name="Normal 3 2 5 4 2 3 2 4" xfId="11300"/>
    <cellStyle name="Normal 3 2 5 4 2 3 2 4 2" xfId="22016"/>
    <cellStyle name="Normal 3 2 5 4 2 3 2 5" xfId="15360"/>
    <cellStyle name="Normal 3 2 5 4 2 3 3" xfId="5469"/>
    <cellStyle name="Normal 3 2 5 4 2 3 3 2" xfId="8804"/>
    <cellStyle name="Normal 3 2 5 4 2 3 3 2 2" xfId="19520"/>
    <cellStyle name="Normal 3 2 5 4 2 3 3 3" xfId="12132"/>
    <cellStyle name="Normal 3 2 5 4 2 3 3 3 2" xfId="22848"/>
    <cellStyle name="Normal 3 2 5 4 2 3 3 4" xfId="16192"/>
    <cellStyle name="Normal 3 2 5 4 2 3 4" xfId="7140"/>
    <cellStyle name="Normal 3 2 5 4 2 3 4 2" xfId="17856"/>
    <cellStyle name="Normal 3 2 5 4 2 3 5" xfId="10468"/>
    <cellStyle name="Normal 3 2 5 4 2 3 5 2" xfId="21184"/>
    <cellStyle name="Normal 3 2 5 4 2 3 6" xfId="14528"/>
    <cellStyle name="Normal 3 2 5 4 2 4" xfId="4215"/>
    <cellStyle name="Normal 3 2 5 4 2 4 2" xfId="5885"/>
    <cellStyle name="Normal 3 2 5 4 2 4 2 2" xfId="9220"/>
    <cellStyle name="Normal 3 2 5 4 2 4 2 2 2" xfId="19936"/>
    <cellStyle name="Normal 3 2 5 4 2 4 2 3" xfId="12548"/>
    <cellStyle name="Normal 3 2 5 4 2 4 2 3 2" xfId="23264"/>
    <cellStyle name="Normal 3 2 5 4 2 4 2 4" xfId="16608"/>
    <cellStyle name="Normal 3 2 5 4 2 4 3" xfId="7556"/>
    <cellStyle name="Normal 3 2 5 4 2 4 3 2" xfId="18272"/>
    <cellStyle name="Normal 3 2 5 4 2 4 4" xfId="10884"/>
    <cellStyle name="Normal 3 2 5 4 2 4 4 2" xfId="21600"/>
    <cellStyle name="Normal 3 2 5 4 2 4 5" xfId="14944"/>
    <cellStyle name="Normal 3 2 5 4 2 5" xfId="5050"/>
    <cellStyle name="Normal 3 2 5 4 2 5 2" xfId="8388"/>
    <cellStyle name="Normal 3 2 5 4 2 5 2 2" xfId="19104"/>
    <cellStyle name="Normal 3 2 5 4 2 5 3" xfId="11716"/>
    <cellStyle name="Normal 3 2 5 4 2 5 3 2" xfId="22432"/>
    <cellStyle name="Normal 3 2 5 4 2 5 4" xfId="15776"/>
    <cellStyle name="Normal 3 2 5 4 2 6" xfId="6720"/>
    <cellStyle name="Normal 3 2 5 4 2 6 2" xfId="17440"/>
    <cellStyle name="Normal 3 2 5 4 2 7" xfId="10052"/>
    <cellStyle name="Normal 3 2 5 4 2 7 2" xfId="20768"/>
    <cellStyle name="Normal 3 2 5 4 2 8" xfId="14109"/>
    <cellStyle name="Normal 3 2 5 4 3" xfId="3026"/>
    <cellStyle name="Normal 3 2 5 4 3 2" xfId="4000"/>
    <cellStyle name="Normal 3 2 5 4 3 2 2" xfId="4840"/>
    <cellStyle name="Normal 3 2 5 4 3 2 2 2" xfId="6508"/>
    <cellStyle name="Normal 3 2 5 4 3 2 2 2 2" xfId="9843"/>
    <cellStyle name="Normal 3 2 5 4 3 2 2 2 2 2" xfId="20559"/>
    <cellStyle name="Normal 3 2 5 4 3 2 2 2 3" xfId="13171"/>
    <cellStyle name="Normal 3 2 5 4 3 2 2 2 3 2" xfId="23887"/>
    <cellStyle name="Normal 3 2 5 4 3 2 2 2 4" xfId="17231"/>
    <cellStyle name="Normal 3 2 5 4 3 2 2 3" xfId="8179"/>
    <cellStyle name="Normal 3 2 5 4 3 2 2 3 2" xfId="18895"/>
    <cellStyle name="Normal 3 2 5 4 3 2 2 4" xfId="11507"/>
    <cellStyle name="Normal 3 2 5 4 3 2 2 4 2" xfId="22223"/>
    <cellStyle name="Normal 3 2 5 4 3 2 2 5" xfId="15567"/>
    <cellStyle name="Normal 3 2 5 4 3 2 3" xfId="5676"/>
    <cellStyle name="Normal 3 2 5 4 3 2 3 2" xfId="9011"/>
    <cellStyle name="Normal 3 2 5 4 3 2 3 2 2" xfId="19727"/>
    <cellStyle name="Normal 3 2 5 4 3 2 3 3" xfId="12339"/>
    <cellStyle name="Normal 3 2 5 4 3 2 3 3 2" xfId="23055"/>
    <cellStyle name="Normal 3 2 5 4 3 2 3 4" xfId="16399"/>
    <cellStyle name="Normal 3 2 5 4 3 2 4" xfId="7347"/>
    <cellStyle name="Normal 3 2 5 4 3 2 4 2" xfId="18063"/>
    <cellStyle name="Normal 3 2 5 4 3 2 5" xfId="10675"/>
    <cellStyle name="Normal 3 2 5 4 3 2 5 2" xfId="21391"/>
    <cellStyle name="Normal 3 2 5 4 3 2 6" xfId="14735"/>
    <cellStyle name="Normal 3 2 5 4 3 3" xfId="4424"/>
    <cellStyle name="Normal 3 2 5 4 3 3 2" xfId="6092"/>
    <cellStyle name="Normal 3 2 5 4 3 3 2 2" xfId="9427"/>
    <cellStyle name="Normal 3 2 5 4 3 3 2 2 2" xfId="20143"/>
    <cellStyle name="Normal 3 2 5 4 3 3 2 3" xfId="12755"/>
    <cellStyle name="Normal 3 2 5 4 3 3 2 3 2" xfId="23471"/>
    <cellStyle name="Normal 3 2 5 4 3 3 2 4" xfId="16815"/>
    <cellStyle name="Normal 3 2 5 4 3 3 3" xfId="7763"/>
    <cellStyle name="Normal 3 2 5 4 3 3 3 2" xfId="18479"/>
    <cellStyle name="Normal 3 2 5 4 3 3 4" xfId="11091"/>
    <cellStyle name="Normal 3 2 5 4 3 3 4 2" xfId="21807"/>
    <cellStyle name="Normal 3 2 5 4 3 3 5" xfId="15151"/>
    <cellStyle name="Normal 3 2 5 4 3 4" xfId="5260"/>
    <cellStyle name="Normal 3 2 5 4 3 4 2" xfId="8595"/>
    <cellStyle name="Normal 3 2 5 4 3 4 2 2" xfId="19311"/>
    <cellStyle name="Normal 3 2 5 4 3 4 3" xfId="11923"/>
    <cellStyle name="Normal 3 2 5 4 3 4 3 2" xfId="22639"/>
    <cellStyle name="Normal 3 2 5 4 3 4 4" xfId="15983"/>
    <cellStyle name="Normal 3 2 5 4 3 5" xfId="6930"/>
    <cellStyle name="Normal 3 2 5 4 3 5 2" xfId="17647"/>
    <cellStyle name="Normal 3 2 5 4 3 6" xfId="10259"/>
    <cellStyle name="Normal 3 2 5 4 3 6 2" xfId="20975"/>
    <cellStyle name="Normal 3 2 5 4 3 7" xfId="14318"/>
    <cellStyle name="Normal 3 2 5 4 4" xfId="3781"/>
    <cellStyle name="Normal 3 2 5 4 4 2" xfId="4632"/>
    <cellStyle name="Normal 3 2 5 4 4 2 2" xfId="6300"/>
    <cellStyle name="Normal 3 2 5 4 4 2 2 2" xfId="9635"/>
    <cellStyle name="Normal 3 2 5 4 4 2 2 2 2" xfId="20351"/>
    <cellStyle name="Normal 3 2 5 4 4 2 2 3" xfId="12963"/>
    <cellStyle name="Normal 3 2 5 4 4 2 2 3 2" xfId="23679"/>
    <cellStyle name="Normal 3 2 5 4 4 2 2 4" xfId="17023"/>
    <cellStyle name="Normal 3 2 5 4 4 2 3" xfId="7971"/>
    <cellStyle name="Normal 3 2 5 4 4 2 3 2" xfId="18687"/>
    <cellStyle name="Normal 3 2 5 4 4 2 4" xfId="11299"/>
    <cellStyle name="Normal 3 2 5 4 4 2 4 2" xfId="22015"/>
    <cellStyle name="Normal 3 2 5 4 4 2 5" xfId="15359"/>
    <cellStyle name="Normal 3 2 5 4 4 3" xfId="5468"/>
    <cellStyle name="Normal 3 2 5 4 4 3 2" xfId="8803"/>
    <cellStyle name="Normal 3 2 5 4 4 3 2 2" xfId="19519"/>
    <cellStyle name="Normal 3 2 5 4 4 3 3" xfId="12131"/>
    <cellStyle name="Normal 3 2 5 4 4 3 3 2" xfId="22847"/>
    <cellStyle name="Normal 3 2 5 4 4 3 4" xfId="16191"/>
    <cellStyle name="Normal 3 2 5 4 4 4" xfId="7139"/>
    <cellStyle name="Normal 3 2 5 4 4 4 2" xfId="17855"/>
    <cellStyle name="Normal 3 2 5 4 4 5" xfId="10467"/>
    <cellStyle name="Normal 3 2 5 4 4 5 2" xfId="21183"/>
    <cellStyle name="Normal 3 2 5 4 4 6" xfId="14527"/>
    <cellStyle name="Normal 3 2 5 4 5" xfId="4214"/>
    <cellStyle name="Normal 3 2 5 4 5 2" xfId="5884"/>
    <cellStyle name="Normal 3 2 5 4 5 2 2" xfId="9219"/>
    <cellStyle name="Normal 3 2 5 4 5 2 2 2" xfId="19935"/>
    <cellStyle name="Normal 3 2 5 4 5 2 3" xfId="12547"/>
    <cellStyle name="Normal 3 2 5 4 5 2 3 2" xfId="23263"/>
    <cellStyle name="Normal 3 2 5 4 5 2 4" xfId="16607"/>
    <cellStyle name="Normal 3 2 5 4 5 3" xfId="7555"/>
    <cellStyle name="Normal 3 2 5 4 5 3 2" xfId="18271"/>
    <cellStyle name="Normal 3 2 5 4 5 4" xfId="10883"/>
    <cellStyle name="Normal 3 2 5 4 5 4 2" xfId="21599"/>
    <cellStyle name="Normal 3 2 5 4 5 5" xfId="14943"/>
    <cellStyle name="Normal 3 2 5 4 6" xfId="5049"/>
    <cellStyle name="Normal 3 2 5 4 6 2" xfId="8387"/>
    <cellStyle name="Normal 3 2 5 4 6 2 2" xfId="19103"/>
    <cellStyle name="Normal 3 2 5 4 6 3" xfId="11715"/>
    <cellStyle name="Normal 3 2 5 4 6 3 2" xfId="22431"/>
    <cellStyle name="Normal 3 2 5 4 6 4" xfId="15775"/>
    <cellStyle name="Normal 3 2 5 4 7" xfId="6719"/>
    <cellStyle name="Normal 3 2 5 4 7 2" xfId="17439"/>
    <cellStyle name="Normal 3 2 5 4 8" xfId="10051"/>
    <cellStyle name="Normal 3 2 5 4 8 2" xfId="20767"/>
    <cellStyle name="Normal 3 2 5 4 9" xfId="14108"/>
    <cellStyle name="Normal 3 2 5 5" xfId="1339"/>
    <cellStyle name="Normal 3 2 5 5 2" xfId="3028"/>
    <cellStyle name="Normal 3 2 5 5 2 2" xfId="4002"/>
    <cellStyle name="Normal 3 2 5 5 2 2 2" xfId="4842"/>
    <cellStyle name="Normal 3 2 5 5 2 2 2 2" xfId="6510"/>
    <cellStyle name="Normal 3 2 5 5 2 2 2 2 2" xfId="9845"/>
    <cellStyle name="Normal 3 2 5 5 2 2 2 2 2 2" xfId="20561"/>
    <cellStyle name="Normal 3 2 5 5 2 2 2 2 3" xfId="13173"/>
    <cellStyle name="Normal 3 2 5 5 2 2 2 2 3 2" xfId="23889"/>
    <cellStyle name="Normal 3 2 5 5 2 2 2 2 4" xfId="17233"/>
    <cellStyle name="Normal 3 2 5 5 2 2 2 3" xfId="8181"/>
    <cellStyle name="Normal 3 2 5 5 2 2 2 3 2" xfId="18897"/>
    <cellStyle name="Normal 3 2 5 5 2 2 2 4" xfId="11509"/>
    <cellStyle name="Normal 3 2 5 5 2 2 2 4 2" xfId="22225"/>
    <cellStyle name="Normal 3 2 5 5 2 2 2 5" xfId="15569"/>
    <cellStyle name="Normal 3 2 5 5 2 2 3" xfId="5678"/>
    <cellStyle name="Normal 3 2 5 5 2 2 3 2" xfId="9013"/>
    <cellStyle name="Normal 3 2 5 5 2 2 3 2 2" xfId="19729"/>
    <cellStyle name="Normal 3 2 5 5 2 2 3 3" xfId="12341"/>
    <cellStyle name="Normal 3 2 5 5 2 2 3 3 2" xfId="23057"/>
    <cellStyle name="Normal 3 2 5 5 2 2 3 4" xfId="16401"/>
    <cellStyle name="Normal 3 2 5 5 2 2 4" xfId="7349"/>
    <cellStyle name="Normal 3 2 5 5 2 2 4 2" xfId="18065"/>
    <cellStyle name="Normal 3 2 5 5 2 2 5" xfId="10677"/>
    <cellStyle name="Normal 3 2 5 5 2 2 5 2" xfId="21393"/>
    <cellStyle name="Normal 3 2 5 5 2 2 6" xfId="14737"/>
    <cellStyle name="Normal 3 2 5 5 2 3" xfId="4426"/>
    <cellStyle name="Normal 3 2 5 5 2 3 2" xfId="6094"/>
    <cellStyle name="Normal 3 2 5 5 2 3 2 2" xfId="9429"/>
    <cellStyle name="Normal 3 2 5 5 2 3 2 2 2" xfId="20145"/>
    <cellStyle name="Normal 3 2 5 5 2 3 2 3" xfId="12757"/>
    <cellStyle name="Normal 3 2 5 5 2 3 2 3 2" xfId="23473"/>
    <cellStyle name="Normal 3 2 5 5 2 3 2 4" xfId="16817"/>
    <cellStyle name="Normal 3 2 5 5 2 3 3" xfId="7765"/>
    <cellStyle name="Normal 3 2 5 5 2 3 3 2" xfId="18481"/>
    <cellStyle name="Normal 3 2 5 5 2 3 4" xfId="11093"/>
    <cellStyle name="Normal 3 2 5 5 2 3 4 2" xfId="21809"/>
    <cellStyle name="Normal 3 2 5 5 2 3 5" xfId="15153"/>
    <cellStyle name="Normal 3 2 5 5 2 4" xfId="5262"/>
    <cellStyle name="Normal 3 2 5 5 2 4 2" xfId="8597"/>
    <cellStyle name="Normal 3 2 5 5 2 4 2 2" xfId="19313"/>
    <cellStyle name="Normal 3 2 5 5 2 4 3" xfId="11925"/>
    <cellStyle name="Normal 3 2 5 5 2 4 3 2" xfId="22641"/>
    <cellStyle name="Normal 3 2 5 5 2 4 4" xfId="15985"/>
    <cellStyle name="Normal 3 2 5 5 2 5" xfId="6932"/>
    <cellStyle name="Normal 3 2 5 5 2 5 2" xfId="17649"/>
    <cellStyle name="Normal 3 2 5 5 2 6" xfId="10261"/>
    <cellStyle name="Normal 3 2 5 5 2 6 2" xfId="20977"/>
    <cellStyle name="Normal 3 2 5 5 2 7" xfId="14320"/>
    <cellStyle name="Normal 3 2 5 5 3" xfId="3783"/>
    <cellStyle name="Normal 3 2 5 5 3 2" xfId="4634"/>
    <cellStyle name="Normal 3 2 5 5 3 2 2" xfId="6302"/>
    <cellStyle name="Normal 3 2 5 5 3 2 2 2" xfId="9637"/>
    <cellStyle name="Normal 3 2 5 5 3 2 2 2 2" xfId="20353"/>
    <cellStyle name="Normal 3 2 5 5 3 2 2 3" xfId="12965"/>
    <cellStyle name="Normal 3 2 5 5 3 2 2 3 2" xfId="23681"/>
    <cellStyle name="Normal 3 2 5 5 3 2 2 4" xfId="17025"/>
    <cellStyle name="Normal 3 2 5 5 3 2 3" xfId="7973"/>
    <cellStyle name="Normal 3 2 5 5 3 2 3 2" xfId="18689"/>
    <cellStyle name="Normal 3 2 5 5 3 2 4" xfId="11301"/>
    <cellStyle name="Normal 3 2 5 5 3 2 4 2" xfId="22017"/>
    <cellStyle name="Normal 3 2 5 5 3 2 5" xfId="15361"/>
    <cellStyle name="Normal 3 2 5 5 3 3" xfId="5470"/>
    <cellStyle name="Normal 3 2 5 5 3 3 2" xfId="8805"/>
    <cellStyle name="Normal 3 2 5 5 3 3 2 2" xfId="19521"/>
    <cellStyle name="Normal 3 2 5 5 3 3 3" xfId="12133"/>
    <cellStyle name="Normal 3 2 5 5 3 3 3 2" xfId="22849"/>
    <cellStyle name="Normal 3 2 5 5 3 3 4" xfId="16193"/>
    <cellStyle name="Normal 3 2 5 5 3 4" xfId="7141"/>
    <cellStyle name="Normal 3 2 5 5 3 4 2" xfId="17857"/>
    <cellStyle name="Normal 3 2 5 5 3 5" xfId="10469"/>
    <cellStyle name="Normal 3 2 5 5 3 5 2" xfId="21185"/>
    <cellStyle name="Normal 3 2 5 5 3 6" xfId="14529"/>
    <cellStyle name="Normal 3 2 5 5 4" xfId="4216"/>
    <cellStyle name="Normal 3 2 5 5 4 2" xfId="5886"/>
    <cellStyle name="Normal 3 2 5 5 4 2 2" xfId="9221"/>
    <cellStyle name="Normal 3 2 5 5 4 2 2 2" xfId="19937"/>
    <cellStyle name="Normal 3 2 5 5 4 2 3" xfId="12549"/>
    <cellStyle name="Normal 3 2 5 5 4 2 3 2" xfId="23265"/>
    <cellStyle name="Normal 3 2 5 5 4 2 4" xfId="16609"/>
    <cellStyle name="Normal 3 2 5 5 4 3" xfId="7557"/>
    <cellStyle name="Normal 3 2 5 5 4 3 2" xfId="18273"/>
    <cellStyle name="Normal 3 2 5 5 4 4" xfId="10885"/>
    <cellStyle name="Normal 3 2 5 5 4 4 2" xfId="21601"/>
    <cellStyle name="Normal 3 2 5 5 4 5" xfId="14945"/>
    <cellStyle name="Normal 3 2 5 5 5" xfId="5051"/>
    <cellStyle name="Normal 3 2 5 5 5 2" xfId="8389"/>
    <cellStyle name="Normal 3 2 5 5 5 2 2" xfId="19105"/>
    <cellStyle name="Normal 3 2 5 5 5 3" xfId="11717"/>
    <cellStyle name="Normal 3 2 5 5 5 3 2" xfId="22433"/>
    <cellStyle name="Normal 3 2 5 5 5 4" xfId="15777"/>
    <cellStyle name="Normal 3 2 5 5 6" xfId="6721"/>
    <cellStyle name="Normal 3 2 5 5 6 2" xfId="17441"/>
    <cellStyle name="Normal 3 2 5 5 7" xfId="10053"/>
    <cellStyle name="Normal 3 2 5 5 7 2" xfId="20769"/>
    <cellStyle name="Normal 3 2 5 5 8" xfId="14110"/>
    <cellStyle name="Normal 3 2 5 6" xfId="3013"/>
    <cellStyle name="Normal 3 2 5 6 2" xfId="3987"/>
    <cellStyle name="Normal 3 2 5 6 2 2" xfId="4827"/>
    <cellStyle name="Normal 3 2 5 6 2 2 2" xfId="6495"/>
    <cellStyle name="Normal 3 2 5 6 2 2 2 2" xfId="9830"/>
    <cellStyle name="Normal 3 2 5 6 2 2 2 2 2" xfId="20546"/>
    <cellStyle name="Normal 3 2 5 6 2 2 2 3" xfId="13158"/>
    <cellStyle name="Normal 3 2 5 6 2 2 2 3 2" xfId="23874"/>
    <cellStyle name="Normal 3 2 5 6 2 2 2 4" xfId="17218"/>
    <cellStyle name="Normal 3 2 5 6 2 2 3" xfId="8166"/>
    <cellStyle name="Normal 3 2 5 6 2 2 3 2" xfId="18882"/>
    <cellStyle name="Normal 3 2 5 6 2 2 4" xfId="11494"/>
    <cellStyle name="Normal 3 2 5 6 2 2 4 2" xfId="22210"/>
    <cellStyle name="Normal 3 2 5 6 2 2 5" xfId="15554"/>
    <cellStyle name="Normal 3 2 5 6 2 3" xfId="5663"/>
    <cellStyle name="Normal 3 2 5 6 2 3 2" xfId="8998"/>
    <cellStyle name="Normal 3 2 5 6 2 3 2 2" xfId="19714"/>
    <cellStyle name="Normal 3 2 5 6 2 3 3" xfId="12326"/>
    <cellStyle name="Normal 3 2 5 6 2 3 3 2" xfId="23042"/>
    <cellStyle name="Normal 3 2 5 6 2 3 4" xfId="16386"/>
    <cellStyle name="Normal 3 2 5 6 2 4" xfId="7334"/>
    <cellStyle name="Normal 3 2 5 6 2 4 2" xfId="18050"/>
    <cellStyle name="Normal 3 2 5 6 2 5" xfId="10662"/>
    <cellStyle name="Normal 3 2 5 6 2 5 2" xfId="21378"/>
    <cellStyle name="Normal 3 2 5 6 2 6" xfId="14722"/>
    <cellStyle name="Normal 3 2 5 6 3" xfId="4411"/>
    <cellStyle name="Normal 3 2 5 6 3 2" xfId="6079"/>
    <cellStyle name="Normal 3 2 5 6 3 2 2" xfId="9414"/>
    <cellStyle name="Normal 3 2 5 6 3 2 2 2" xfId="20130"/>
    <cellStyle name="Normal 3 2 5 6 3 2 3" xfId="12742"/>
    <cellStyle name="Normal 3 2 5 6 3 2 3 2" xfId="23458"/>
    <cellStyle name="Normal 3 2 5 6 3 2 4" xfId="16802"/>
    <cellStyle name="Normal 3 2 5 6 3 3" xfId="7750"/>
    <cellStyle name="Normal 3 2 5 6 3 3 2" xfId="18466"/>
    <cellStyle name="Normal 3 2 5 6 3 4" xfId="11078"/>
    <cellStyle name="Normal 3 2 5 6 3 4 2" xfId="21794"/>
    <cellStyle name="Normal 3 2 5 6 3 5" xfId="15138"/>
    <cellStyle name="Normal 3 2 5 6 4" xfId="5247"/>
    <cellStyle name="Normal 3 2 5 6 4 2" xfId="8582"/>
    <cellStyle name="Normal 3 2 5 6 4 2 2" xfId="19298"/>
    <cellStyle name="Normal 3 2 5 6 4 3" xfId="11910"/>
    <cellStyle name="Normal 3 2 5 6 4 3 2" xfId="22626"/>
    <cellStyle name="Normal 3 2 5 6 4 4" xfId="15970"/>
    <cellStyle name="Normal 3 2 5 6 5" xfId="6917"/>
    <cellStyle name="Normal 3 2 5 6 5 2" xfId="17634"/>
    <cellStyle name="Normal 3 2 5 6 6" xfId="10246"/>
    <cellStyle name="Normal 3 2 5 6 6 2" xfId="20962"/>
    <cellStyle name="Normal 3 2 5 6 7" xfId="14305"/>
    <cellStyle name="Normal 3 2 5 7" xfId="3768"/>
    <cellStyle name="Normal 3 2 5 7 2" xfId="4619"/>
    <cellStyle name="Normal 3 2 5 7 2 2" xfId="6287"/>
    <cellStyle name="Normal 3 2 5 7 2 2 2" xfId="9622"/>
    <cellStyle name="Normal 3 2 5 7 2 2 2 2" xfId="20338"/>
    <cellStyle name="Normal 3 2 5 7 2 2 3" xfId="12950"/>
    <cellStyle name="Normal 3 2 5 7 2 2 3 2" xfId="23666"/>
    <cellStyle name="Normal 3 2 5 7 2 2 4" xfId="17010"/>
    <cellStyle name="Normal 3 2 5 7 2 3" xfId="7958"/>
    <cellStyle name="Normal 3 2 5 7 2 3 2" xfId="18674"/>
    <cellStyle name="Normal 3 2 5 7 2 4" xfId="11286"/>
    <cellStyle name="Normal 3 2 5 7 2 4 2" xfId="22002"/>
    <cellStyle name="Normal 3 2 5 7 2 5" xfId="15346"/>
    <cellStyle name="Normal 3 2 5 7 3" xfId="5455"/>
    <cellStyle name="Normal 3 2 5 7 3 2" xfId="8790"/>
    <cellStyle name="Normal 3 2 5 7 3 2 2" xfId="19506"/>
    <cellStyle name="Normal 3 2 5 7 3 3" xfId="12118"/>
    <cellStyle name="Normal 3 2 5 7 3 3 2" xfId="22834"/>
    <cellStyle name="Normal 3 2 5 7 3 4" xfId="16178"/>
    <cellStyle name="Normal 3 2 5 7 4" xfId="7126"/>
    <cellStyle name="Normal 3 2 5 7 4 2" xfId="17842"/>
    <cellStyle name="Normal 3 2 5 7 5" xfId="10454"/>
    <cellStyle name="Normal 3 2 5 7 5 2" xfId="21170"/>
    <cellStyle name="Normal 3 2 5 7 6" xfId="14514"/>
    <cellStyle name="Normal 3 2 5 8" xfId="4201"/>
    <cellStyle name="Normal 3 2 5 8 2" xfId="5871"/>
    <cellStyle name="Normal 3 2 5 8 2 2" xfId="9206"/>
    <cellStyle name="Normal 3 2 5 8 2 2 2" xfId="19922"/>
    <cellStyle name="Normal 3 2 5 8 2 3" xfId="12534"/>
    <cellStyle name="Normal 3 2 5 8 2 3 2" xfId="23250"/>
    <cellStyle name="Normal 3 2 5 8 2 4" xfId="16594"/>
    <cellStyle name="Normal 3 2 5 8 3" xfId="7542"/>
    <cellStyle name="Normal 3 2 5 8 3 2" xfId="18258"/>
    <cellStyle name="Normal 3 2 5 8 4" xfId="10870"/>
    <cellStyle name="Normal 3 2 5 8 4 2" xfId="21586"/>
    <cellStyle name="Normal 3 2 5 8 5" xfId="14930"/>
    <cellStyle name="Normal 3 2 5 9" xfId="5036"/>
    <cellStyle name="Normal 3 2 5 9 2" xfId="8374"/>
    <cellStyle name="Normal 3 2 5 9 2 2" xfId="19090"/>
    <cellStyle name="Normal 3 2 5 9 3" xfId="11702"/>
    <cellStyle name="Normal 3 2 5 9 3 2" xfId="22418"/>
    <cellStyle name="Normal 3 2 5 9 4" xfId="15762"/>
    <cellStyle name="Normal 3 2 6" xfId="1340"/>
    <cellStyle name="Normal 3 2 6 10" xfId="10054"/>
    <cellStyle name="Normal 3 2 6 10 2" xfId="20770"/>
    <cellStyle name="Normal 3 2 6 11" xfId="14111"/>
    <cellStyle name="Normal 3 2 6 2" xfId="1341"/>
    <cellStyle name="Normal 3 2 6 2 10" xfId="14112"/>
    <cellStyle name="Normal 3 2 6 2 2" xfId="1342"/>
    <cellStyle name="Normal 3 2 6 2 2 2" xfId="1343"/>
    <cellStyle name="Normal 3 2 6 2 2 2 2" xfId="3032"/>
    <cellStyle name="Normal 3 2 6 2 2 2 2 2" xfId="4006"/>
    <cellStyle name="Normal 3 2 6 2 2 2 2 2 2" xfId="4846"/>
    <cellStyle name="Normal 3 2 6 2 2 2 2 2 2 2" xfId="6514"/>
    <cellStyle name="Normal 3 2 6 2 2 2 2 2 2 2 2" xfId="9849"/>
    <cellStyle name="Normal 3 2 6 2 2 2 2 2 2 2 2 2" xfId="20565"/>
    <cellStyle name="Normal 3 2 6 2 2 2 2 2 2 2 3" xfId="13177"/>
    <cellStyle name="Normal 3 2 6 2 2 2 2 2 2 2 3 2" xfId="23893"/>
    <cellStyle name="Normal 3 2 6 2 2 2 2 2 2 2 4" xfId="17237"/>
    <cellStyle name="Normal 3 2 6 2 2 2 2 2 2 3" xfId="8185"/>
    <cellStyle name="Normal 3 2 6 2 2 2 2 2 2 3 2" xfId="18901"/>
    <cellStyle name="Normal 3 2 6 2 2 2 2 2 2 4" xfId="11513"/>
    <cellStyle name="Normal 3 2 6 2 2 2 2 2 2 4 2" xfId="22229"/>
    <cellStyle name="Normal 3 2 6 2 2 2 2 2 2 5" xfId="15573"/>
    <cellStyle name="Normal 3 2 6 2 2 2 2 2 3" xfId="5682"/>
    <cellStyle name="Normal 3 2 6 2 2 2 2 2 3 2" xfId="9017"/>
    <cellStyle name="Normal 3 2 6 2 2 2 2 2 3 2 2" xfId="19733"/>
    <cellStyle name="Normal 3 2 6 2 2 2 2 2 3 3" xfId="12345"/>
    <cellStyle name="Normal 3 2 6 2 2 2 2 2 3 3 2" xfId="23061"/>
    <cellStyle name="Normal 3 2 6 2 2 2 2 2 3 4" xfId="16405"/>
    <cellStyle name="Normal 3 2 6 2 2 2 2 2 4" xfId="7353"/>
    <cellStyle name="Normal 3 2 6 2 2 2 2 2 4 2" xfId="18069"/>
    <cellStyle name="Normal 3 2 6 2 2 2 2 2 5" xfId="10681"/>
    <cellStyle name="Normal 3 2 6 2 2 2 2 2 5 2" xfId="21397"/>
    <cellStyle name="Normal 3 2 6 2 2 2 2 2 6" xfId="14741"/>
    <cellStyle name="Normal 3 2 6 2 2 2 2 3" xfId="4430"/>
    <cellStyle name="Normal 3 2 6 2 2 2 2 3 2" xfId="6098"/>
    <cellStyle name="Normal 3 2 6 2 2 2 2 3 2 2" xfId="9433"/>
    <cellStyle name="Normal 3 2 6 2 2 2 2 3 2 2 2" xfId="20149"/>
    <cellStyle name="Normal 3 2 6 2 2 2 2 3 2 3" xfId="12761"/>
    <cellStyle name="Normal 3 2 6 2 2 2 2 3 2 3 2" xfId="23477"/>
    <cellStyle name="Normal 3 2 6 2 2 2 2 3 2 4" xfId="16821"/>
    <cellStyle name="Normal 3 2 6 2 2 2 2 3 3" xfId="7769"/>
    <cellStyle name="Normal 3 2 6 2 2 2 2 3 3 2" xfId="18485"/>
    <cellStyle name="Normal 3 2 6 2 2 2 2 3 4" xfId="11097"/>
    <cellStyle name="Normal 3 2 6 2 2 2 2 3 4 2" xfId="21813"/>
    <cellStyle name="Normal 3 2 6 2 2 2 2 3 5" xfId="15157"/>
    <cellStyle name="Normal 3 2 6 2 2 2 2 4" xfId="5266"/>
    <cellStyle name="Normal 3 2 6 2 2 2 2 4 2" xfId="8601"/>
    <cellStyle name="Normal 3 2 6 2 2 2 2 4 2 2" xfId="19317"/>
    <cellStyle name="Normal 3 2 6 2 2 2 2 4 3" xfId="11929"/>
    <cellStyle name="Normal 3 2 6 2 2 2 2 4 3 2" xfId="22645"/>
    <cellStyle name="Normal 3 2 6 2 2 2 2 4 4" xfId="15989"/>
    <cellStyle name="Normal 3 2 6 2 2 2 2 5" xfId="6936"/>
    <cellStyle name="Normal 3 2 6 2 2 2 2 5 2" xfId="17653"/>
    <cellStyle name="Normal 3 2 6 2 2 2 2 6" xfId="10265"/>
    <cellStyle name="Normal 3 2 6 2 2 2 2 6 2" xfId="20981"/>
    <cellStyle name="Normal 3 2 6 2 2 2 2 7" xfId="14324"/>
    <cellStyle name="Normal 3 2 6 2 2 2 3" xfId="3787"/>
    <cellStyle name="Normal 3 2 6 2 2 2 3 2" xfId="4638"/>
    <cellStyle name="Normal 3 2 6 2 2 2 3 2 2" xfId="6306"/>
    <cellStyle name="Normal 3 2 6 2 2 2 3 2 2 2" xfId="9641"/>
    <cellStyle name="Normal 3 2 6 2 2 2 3 2 2 2 2" xfId="20357"/>
    <cellStyle name="Normal 3 2 6 2 2 2 3 2 2 3" xfId="12969"/>
    <cellStyle name="Normal 3 2 6 2 2 2 3 2 2 3 2" xfId="23685"/>
    <cellStyle name="Normal 3 2 6 2 2 2 3 2 2 4" xfId="17029"/>
    <cellStyle name="Normal 3 2 6 2 2 2 3 2 3" xfId="7977"/>
    <cellStyle name="Normal 3 2 6 2 2 2 3 2 3 2" xfId="18693"/>
    <cellStyle name="Normal 3 2 6 2 2 2 3 2 4" xfId="11305"/>
    <cellStyle name="Normal 3 2 6 2 2 2 3 2 4 2" xfId="22021"/>
    <cellStyle name="Normal 3 2 6 2 2 2 3 2 5" xfId="15365"/>
    <cellStyle name="Normal 3 2 6 2 2 2 3 3" xfId="5474"/>
    <cellStyle name="Normal 3 2 6 2 2 2 3 3 2" xfId="8809"/>
    <cellStyle name="Normal 3 2 6 2 2 2 3 3 2 2" xfId="19525"/>
    <cellStyle name="Normal 3 2 6 2 2 2 3 3 3" xfId="12137"/>
    <cellStyle name="Normal 3 2 6 2 2 2 3 3 3 2" xfId="22853"/>
    <cellStyle name="Normal 3 2 6 2 2 2 3 3 4" xfId="16197"/>
    <cellStyle name="Normal 3 2 6 2 2 2 3 4" xfId="7145"/>
    <cellStyle name="Normal 3 2 6 2 2 2 3 4 2" xfId="17861"/>
    <cellStyle name="Normal 3 2 6 2 2 2 3 5" xfId="10473"/>
    <cellStyle name="Normal 3 2 6 2 2 2 3 5 2" xfId="21189"/>
    <cellStyle name="Normal 3 2 6 2 2 2 3 6" xfId="14533"/>
    <cellStyle name="Normal 3 2 6 2 2 2 4" xfId="4220"/>
    <cellStyle name="Normal 3 2 6 2 2 2 4 2" xfId="5890"/>
    <cellStyle name="Normal 3 2 6 2 2 2 4 2 2" xfId="9225"/>
    <cellStyle name="Normal 3 2 6 2 2 2 4 2 2 2" xfId="19941"/>
    <cellStyle name="Normal 3 2 6 2 2 2 4 2 3" xfId="12553"/>
    <cellStyle name="Normal 3 2 6 2 2 2 4 2 3 2" xfId="23269"/>
    <cellStyle name="Normal 3 2 6 2 2 2 4 2 4" xfId="16613"/>
    <cellStyle name="Normal 3 2 6 2 2 2 4 3" xfId="7561"/>
    <cellStyle name="Normal 3 2 6 2 2 2 4 3 2" xfId="18277"/>
    <cellStyle name="Normal 3 2 6 2 2 2 4 4" xfId="10889"/>
    <cellStyle name="Normal 3 2 6 2 2 2 4 4 2" xfId="21605"/>
    <cellStyle name="Normal 3 2 6 2 2 2 4 5" xfId="14949"/>
    <cellStyle name="Normal 3 2 6 2 2 2 5" xfId="5055"/>
    <cellStyle name="Normal 3 2 6 2 2 2 5 2" xfId="8393"/>
    <cellStyle name="Normal 3 2 6 2 2 2 5 2 2" xfId="19109"/>
    <cellStyle name="Normal 3 2 6 2 2 2 5 3" xfId="11721"/>
    <cellStyle name="Normal 3 2 6 2 2 2 5 3 2" xfId="22437"/>
    <cellStyle name="Normal 3 2 6 2 2 2 5 4" xfId="15781"/>
    <cellStyle name="Normal 3 2 6 2 2 2 6" xfId="6725"/>
    <cellStyle name="Normal 3 2 6 2 2 2 6 2" xfId="17445"/>
    <cellStyle name="Normal 3 2 6 2 2 2 7" xfId="10057"/>
    <cellStyle name="Normal 3 2 6 2 2 2 7 2" xfId="20773"/>
    <cellStyle name="Normal 3 2 6 2 2 2 8" xfId="14114"/>
    <cellStyle name="Normal 3 2 6 2 2 3" xfId="3031"/>
    <cellStyle name="Normal 3 2 6 2 2 3 2" xfId="4005"/>
    <cellStyle name="Normal 3 2 6 2 2 3 2 2" xfId="4845"/>
    <cellStyle name="Normal 3 2 6 2 2 3 2 2 2" xfId="6513"/>
    <cellStyle name="Normal 3 2 6 2 2 3 2 2 2 2" xfId="9848"/>
    <cellStyle name="Normal 3 2 6 2 2 3 2 2 2 2 2" xfId="20564"/>
    <cellStyle name="Normal 3 2 6 2 2 3 2 2 2 3" xfId="13176"/>
    <cellStyle name="Normal 3 2 6 2 2 3 2 2 2 3 2" xfId="23892"/>
    <cellStyle name="Normal 3 2 6 2 2 3 2 2 2 4" xfId="17236"/>
    <cellStyle name="Normal 3 2 6 2 2 3 2 2 3" xfId="8184"/>
    <cellStyle name="Normal 3 2 6 2 2 3 2 2 3 2" xfId="18900"/>
    <cellStyle name="Normal 3 2 6 2 2 3 2 2 4" xfId="11512"/>
    <cellStyle name="Normal 3 2 6 2 2 3 2 2 4 2" xfId="22228"/>
    <cellStyle name="Normal 3 2 6 2 2 3 2 2 5" xfId="15572"/>
    <cellStyle name="Normal 3 2 6 2 2 3 2 3" xfId="5681"/>
    <cellStyle name="Normal 3 2 6 2 2 3 2 3 2" xfId="9016"/>
    <cellStyle name="Normal 3 2 6 2 2 3 2 3 2 2" xfId="19732"/>
    <cellStyle name="Normal 3 2 6 2 2 3 2 3 3" xfId="12344"/>
    <cellStyle name="Normal 3 2 6 2 2 3 2 3 3 2" xfId="23060"/>
    <cellStyle name="Normal 3 2 6 2 2 3 2 3 4" xfId="16404"/>
    <cellStyle name="Normal 3 2 6 2 2 3 2 4" xfId="7352"/>
    <cellStyle name="Normal 3 2 6 2 2 3 2 4 2" xfId="18068"/>
    <cellStyle name="Normal 3 2 6 2 2 3 2 5" xfId="10680"/>
    <cellStyle name="Normal 3 2 6 2 2 3 2 5 2" xfId="21396"/>
    <cellStyle name="Normal 3 2 6 2 2 3 2 6" xfId="14740"/>
    <cellStyle name="Normal 3 2 6 2 2 3 3" xfId="4429"/>
    <cellStyle name="Normal 3 2 6 2 2 3 3 2" xfId="6097"/>
    <cellStyle name="Normal 3 2 6 2 2 3 3 2 2" xfId="9432"/>
    <cellStyle name="Normal 3 2 6 2 2 3 3 2 2 2" xfId="20148"/>
    <cellStyle name="Normal 3 2 6 2 2 3 3 2 3" xfId="12760"/>
    <cellStyle name="Normal 3 2 6 2 2 3 3 2 3 2" xfId="23476"/>
    <cellStyle name="Normal 3 2 6 2 2 3 3 2 4" xfId="16820"/>
    <cellStyle name="Normal 3 2 6 2 2 3 3 3" xfId="7768"/>
    <cellStyle name="Normal 3 2 6 2 2 3 3 3 2" xfId="18484"/>
    <cellStyle name="Normal 3 2 6 2 2 3 3 4" xfId="11096"/>
    <cellStyle name="Normal 3 2 6 2 2 3 3 4 2" xfId="21812"/>
    <cellStyle name="Normal 3 2 6 2 2 3 3 5" xfId="15156"/>
    <cellStyle name="Normal 3 2 6 2 2 3 4" xfId="5265"/>
    <cellStyle name="Normal 3 2 6 2 2 3 4 2" xfId="8600"/>
    <cellStyle name="Normal 3 2 6 2 2 3 4 2 2" xfId="19316"/>
    <cellStyle name="Normal 3 2 6 2 2 3 4 3" xfId="11928"/>
    <cellStyle name="Normal 3 2 6 2 2 3 4 3 2" xfId="22644"/>
    <cellStyle name="Normal 3 2 6 2 2 3 4 4" xfId="15988"/>
    <cellStyle name="Normal 3 2 6 2 2 3 5" xfId="6935"/>
    <cellStyle name="Normal 3 2 6 2 2 3 5 2" xfId="17652"/>
    <cellStyle name="Normal 3 2 6 2 2 3 6" xfId="10264"/>
    <cellStyle name="Normal 3 2 6 2 2 3 6 2" xfId="20980"/>
    <cellStyle name="Normal 3 2 6 2 2 3 7" xfId="14323"/>
    <cellStyle name="Normal 3 2 6 2 2 4" xfId="3786"/>
    <cellStyle name="Normal 3 2 6 2 2 4 2" xfId="4637"/>
    <cellStyle name="Normal 3 2 6 2 2 4 2 2" xfId="6305"/>
    <cellStyle name="Normal 3 2 6 2 2 4 2 2 2" xfId="9640"/>
    <cellStyle name="Normal 3 2 6 2 2 4 2 2 2 2" xfId="20356"/>
    <cellStyle name="Normal 3 2 6 2 2 4 2 2 3" xfId="12968"/>
    <cellStyle name="Normal 3 2 6 2 2 4 2 2 3 2" xfId="23684"/>
    <cellStyle name="Normal 3 2 6 2 2 4 2 2 4" xfId="17028"/>
    <cellStyle name="Normal 3 2 6 2 2 4 2 3" xfId="7976"/>
    <cellStyle name="Normal 3 2 6 2 2 4 2 3 2" xfId="18692"/>
    <cellStyle name="Normal 3 2 6 2 2 4 2 4" xfId="11304"/>
    <cellStyle name="Normal 3 2 6 2 2 4 2 4 2" xfId="22020"/>
    <cellStyle name="Normal 3 2 6 2 2 4 2 5" xfId="15364"/>
    <cellStyle name="Normal 3 2 6 2 2 4 3" xfId="5473"/>
    <cellStyle name="Normal 3 2 6 2 2 4 3 2" xfId="8808"/>
    <cellStyle name="Normal 3 2 6 2 2 4 3 2 2" xfId="19524"/>
    <cellStyle name="Normal 3 2 6 2 2 4 3 3" xfId="12136"/>
    <cellStyle name="Normal 3 2 6 2 2 4 3 3 2" xfId="22852"/>
    <cellStyle name="Normal 3 2 6 2 2 4 3 4" xfId="16196"/>
    <cellStyle name="Normal 3 2 6 2 2 4 4" xfId="7144"/>
    <cellStyle name="Normal 3 2 6 2 2 4 4 2" xfId="17860"/>
    <cellStyle name="Normal 3 2 6 2 2 4 5" xfId="10472"/>
    <cellStyle name="Normal 3 2 6 2 2 4 5 2" xfId="21188"/>
    <cellStyle name="Normal 3 2 6 2 2 4 6" xfId="14532"/>
    <cellStyle name="Normal 3 2 6 2 2 5" xfId="4219"/>
    <cellStyle name="Normal 3 2 6 2 2 5 2" xfId="5889"/>
    <cellStyle name="Normal 3 2 6 2 2 5 2 2" xfId="9224"/>
    <cellStyle name="Normal 3 2 6 2 2 5 2 2 2" xfId="19940"/>
    <cellStyle name="Normal 3 2 6 2 2 5 2 3" xfId="12552"/>
    <cellStyle name="Normal 3 2 6 2 2 5 2 3 2" xfId="23268"/>
    <cellStyle name="Normal 3 2 6 2 2 5 2 4" xfId="16612"/>
    <cellStyle name="Normal 3 2 6 2 2 5 3" xfId="7560"/>
    <cellStyle name="Normal 3 2 6 2 2 5 3 2" xfId="18276"/>
    <cellStyle name="Normal 3 2 6 2 2 5 4" xfId="10888"/>
    <cellStyle name="Normal 3 2 6 2 2 5 4 2" xfId="21604"/>
    <cellStyle name="Normal 3 2 6 2 2 5 5" xfId="14948"/>
    <cellStyle name="Normal 3 2 6 2 2 6" xfId="5054"/>
    <cellStyle name="Normal 3 2 6 2 2 6 2" xfId="8392"/>
    <cellStyle name="Normal 3 2 6 2 2 6 2 2" xfId="19108"/>
    <cellStyle name="Normal 3 2 6 2 2 6 3" xfId="11720"/>
    <cellStyle name="Normal 3 2 6 2 2 6 3 2" xfId="22436"/>
    <cellStyle name="Normal 3 2 6 2 2 6 4" xfId="15780"/>
    <cellStyle name="Normal 3 2 6 2 2 7" xfId="6724"/>
    <cellStyle name="Normal 3 2 6 2 2 7 2" xfId="17444"/>
    <cellStyle name="Normal 3 2 6 2 2 8" xfId="10056"/>
    <cellStyle name="Normal 3 2 6 2 2 8 2" xfId="20772"/>
    <cellStyle name="Normal 3 2 6 2 2 9" xfId="14113"/>
    <cellStyle name="Normal 3 2 6 2 3" xfId="1344"/>
    <cellStyle name="Normal 3 2 6 2 3 2" xfId="3033"/>
    <cellStyle name="Normal 3 2 6 2 3 2 2" xfId="4007"/>
    <cellStyle name="Normal 3 2 6 2 3 2 2 2" xfId="4847"/>
    <cellStyle name="Normal 3 2 6 2 3 2 2 2 2" xfId="6515"/>
    <cellStyle name="Normal 3 2 6 2 3 2 2 2 2 2" xfId="9850"/>
    <cellStyle name="Normal 3 2 6 2 3 2 2 2 2 2 2" xfId="20566"/>
    <cellStyle name="Normal 3 2 6 2 3 2 2 2 2 3" xfId="13178"/>
    <cellStyle name="Normal 3 2 6 2 3 2 2 2 2 3 2" xfId="23894"/>
    <cellStyle name="Normal 3 2 6 2 3 2 2 2 2 4" xfId="17238"/>
    <cellStyle name="Normal 3 2 6 2 3 2 2 2 3" xfId="8186"/>
    <cellStyle name="Normal 3 2 6 2 3 2 2 2 3 2" xfId="18902"/>
    <cellStyle name="Normal 3 2 6 2 3 2 2 2 4" xfId="11514"/>
    <cellStyle name="Normal 3 2 6 2 3 2 2 2 4 2" xfId="22230"/>
    <cellStyle name="Normal 3 2 6 2 3 2 2 2 5" xfId="15574"/>
    <cellStyle name="Normal 3 2 6 2 3 2 2 3" xfId="5683"/>
    <cellStyle name="Normal 3 2 6 2 3 2 2 3 2" xfId="9018"/>
    <cellStyle name="Normal 3 2 6 2 3 2 2 3 2 2" xfId="19734"/>
    <cellStyle name="Normal 3 2 6 2 3 2 2 3 3" xfId="12346"/>
    <cellStyle name="Normal 3 2 6 2 3 2 2 3 3 2" xfId="23062"/>
    <cellStyle name="Normal 3 2 6 2 3 2 2 3 4" xfId="16406"/>
    <cellStyle name="Normal 3 2 6 2 3 2 2 4" xfId="7354"/>
    <cellStyle name="Normal 3 2 6 2 3 2 2 4 2" xfId="18070"/>
    <cellStyle name="Normal 3 2 6 2 3 2 2 5" xfId="10682"/>
    <cellStyle name="Normal 3 2 6 2 3 2 2 5 2" xfId="21398"/>
    <cellStyle name="Normal 3 2 6 2 3 2 2 6" xfId="14742"/>
    <cellStyle name="Normal 3 2 6 2 3 2 3" xfId="4431"/>
    <cellStyle name="Normal 3 2 6 2 3 2 3 2" xfId="6099"/>
    <cellStyle name="Normal 3 2 6 2 3 2 3 2 2" xfId="9434"/>
    <cellStyle name="Normal 3 2 6 2 3 2 3 2 2 2" xfId="20150"/>
    <cellStyle name="Normal 3 2 6 2 3 2 3 2 3" xfId="12762"/>
    <cellStyle name="Normal 3 2 6 2 3 2 3 2 3 2" xfId="23478"/>
    <cellStyle name="Normal 3 2 6 2 3 2 3 2 4" xfId="16822"/>
    <cellStyle name="Normal 3 2 6 2 3 2 3 3" xfId="7770"/>
    <cellStyle name="Normal 3 2 6 2 3 2 3 3 2" xfId="18486"/>
    <cellStyle name="Normal 3 2 6 2 3 2 3 4" xfId="11098"/>
    <cellStyle name="Normal 3 2 6 2 3 2 3 4 2" xfId="21814"/>
    <cellStyle name="Normal 3 2 6 2 3 2 3 5" xfId="15158"/>
    <cellStyle name="Normal 3 2 6 2 3 2 4" xfId="5267"/>
    <cellStyle name="Normal 3 2 6 2 3 2 4 2" xfId="8602"/>
    <cellStyle name="Normal 3 2 6 2 3 2 4 2 2" xfId="19318"/>
    <cellStyle name="Normal 3 2 6 2 3 2 4 3" xfId="11930"/>
    <cellStyle name="Normal 3 2 6 2 3 2 4 3 2" xfId="22646"/>
    <cellStyle name="Normal 3 2 6 2 3 2 4 4" xfId="15990"/>
    <cellStyle name="Normal 3 2 6 2 3 2 5" xfId="6937"/>
    <cellStyle name="Normal 3 2 6 2 3 2 5 2" xfId="17654"/>
    <cellStyle name="Normal 3 2 6 2 3 2 6" xfId="10266"/>
    <cellStyle name="Normal 3 2 6 2 3 2 6 2" xfId="20982"/>
    <cellStyle name="Normal 3 2 6 2 3 2 7" xfId="14325"/>
    <cellStyle name="Normal 3 2 6 2 3 3" xfId="3788"/>
    <cellStyle name="Normal 3 2 6 2 3 3 2" xfId="4639"/>
    <cellStyle name="Normal 3 2 6 2 3 3 2 2" xfId="6307"/>
    <cellStyle name="Normal 3 2 6 2 3 3 2 2 2" xfId="9642"/>
    <cellStyle name="Normal 3 2 6 2 3 3 2 2 2 2" xfId="20358"/>
    <cellStyle name="Normal 3 2 6 2 3 3 2 2 3" xfId="12970"/>
    <cellStyle name="Normal 3 2 6 2 3 3 2 2 3 2" xfId="23686"/>
    <cellStyle name="Normal 3 2 6 2 3 3 2 2 4" xfId="17030"/>
    <cellStyle name="Normal 3 2 6 2 3 3 2 3" xfId="7978"/>
    <cellStyle name="Normal 3 2 6 2 3 3 2 3 2" xfId="18694"/>
    <cellStyle name="Normal 3 2 6 2 3 3 2 4" xfId="11306"/>
    <cellStyle name="Normal 3 2 6 2 3 3 2 4 2" xfId="22022"/>
    <cellStyle name="Normal 3 2 6 2 3 3 2 5" xfId="15366"/>
    <cellStyle name="Normal 3 2 6 2 3 3 3" xfId="5475"/>
    <cellStyle name="Normal 3 2 6 2 3 3 3 2" xfId="8810"/>
    <cellStyle name="Normal 3 2 6 2 3 3 3 2 2" xfId="19526"/>
    <cellStyle name="Normal 3 2 6 2 3 3 3 3" xfId="12138"/>
    <cellStyle name="Normal 3 2 6 2 3 3 3 3 2" xfId="22854"/>
    <cellStyle name="Normal 3 2 6 2 3 3 3 4" xfId="16198"/>
    <cellStyle name="Normal 3 2 6 2 3 3 4" xfId="7146"/>
    <cellStyle name="Normal 3 2 6 2 3 3 4 2" xfId="17862"/>
    <cellStyle name="Normal 3 2 6 2 3 3 5" xfId="10474"/>
    <cellStyle name="Normal 3 2 6 2 3 3 5 2" xfId="21190"/>
    <cellStyle name="Normal 3 2 6 2 3 3 6" xfId="14534"/>
    <cellStyle name="Normal 3 2 6 2 3 4" xfId="4221"/>
    <cellStyle name="Normal 3 2 6 2 3 4 2" xfId="5891"/>
    <cellStyle name="Normal 3 2 6 2 3 4 2 2" xfId="9226"/>
    <cellStyle name="Normal 3 2 6 2 3 4 2 2 2" xfId="19942"/>
    <cellStyle name="Normal 3 2 6 2 3 4 2 3" xfId="12554"/>
    <cellStyle name="Normal 3 2 6 2 3 4 2 3 2" xfId="23270"/>
    <cellStyle name="Normal 3 2 6 2 3 4 2 4" xfId="16614"/>
    <cellStyle name="Normal 3 2 6 2 3 4 3" xfId="7562"/>
    <cellStyle name="Normal 3 2 6 2 3 4 3 2" xfId="18278"/>
    <cellStyle name="Normal 3 2 6 2 3 4 4" xfId="10890"/>
    <cellStyle name="Normal 3 2 6 2 3 4 4 2" xfId="21606"/>
    <cellStyle name="Normal 3 2 6 2 3 4 5" xfId="14950"/>
    <cellStyle name="Normal 3 2 6 2 3 5" xfId="5056"/>
    <cellStyle name="Normal 3 2 6 2 3 5 2" xfId="8394"/>
    <cellStyle name="Normal 3 2 6 2 3 5 2 2" xfId="19110"/>
    <cellStyle name="Normal 3 2 6 2 3 5 3" xfId="11722"/>
    <cellStyle name="Normal 3 2 6 2 3 5 3 2" xfId="22438"/>
    <cellStyle name="Normal 3 2 6 2 3 5 4" xfId="15782"/>
    <cellStyle name="Normal 3 2 6 2 3 6" xfId="6726"/>
    <cellStyle name="Normal 3 2 6 2 3 6 2" xfId="17446"/>
    <cellStyle name="Normal 3 2 6 2 3 7" xfId="10058"/>
    <cellStyle name="Normal 3 2 6 2 3 7 2" xfId="20774"/>
    <cellStyle name="Normal 3 2 6 2 3 8" xfId="14115"/>
    <cellStyle name="Normal 3 2 6 2 4" xfId="3030"/>
    <cellStyle name="Normal 3 2 6 2 4 2" xfId="4004"/>
    <cellStyle name="Normal 3 2 6 2 4 2 2" xfId="4844"/>
    <cellStyle name="Normal 3 2 6 2 4 2 2 2" xfId="6512"/>
    <cellStyle name="Normal 3 2 6 2 4 2 2 2 2" xfId="9847"/>
    <cellStyle name="Normal 3 2 6 2 4 2 2 2 2 2" xfId="20563"/>
    <cellStyle name="Normal 3 2 6 2 4 2 2 2 3" xfId="13175"/>
    <cellStyle name="Normal 3 2 6 2 4 2 2 2 3 2" xfId="23891"/>
    <cellStyle name="Normal 3 2 6 2 4 2 2 2 4" xfId="17235"/>
    <cellStyle name="Normal 3 2 6 2 4 2 2 3" xfId="8183"/>
    <cellStyle name="Normal 3 2 6 2 4 2 2 3 2" xfId="18899"/>
    <cellStyle name="Normal 3 2 6 2 4 2 2 4" xfId="11511"/>
    <cellStyle name="Normal 3 2 6 2 4 2 2 4 2" xfId="22227"/>
    <cellStyle name="Normal 3 2 6 2 4 2 2 5" xfId="15571"/>
    <cellStyle name="Normal 3 2 6 2 4 2 3" xfId="5680"/>
    <cellStyle name="Normal 3 2 6 2 4 2 3 2" xfId="9015"/>
    <cellStyle name="Normal 3 2 6 2 4 2 3 2 2" xfId="19731"/>
    <cellStyle name="Normal 3 2 6 2 4 2 3 3" xfId="12343"/>
    <cellStyle name="Normal 3 2 6 2 4 2 3 3 2" xfId="23059"/>
    <cellStyle name="Normal 3 2 6 2 4 2 3 4" xfId="16403"/>
    <cellStyle name="Normal 3 2 6 2 4 2 4" xfId="7351"/>
    <cellStyle name="Normal 3 2 6 2 4 2 4 2" xfId="18067"/>
    <cellStyle name="Normal 3 2 6 2 4 2 5" xfId="10679"/>
    <cellStyle name="Normal 3 2 6 2 4 2 5 2" xfId="21395"/>
    <cellStyle name="Normal 3 2 6 2 4 2 6" xfId="14739"/>
    <cellStyle name="Normal 3 2 6 2 4 3" xfId="4428"/>
    <cellStyle name="Normal 3 2 6 2 4 3 2" xfId="6096"/>
    <cellStyle name="Normal 3 2 6 2 4 3 2 2" xfId="9431"/>
    <cellStyle name="Normal 3 2 6 2 4 3 2 2 2" xfId="20147"/>
    <cellStyle name="Normal 3 2 6 2 4 3 2 3" xfId="12759"/>
    <cellStyle name="Normal 3 2 6 2 4 3 2 3 2" xfId="23475"/>
    <cellStyle name="Normal 3 2 6 2 4 3 2 4" xfId="16819"/>
    <cellStyle name="Normal 3 2 6 2 4 3 3" xfId="7767"/>
    <cellStyle name="Normal 3 2 6 2 4 3 3 2" xfId="18483"/>
    <cellStyle name="Normal 3 2 6 2 4 3 4" xfId="11095"/>
    <cellStyle name="Normal 3 2 6 2 4 3 4 2" xfId="21811"/>
    <cellStyle name="Normal 3 2 6 2 4 3 5" xfId="15155"/>
    <cellStyle name="Normal 3 2 6 2 4 4" xfId="5264"/>
    <cellStyle name="Normal 3 2 6 2 4 4 2" xfId="8599"/>
    <cellStyle name="Normal 3 2 6 2 4 4 2 2" xfId="19315"/>
    <cellStyle name="Normal 3 2 6 2 4 4 3" xfId="11927"/>
    <cellStyle name="Normal 3 2 6 2 4 4 3 2" xfId="22643"/>
    <cellStyle name="Normal 3 2 6 2 4 4 4" xfId="15987"/>
    <cellStyle name="Normal 3 2 6 2 4 5" xfId="6934"/>
    <cellStyle name="Normal 3 2 6 2 4 5 2" xfId="17651"/>
    <cellStyle name="Normal 3 2 6 2 4 6" xfId="10263"/>
    <cellStyle name="Normal 3 2 6 2 4 6 2" xfId="20979"/>
    <cellStyle name="Normal 3 2 6 2 4 7" xfId="14322"/>
    <cellStyle name="Normal 3 2 6 2 5" xfId="3785"/>
    <cellStyle name="Normal 3 2 6 2 5 2" xfId="4636"/>
    <cellStyle name="Normal 3 2 6 2 5 2 2" xfId="6304"/>
    <cellStyle name="Normal 3 2 6 2 5 2 2 2" xfId="9639"/>
    <cellStyle name="Normal 3 2 6 2 5 2 2 2 2" xfId="20355"/>
    <cellStyle name="Normal 3 2 6 2 5 2 2 3" xfId="12967"/>
    <cellStyle name="Normal 3 2 6 2 5 2 2 3 2" xfId="23683"/>
    <cellStyle name="Normal 3 2 6 2 5 2 2 4" xfId="17027"/>
    <cellStyle name="Normal 3 2 6 2 5 2 3" xfId="7975"/>
    <cellStyle name="Normal 3 2 6 2 5 2 3 2" xfId="18691"/>
    <cellStyle name="Normal 3 2 6 2 5 2 4" xfId="11303"/>
    <cellStyle name="Normal 3 2 6 2 5 2 4 2" xfId="22019"/>
    <cellStyle name="Normal 3 2 6 2 5 2 5" xfId="15363"/>
    <cellStyle name="Normal 3 2 6 2 5 3" xfId="5472"/>
    <cellStyle name="Normal 3 2 6 2 5 3 2" xfId="8807"/>
    <cellStyle name="Normal 3 2 6 2 5 3 2 2" xfId="19523"/>
    <cellStyle name="Normal 3 2 6 2 5 3 3" xfId="12135"/>
    <cellStyle name="Normal 3 2 6 2 5 3 3 2" xfId="22851"/>
    <cellStyle name="Normal 3 2 6 2 5 3 4" xfId="16195"/>
    <cellStyle name="Normal 3 2 6 2 5 4" xfId="7143"/>
    <cellStyle name="Normal 3 2 6 2 5 4 2" xfId="17859"/>
    <cellStyle name="Normal 3 2 6 2 5 5" xfId="10471"/>
    <cellStyle name="Normal 3 2 6 2 5 5 2" xfId="21187"/>
    <cellStyle name="Normal 3 2 6 2 5 6" xfId="14531"/>
    <cellStyle name="Normal 3 2 6 2 6" xfId="4218"/>
    <cellStyle name="Normal 3 2 6 2 6 2" xfId="5888"/>
    <cellStyle name="Normal 3 2 6 2 6 2 2" xfId="9223"/>
    <cellStyle name="Normal 3 2 6 2 6 2 2 2" xfId="19939"/>
    <cellStyle name="Normal 3 2 6 2 6 2 3" xfId="12551"/>
    <cellStyle name="Normal 3 2 6 2 6 2 3 2" xfId="23267"/>
    <cellStyle name="Normal 3 2 6 2 6 2 4" xfId="16611"/>
    <cellStyle name="Normal 3 2 6 2 6 3" xfId="7559"/>
    <cellStyle name="Normal 3 2 6 2 6 3 2" xfId="18275"/>
    <cellStyle name="Normal 3 2 6 2 6 4" xfId="10887"/>
    <cellStyle name="Normal 3 2 6 2 6 4 2" xfId="21603"/>
    <cellStyle name="Normal 3 2 6 2 6 5" xfId="14947"/>
    <cellStyle name="Normal 3 2 6 2 7" xfId="5053"/>
    <cellStyle name="Normal 3 2 6 2 7 2" xfId="8391"/>
    <cellStyle name="Normal 3 2 6 2 7 2 2" xfId="19107"/>
    <cellStyle name="Normal 3 2 6 2 7 3" xfId="11719"/>
    <cellStyle name="Normal 3 2 6 2 7 3 2" xfId="22435"/>
    <cellStyle name="Normal 3 2 6 2 7 4" xfId="15779"/>
    <cellStyle name="Normal 3 2 6 2 8" xfId="6723"/>
    <cellStyle name="Normal 3 2 6 2 8 2" xfId="17443"/>
    <cellStyle name="Normal 3 2 6 2 9" xfId="10055"/>
    <cellStyle name="Normal 3 2 6 2 9 2" xfId="20771"/>
    <cellStyle name="Normal 3 2 6 3" xfId="1345"/>
    <cellStyle name="Normal 3 2 6 3 2" xfId="1346"/>
    <cellStyle name="Normal 3 2 6 3 2 2" xfId="3035"/>
    <cellStyle name="Normal 3 2 6 3 2 2 2" xfId="4009"/>
    <cellStyle name="Normal 3 2 6 3 2 2 2 2" xfId="4849"/>
    <cellStyle name="Normal 3 2 6 3 2 2 2 2 2" xfId="6517"/>
    <cellStyle name="Normal 3 2 6 3 2 2 2 2 2 2" xfId="9852"/>
    <cellStyle name="Normal 3 2 6 3 2 2 2 2 2 2 2" xfId="20568"/>
    <cellStyle name="Normal 3 2 6 3 2 2 2 2 2 3" xfId="13180"/>
    <cellStyle name="Normal 3 2 6 3 2 2 2 2 2 3 2" xfId="23896"/>
    <cellStyle name="Normal 3 2 6 3 2 2 2 2 2 4" xfId="17240"/>
    <cellStyle name="Normal 3 2 6 3 2 2 2 2 3" xfId="8188"/>
    <cellStyle name="Normal 3 2 6 3 2 2 2 2 3 2" xfId="18904"/>
    <cellStyle name="Normal 3 2 6 3 2 2 2 2 4" xfId="11516"/>
    <cellStyle name="Normal 3 2 6 3 2 2 2 2 4 2" xfId="22232"/>
    <cellStyle name="Normal 3 2 6 3 2 2 2 2 5" xfId="15576"/>
    <cellStyle name="Normal 3 2 6 3 2 2 2 3" xfId="5685"/>
    <cellStyle name="Normal 3 2 6 3 2 2 2 3 2" xfId="9020"/>
    <cellStyle name="Normal 3 2 6 3 2 2 2 3 2 2" xfId="19736"/>
    <cellStyle name="Normal 3 2 6 3 2 2 2 3 3" xfId="12348"/>
    <cellStyle name="Normal 3 2 6 3 2 2 2 3 3 2" xfId="23064"/>
    <cellStyle name="Normal 3 2 6 3 2 2 2 3 4" xfId="16408"/>
    <cellStyle name="Normal 3 2 6 3 2 2 2 4" xfId="7356"/>
    <cellStyle name="Normal 3 2 6 3 2 2 2 4 2" xfId="18072"/>
    <cellStyle name="Normal 3 2 6 3 2 2 2 5" xfId="10684"/>
    <cellStyle name="Normal 3 2 6 3 2 2 2 5 2" xfId="21400"/>
    <cellStyle name="Normal 3 2 6 3 2 2 2 6" xfId="14744"/>
    <cellStyle name="Normal 3 2 6 3 2 2 3" xfId="4433"/>
    <cellStyle name="Normal 3 2 6 3 2 2 3 2" xfId="6101"/>
    <cellStyle name="Normal 3 2 6 3 2 2 3 2 2" xfId="9436"/>
    <cellStyle name="Normal 3 2 6 3 2 2 3 2 2 2" xfId="20152"/>
    <cellStyle name="Normal 3 2 6 3 2 2 3 2 3" xfId="12764"/>
    <cellStyle name="Normal 3 2 6 3 2 2 3 2 3 2" xfId="23480"/>
    <cellStyle name="Normal 3 2 6 3 2 2 3 2 4" xfId="16824"/>
    <cellStyle name="Normal 3 2 6 3 2 2 3 3" xfId="7772"/>
    <cellStyle name="Normal 3 2 6 3 2 2 3 3 2" xfId="18488"/>
    <cellStyle name="Normal 3 2 6 3 2 2 3 4" xfId="11100"/>
    <cellStyle name="Normal 3 2 6 3 2 2 3 4 2" xfId="21816"/>
    <cellStyle name="Normal 3 2 6 3 2 2 3 5" xfId="15160"/>
    <cellStyle name="Normal 3 2 6 3 2 2 4" xfId="5269"/>
    <cellStyle name="Normal 3 2 6 3 2 2 4 2" xfId="8604"/>
    <cellStyle name="Normal 3 2 6 3 2 2 4 2 2" xfId="19320"/>
    <cellStyle name="Normal 3 2 6 3 2 2 4 3" xfId="11932"/>
    <cellStyle name="Normal 3 2 6 3 2 2 4 3 2" xfId="22648"/>
    <cellStyle name="Normal 3 2 6 3 2 2 4 4" xfId="15992"/>
    <cellStyle name="Normal 3 2 6 3 2 2 5" xfId="6939"/>
    <cellStyle name="Normal 3 2 6 3 2 2 5 2" xfId="17656"/>
    <cellStyle name="Normal 3 2 6 3 2 2 6" xfId="10268"/>
    <cellStyle name="Normal 3 2 6 3 2 2 6 2" xfId="20984"/>
    <cellStyle name="Normal 3 2 6 3 2 2 7" xfId="14327"/>
    <cellStyle name="Normal 3 2 6 3 2 3" xfId="3790"/>
    <cellStyle name="Normal 3 2 6 3 2 3 2" xfId="4641"/>
    <cellStyle name="Normal 3 2 6 3 2 3 2 2" xfId="6309"/>
    <cellStyle name="Normal 3 2 6 3 2 3 2 2 2" xfId="9644"/>
    <cellStyle name="Normal 3 2 6 3 2 3 2 2 2 2" xfId="20360"/>
    <cellStyle name="Normal 3 2 6 3 2 3 2 2 3" xfId="12972"/>
    <cellStyle name="Normal 3 2 6 3 2 3 2 2 3 2" xfId="23688"/>
    <cellStyle name="Normal 3 2 6 3 2 3 2 2 4" xfId="17032"/>
    <cellStyle name="Normal 3 2 6 3 2 3 2 3" xfId="7980"/>
    <cellStyle name="Normal 3 2 6 3 2 3 2 3 2" xfId="18696"/>
    <cellStyle name="Normal 3 2 6 3 2 3 2 4" xfId="11308"/>
    <cellStyle name="Normal 3 2 6 3 2 3 2 4 2" xfId="22024"/>
    <cellStyle name="Normal 3 2 6 3 2 3 2 5" xfId="15368"/>
    <cellStyle name="Normal 3 2 6 3 2 3 3" xfId="5477"/>
    <cellStyle name="Normal 3 2 6 3 2 3 3 2" xfId="8812"/>
    <cellStyle name="Normal 3 2 6 3 2 3 3 2 2" xfId="19528"/>
    <cellStyle name="Normal 3 2 6 3 2 3 3 3" xfId="12140"/>
    <cellStyle name="Normal 3 2 6 3 2 3 3 3 2" xfId="22856"/>
    <cellStyle name="Normal 3 2 6 3 2 3 3 4" xfId="16200"/>
    <cellStyle name="Normal 3 2 6 3 2 3 4" xfId="7148"/>
    <cellStyle name="Normal 3 2 6 3 2 3 4 2" xfId="17864"/>
    <cellStyle name="Normal 3 2 6 3 2 3 5" xfId="10476"/>
    <cellStyle name="Normal 3 2 6 3 2 3 5 2" xfId="21192"/>
    <cellStyle name="Normal 3 2 6 3 2 3 6" xfId="14536"/>
    <cellStyle name="Normal 3 2 6 3 2 4" xfId="4223"/>
    <cellStyle name="Normal 3 2 6 3 2 4 2" xfId="5893"/>
    <cellStyle name="Normal 3 2 6 3 2 4 2 2" xfId="9228"/>
    <cellStyle name="Normal 3 2 6 3 2 4 2 2 2" xfId="19944"/>
    <cellStyle name="Normal 3 2 6 3 2 4 2 3" xfId="12556"/>
    <cellStyle name="Normal 3 2 6 3 2 4 2 3 2" xfId="23272"/>
    <cellStyle name="Normal 3 2 6 3 2 4 2 4" xfId="16616"/>
    <cellStyle name="Normal 3 2 6 3 2 4 3" xfId="7564"/>
    <cellStyle name="Normal 3 2 6 3 2 4 3 2" xfId="18280"/>
    <cellStyle name="Normal 3 2 6 3 2 4 4" xfId="10892"/>
    <cellStyle name="Normal 3 2 6 3 2 4 4 2" xfId="21608"/>
    <cellStyle name="Normal 3 2 6 3 2 4 5" xfId="14952"/>
    <cellStyle name="Normal 3 2 6 3 2 5" xfId="5058"/>
    <cellStyle name="Normal 3 2 6 3 2 5 2" xfId="8396"/>
    <cellStyle name="Normal 3 2 6 3 2 5 2 2" xfId="19112"/>
    <cellStyle name="Normal 3 2 6 3 2 5 3" xfId="11724"/>
    <cellStyle name="Normal 3 2 6 3 2 5 3 2" xfId="22440"/>
    <cellStyle name="Normal 3 2 6 3 2 5 4" xfId="15784"/>
    <cellStyle name="Normal 3 2 6 3 2 6" xfId="6728"/>
    <cellStyle name="Normal 3 2 6 3 2 6 2" xfId="17448"/>
    <cellStyle name="Normal 3 2 6 3 2 7" xfId="10060"/>
    <cellStyle name="Normal 3 2 6 3 2 7 2" xfId="20776"/>
    <cellStyle name="Normal 3 2 6 3 2 8" xfId="14117"/>
    <cellStyle name="Normal 3 2 6 3 3" xfId="3034"/>
    <cellStyle name="Normal 3 2 6 3 3 2" xfId="4008"/>
    <cellStyle name="Normal 3 2 6 3 3 2 2" xfId="4848"/>
    <cellStyle name="Normal 3 2 6 3 3 2 2 2" xfId="6516"/>
    <cellStyle name="Normal 3 2 6 3 3 2 2 2 2" xfId="9851"/>
    <cellStyle name="Normal 3 2 6 3 3 2 2 2 2 2" xfId="20567"/>
    <cellStyle name="Normal 3 2 6 3 3 2 2 2 3" xfId="13179"/>
    <cellStyle name="Normal 3 2 6 3 3 2 2 2 3 2" xfId="23895"/>
    <cellStyle name="Normal 3 2 6 3 3 2 2 2 4" xfId="17239"/>
    <cellStyle name="Normal 3 2 6 3 3 2 2 3" xfId="8187"/>
    <cellStyle name="Normal 3 2 6 3 3 2 2 3 2" xfId="18903"/>
    <cellStyle name="Normal 3 2 6 3 3 2 2 4" xfId="11515"/>
    <cellStyle name="Normal 3 2 6 3 3 2 2 4 2" xfId="22231"/>
    <cellStyle name="Normal 3 2 6 3 3 2 2 5" xfId="15575"/>
    <cellStyle name="Normal 3 2 6 3 3 2 3" xfId="5684"/>
    <cellStyle name="Normal 3 2 6 3 3 2 3 2" xfId="9019"/>
    <cellStyle name="Normal 3 2 6 3 3 2 3 2 2" xfId="19735"/>
    <cellStyle name="Normal 3 2 6 3 3 2 3 3" xfId="12347"/>
    <cellStyle name="Normal 3 2 6 3 3 2 3 3 2" xfId="23063"/>
    <cellStyle name="Normal 3 2 6 3 3 2 3 4" xfId="16407"/>
    <cellStyle name="Normal 3 2 6 3 3 2 4" xfId="7355"/>
    <cellStyle name="Normal 3 2 6 3 3 2 4 2" xfId="18071"/>
    <cellStyle name="Normal 3 2 6 3 3 2 5" xfId="10683"/>
    <cellStyle name="Normal 3 2 6 3 3 2 5 2" xfId="21399"/>
    <cellStyle name="Normal 3 2 6 3 3 2 6" xfId="14743"/>
    <cellStyle name="Normal 3 2 6 3 3 3" xfId="4432"/>
    <cellStyle name="Normal 3 2 6 3 3 3 2" xfId="6100"/>
    <cellStyle name="Normal 3 2 6 3 3 3 2 2" xfId="9435"/>
    <cellStyle name="Normal 3 2 6 3 3 3 2 2 2" xfId="20151"/>
    <cellStyle name="Normal 3 2 6 3 3 3 2 3" xfId="12763"/>
    <cellStyle name="Normal 3 2 6 3 3 3 2 3 2" xfId="23479"/>
    <cellStyle name="Normal 3 2 6 3 3 3 2 4" xfId="16823"/>
    <cellStyle name="Normal 3 2 6 3 3 3 3" xfId="7771"/>
    <cellStyle name="Normal 3 2 6 3 3 3 3 2" xfId="18487"/>
    <cellStyle name="Normal 3 2 6 3 3 3 4" xfId="11099"/>
    <cellStyle name="Normal 3 2 6 3 3 3 4 2" xfId="21815"/>
    <cellStyle name="Normal 3 2 6 3 3 3 5" xfId="15159"/>
    <cellStyle name="Normal 3 2 6 3 3 4" xfId="5268"/>
    <cellStyle name="Normal 3 2 6 3 3 4 2" xfId="8603"/>
    <cellStyle name="Normal 3 2 6 3 3 4 2 2" xfId="19319"/>
    <cellStyle name="Normal 3 2 6 3 3 4 3" xfId="11931"/>
    <cellStyle name="Normal 3 2 6 3 3 4 3 2" xfId="22647"/>
    <cellStyle name="Normal 3 2 6 3 3 4 4" xfId="15991"/>
    <cellStyle name="Normal 3 2 6 3 3 5" xfId="6938"/>
    <cellStyle name="Normal 3 2 6 3 3 5 2" xfId="17655"/>
    <cellStyle name="Normal 3 2 6 3 3 6" xfId="10267"/>
    <cellStyle name="Normal 3 2 6 3 3 6 2" xfId="20983"/>
    <cellStyle name="Normal 3 2 6 3 3 7" xfId="14326"/>
    <cellStyle name="Normal 3 2 6 3 4" xfId="3789"/>
    <cellStyle name="Normal 3 2 6 3 4 2" xfId="4640"/>
    <cellStyle name="Normal 3 2 6 3 4 2 2" xfId="6308"/>
    <cellStyle name="Normal 3 2 6 3 4 2 2 2" xfId="9643"/>
    <cellStyle name="Normal 3 2 6 3 4 2 2 2 2" xfId="20359"/>
    <cellStyle name="Normal 3 2 6 3 4 2 2 3" xfId="12971"/>
    <cellStyle name="Normal 3 2 6 3 4 2 2 3 2" xfId="23687"/>
    <cellStyle name="Normal 3 2 6 3 4 2 2 4" xfId="17031"/>
    <cellStyle name="Normal 3 2 6 3 4 2 3" xfId="7979"/>
    <cellStyle name="Normal 3 2 6 3 4 2 3 2" xfId="18695"/>
    <cellStyle name="Normal 3 2 6 3 4 2 4" xfId="11307"/>
    <cellStyle name="Normal 3 2 6 3 4 2 4 2" xfId="22023"/>
    <cellStyle name="Normal 3 2 6 3 4 2 5" xfId="15367"/>
    <cellStyle name="Normal 3 2 6 3 4 3" xfId="5476"/>
    <cellStyle name="Normal 3 2 6 3 4 3 2" xfId="8811"/>
    <cellStyle name="Normal 3 2 6 3 4 3 2 2" xfId="19527"/>
    <cellStyle name="Normal 3 2 6 3 4 3 3" xfId="12139"/>
    <cellStyle name="Normal 3 2 6 3 4 3 3 2" xfId="22855"/>
    <cellStyle name="Normal 3 2 6 3 4 3 4" xfId="16199"/>
    <cellStyle name="Normal 3 2 6 3 4 4" xfId="7147"/>
    <cellStyle name="Normal 3 2 6 3 4 4 2" xfId="17863"/>
    <cellStyle name="Normal 3 2 6 3 4 5" xfId="10475"/>
    <cellStyle name="Normal 3 2 6 3 4 5 2" xfId="21191"/>
    <cellStyle name="Normal 3 2 6 3 4 6" xfId="14535"/>
    <cellStyle name="Normal 3 2 6 3 5" xfId="4222"/>
    <cellStyle name="Normal 3 2 6 3 5 2" xfId="5892"/>
    <cellStyle name="Normal 3 2 6 3 5 2 2" xfId="9227"/>
    <cellStyle name="Normal 3 2 6 3 5 2 2 2" xfId="19943"/>
    <cellStyle name="Normal 3 2 6 3 5 2 3" xfId="12555"/>
    <cellStyle name="Normal 3 2 6 3 5 2 3 2" xfId="23271"/>
    <cellStyle name="Normal 3 2 6 3 5 2 4" xfId="16615"/>
    <cellStyle name="Normal 3 2 6 3 5 3" xfId="7563"/>
    <cellStyle name="Normal 3 2 6 3 5 3 2" xfId="18279"/>
    <cellStyle name="Normal 3 2 6 3 5 4" xfId="10891"/>
    <cellStyle name="Normal 3 2 6 3 5 4 2" xfId="21607"/>
    <cellStyle name="Normal 3 2 6 3 5 5" xfId="14951"/>
    <cellStyle name="Normal 3 2 6 3 6" xfId="5057"/>
    <cellStyle name="Normal 3 2 6 3 6 2" xfId="8395"/>
    <cellStyle name="Normal 3 2 6 3 6 2 2" xfId="19111"/>
    <cellStyle name="Normal 3 2 6 3 6 3" xfId="11723"/>
    <cellStyle name="Normal 3 2 6 3 6 3 2" xfId="22439"/>
    <cellStyle name="Normal 3 2 6 3 6 4" xfId="15783"/>
    <cellStyle name="Normal 3 2 6 3 7" xfId="6727"/>
    <cellStyle name="Normal 3 2 6 3 7 2" xfId="17447"/>
    <cellStyle name="Normal 3 2 6 3 8" xfId="10059"/>
    <cellStyle name="Normal 3 2 6 3 8 2" xfId="20775"/>
    <cellStyle name="Normal 3 2 6 3 9" xfId="14116"/>
    <cellStyle name="Normal 3 2 6 4" xfId="1347"/>
    <cellStyle name="Normal 3 2 6 4 2" xfId="3036"/>
    <cellStyle name="Normal 3 2 6 4 2 2" xfId="4010"/>
    <cellStyle name="Normal 3 2 6 4 2 2 2" xfId="4850"/>
    <cellStyle name="Normal 3 2 6 4 2 2 2 2" xfId="6518"/>
    <cellStyle name="Normal 3 2 6 4 2 2 2 2 2" xfId="9853"/>
    <cellStyle name="Normal 3 2 6 4 2 2 2 2 2 2" xfId="20569"/>
    <cellStyle name="Normal 3 2 6 4 2 2 2 2 3" xfId="13181"/>
    <cellStyle name="Normal 3 2 6 4 2 2 2 2 3 2" xfId="23897"/>
    <cellStyle name="Normal 3 2 6 4 2 2 2 2 4" xfId="17241"/>
    <cellStyle name="Normal 3 2 6 4 2 2 2 3" xfId="8189"/>
    <cellStyle name="Normal 3 2 6 4 2 2 2 3 2" xfId="18905"/>
    <cellStyle name="Normal 3 2 6 4 2 2 2 4" xfId="11517"/>
    <cellStyle name="Normal 3 2 6 4 2 2 2 4 2" xfId="22233"/>
    <cellStyle name="Normal 3 2 6 4 2 2 2 5" xfId="15577"/>
    <cellStyle name="Normal 3 2 6 4 2 2 3" xfId="5686"/>
    <cellStyle name="Normal 3 2 6 4 2 2 3 2" xfId="9021"/>
    <cellStyle name="Normal 3 2 6 4 2 2 3 2 2" xfId="19737"/>
    <cellStyle name="Normal 3 2 6 4 2 2 3 3" xfId="12349"/>
    <cellStyle name="Normal 3 2 6 4 2 2 3 3 2" xfId="23065"/>
    <cellStyle name="Normal 3 2 6 4 2 2 3 4" xfId="16409"/>
    <cellStyle name="Normal 3 2 6 4 2 2 4" xfId="7357"/>
    <cellStyle name="Normal 3 2 6 4 2 2 4 2" xfId="18073"/>
    <cellStyle name="Normal 3 2 6 4 2 2 5" xfId="10685"/>
    <cellStyle name="Normal 3 2 6 4 2 2 5 2" xfId="21401"/>
    <cellStyle name="Normal 3 2 6 4 2 2 6" xfId="14745"/>
    <cellStyle name="Normal 3 2 6 4 2 3" xfId="4434"/>
    <cellStyle name="Normal 3 2 6 4 2 3 2" xfId="6102"/>
    <cellStyle name="Normal 3 2 6 4 2 3 2 2" xfId="9437"/>
    <cellStyle name="Normal 3 2 6 4 2 3 2 2 2" xfId="20153"/>
    <cellStyle name="Normal 3 2 6 4 2 3 2 3" xfId="12765"/>
    <cellStyle name="Normal 3 2 6 4 2 3 2 3 2" xfId="23481"/>
    <cellStyle name="Normal 3 2 6 4 2 3 2 4" xfId="16825"/>
    <cellStyle name="Normal 3 2 6 4 2 3 3" xfId="7773"/>
    <cellStyle name="Normal 3 2 6 4 2 3 3 2" xfId="18489"/>
    <cellStyle name="Normal 3 2 6 4 2 3 4" xfId="11101"/>
    <cellStyle name="Normal 3 2 6 4 2 3 4 2" xfId="21817"/>
    <cellStyle name="Normal 3 2 6 4 2 3 5" xfId="15161"/>
    <cellStyle name="Normal 3 2 6 4 2 4" xfId="5270"/>
    <cellStyle name="Normal 3 2 6 4 2 4 2" xfId="8605"/>
    <cellStyle name="Normal 3 2 6 4 2 4 2 2" xfId="19321"/>
    <cellStyle name="Normal 3 2 6 4 2 4 3" xfId="11933"/>
    <cellStyle name="Normal 3 2 6 4 2 4 3 2" xfId="22649"/>
    <cellStyle name="Normal 3 2 6 4 2 4 4" xfId="15993"/>
    <cellStyle name="Normal 3 2 6 4 2 5" xfId="6940"/>
    <cellStyle name="Normal 3 2 6 4 2 5 2" xfId="17657"/>
    <cellStyle name="Normal 3 2 6 4 2 6" xfId="10269"/>
    <cellStyle name="Normal 3 2 6 4 2 6 2" xfId="20985"/>
    <cellStyle name="Normal 3 2 6 4 2 7" xfId="14328"/>
    <cellStyle name="Normal 3 2 6 4 3" xfId="3791"/>
    <cellStyle name="Normal 3 2 6 4 3 2" xfId="4642"/>
    <cellStyle name="Normal 3 2 6 4 3 2 2" xfId="6310"/>
    <cellStyle name="Normal 3 2 6 4 3 2 2 2" xfId="9645"/>
    <cellStyle name="Normal 3 2 6 4 3 2 2 2 2" xfId="20361"/>
    <cellStyle name="Normal 3 2 6 4 3 2 2 3" xfId="12973"/>
    <cellStyle name="Normal 3 2 6 4 3 2 2 3 2" xfId="23689"/>
    <cellStyle name="Normal 3 2 6 4 3 2 2 4" xfId="17033"/>
    <cellStyle name="Normal 3 2 6 4 3 2 3" xfId="7981"/>
    <cellStyle name="Normal 3 2 6 4 3 2 3 2" xfId="18697"/>
    <cellStyle name="Normal 3 2 6 4 3 2 4" xfId="11309"/>
    <cellStyle name="Normal 3 2 6 4 3 2 4 2" xfId="22025"/>
    <cellStyle name="Normal 3 2 6 4 3 2 5" xfId="15369"/>
    <cellStyle name="Normal 3 2 6 4 3 3" xfId="5478"/>
    <cellStyle name="Normal 3 2 6 4 3 3 2" xfId="8813"/>
    <cellStyle name="Normal 3 2 6 4 3 3 2 2" xfId="19529"/>
    <cellStyle name="Normal 3 2 6 4 3 3 3" xfId="12141"/>
    <cellStyle name="Normal 3 2 6 4 3 3 3 2" xfId="22857"/>
    <cellStyle name="Normal 3 2 6 4 3 3 4" xfId="16201"/>
    <cellStyle name="Normal 3 2 6 4 3 4" xfId="7149"/>
    <cellStyle name="Normal 3 2 6 4 3 4 2" xfId="17865"/>
    <cellStyle name="Normal 3 2 6 4 3 5" xfId="10477"/>
    <cellStyle name="Normal 3 2 6 4 3 5 2" xfId="21193"/>
    <cellStyle name="Normal 3 2 6 4 3 6" xfId="14537"/>
    <cellStyle name="Normal 3 2 6 4 4" xfId="4224"/>
    <cellStyle name="Normal 3 2 6 4 4 2" xfId="5894"/>
    <cellStyle name="Normal 3 2 6 4 4 2 2" xfId="9229"/>
    <cellStyle name="Normal 3 2 6 4 4 2 2 2" xfId="19945"/>
    <cellStyle name="Normal 3 2 6 4 4 2 3" xfId="12557"/>
    <cellStyle name="Normal 3 2 6 4 4 2 3 2" xfId="23273"/>
    <cellStyle name="Normal 3 2 6 4 4 2 4" xfId="16617"/>
    <cellStyle name="Normal 3 2 6 4 4 3" xfId="7565"/>
    <cellStyle name="Normal 3 2 6 4 4 3 2" xfId="18281"/>
    <cellStyle name="Normal 3 2 6 4 4 4" xfId="10893"/>
    <cellStyle name="Normal 3 2 6 4 4 4 2" xfId="21609"/>
    <cellStyle name="Normal 3 2 6 4 4 5" xfId="14953"/>
    <cellStyle name="Normal 3 2 6 4 5" xfId="5059"/>
    <cellStyle name="Normal 3 2 6 4 5 2" xfId="8397"/>
    <cellStyle name="Normal 3 2 6 4 5 2 2" xfId="19113"/>
    <cellStyle name="Normal 3 2 6 4 5 3" xfId="11725"/>
    <cellStyle name="Normal 3 2 6 4 5 3 2" xfId="22441"/>
    <cellStyle name="Normal 3 2 6 4 5 4" xfId="15785"/>
    <cellStyle name="Normal 3 2 6 4 6" xfId="6729"/>
    <cellStyle name="Normal 3 2 6 4 6 2" xfId="17449"/>
    <cellStyle name="Normal 3 2 6 4 7" xfId="10061"/>
    <cellStyle name="Normal 3 2 6 4 7 2" xfId="20777"/>
    <cellStyle name="Normal 3 2 6 4 8" xfId="14118"/>
    <cellStyle name="Normal 3 2 6 5" xfId="3029"/>
    <cellStyle name="Normal 3 2 6 5 2" xfId="4003"/>
    <cellStyle name="Normal 3 2 6 5 2 2" xfId="4843"/>
    <cellStyle name="Normal 3 2 6 5 2 2 2" xfId="6511"/>
    <cellStyle name="Normal 3 2 6 5 2 2 2 2" xfId="9846"/>
    <cellStyle name="Normal 3 2 6 5 2 2 2 2 2" xfId="20562"/>
    <cellStyle name="Normal 3 2 6 5 2 2 2 3" xfId="13174"/>
    <cellStyle name="Normal 3 2 6 5 2 2 2 3 2" xfId="23890"/>
    <cellStyle name="Normal 3 2 6 5 2 2 2 4" xfId="17234"/>
    <cellStyle name="Normal 3 2 6 5 2 2 3" xfId="8182"/>
    <cellStyle name="Normal 3 2 6 5 2 2 3 2" xfId="18898"/>
    <cellStyle name="Normal 3 2 6 5 2 2 4" xfId="11510"/>
    <cellStyle name="Normal 3 2 6 5 2 2 4 2" xfId="22226"/>
    <cellStyle name="Normal 3 2 6 5 2 2 5" xfId="15570"/>
    <cellStyle name="Normal 3 2 6 5 2 3" xfId="5679"/>
    <cellStyle name="Normal 3 2 6 5 2 3 2" xfId="9014"/>
    <cellStyle name="Normal 3 2 6 5 2 3 2 2" xfId="19730"/>
    <cellStyle name="Normal 3 2 6 5 2 3 3" xfId="12342"/>
    <cellStyle name="Normal 3 2 6 5 2 3 3 2" xfId="23058"/>
    <cellStyle name="Normal 3 2 6 5 2 3 4" xfId="16402"/>
    <cellStyle name="Normal 3 2 6 5 2 4" xfId="7350"/>
    <cellStyle name="Normal 3 2 6 5 2 4 2" xfId="18066"/>
    <cellStyle name="Normal 3 2 6 5 2 5" xfId="10678"/>
    <cellStyle name="Normal 3 2 6 5 2 5 2" xfId="21394"/>
    <cellStyle name="Normal 3 2 6 5 2 6" xfId="14738"/>
    <cellStyle name="Normal 3 2 6 5 3" xfId="4427"/>
    <cellStyle name="Normal 3 2 6 5 3 2" xfId="6095"/>
    <cellStyle name="Normal 3 2 6 5 3 2 2" xfId="9430"/>
    <cellStyle name="Normal 3 2 6 5 3 2 2 2" xfId="20146"/>
    <cellStyle name="Normal 3 2 6 5 3 2 3" xfId="12758"/>
    <cellStyle name="Normal 3 2 6 5 3 2 3 2" xfId="23474"/>
    <cellStyle name="Normal 3 2 6 5 3 2 4" xfId="16818"/>
    <cellStyle name="Normal 3 2 6 5 3 3" xfId="7766"/>
    <cellStyle name="Normal 3 2 6 5 3 3 2" xfId="18482"/>
    <cellStyle name="Normal 3 2 6 5 3 4" xfId="11094"/>
    <cellStyle name="Normal 3 2 6 5 3 4 2" xfId="21810"/>
    <cellStyle name="Normal 3 2 6 5 3 5" xfId="15154"/>
    <cellStyle name="Normal 3 2 6 5 4" xfId="5263"/>
    <cellStyle name="Normal 3 2 6 5 4 2" xfId="8598"/>
    <cellStyle name="Normal 3 2 6 5 4 2 2" xfId="19314"/>
    <cellStyle name="Normal 3 2 6 5 4 3" xfId="11926"/>
    <cellStyle name="Normal 3 2 6 5 4 3 2" xfId="22642"/>
    <cellStyle name="Normal 3 2 6 5 4 4" xfId="15986"/>
    <cellStyle name="Normal 3 2 6 5 5" xfId="6933"/>
    <cellStyle name="Normal 3 2 6 5 5 2" xfId="17650"/>
    <cellStyle name="Normal 3 2 6 5 6" xfId="10262"/>
    <cellStyle name="Normal 3 2 6 5 6 2" xfId="20978"/>
    <cellStyle name="Normal 3 2 6 5 7" xfId="14321"/>
    <cellStyle name="Normal 3 2 6 6" xfId="3784"/>
    <cellStyle name="Normal 3 2 6 6 2" xfId="4635"/>
    <cellStyle name="Normal 3 2 6 6 2 2" xfId="6303"/>
    <cellStyle name="Normal 3 2 6 6 2 2 2" xfId="9638"/>
    <cellStyle name="Normal 3 2 6 6 2 2 2 2" xfId="20354"/>
    <cellStyle name="Normal 3 2 6 6 2 2 3" xfId="12966"/>
    <cellStyle name="Normal 3 2 6 6 2 2 3 2" xfId="23682"/>
    <cellStyle name="Normal 3 2 6 6 2 2 4" xfId="17026"/>
    <cellStyle name="Normal 3 2 6 6 2 3" xfId="7974"/>
    <cellStyle name="Normal 3 2 6 6 2 3 2" xfId="18690"/>
    <cellStyle name="Normal 3 2 6 6 2 4" xfId="11302"/>
    <cellStyle name="Normal 3 2 6 6 2 4 2" xfId="22018"/>
    <cellStyle name="Normal 3 2 6 6 2 5" xfId="15362"/>
    <cellStyle name="Normal 3 2 6 6 3" xfId="5471"/>
    <cellStyle name="Normal 3 2 6 6 3 2" xfId="8806"/>
    <cellStyle name="Normal 3 2 6 6 3 2 2" xfId="19522"/>
    <cellStyle name="Normal 3 2 6 6 3 3" xfId="12134"/>
    <cellStyle name="Normal 3 2 6 6 3 3 2" xfId="22850"/>
    <cellStyle name="Normal 3 2 6 6 3 4" xfId="16194"/>
    <cellStyle name="Normal 3 2 6 6 4" xfId="7142"/>
    <cellStyle name="Normal 3 2 6 6 4 2" xfId="17858"/>
    <cellStyle name="Normal 3 2 6 6 5" xfId="10470"/>
    <cellStyle name="Normal 3 2 6 6 5 2" xfId="21186"/>
    <cellStyle name="Normal 3 2 6 6 6" xfId="14530"/>
    <cellStyle name="Normal 3 2 6 7" xfId="4217"/>
    <cellStyle name="Normal 3 2 6 7 2" xfId="5887"/>
    <cellStyle name="Normal 3 2 6 7 2 2" xfId="9222"/>
    <cellStyle name="Normal 3 2 6 7 2 2 2" xfId="19938"/>
    <cellStyle name="Normal 3 2 6 7 2 3" xfId="12550"/>
    <cellStyle name="Normal 3 2 6 7 2 3 2" xfId="23266"/>
    <cellStyle name="Normal 3 2 6 7 2 4" xfId="16610"/>
    <cellStyle name="Normal 3 2 6 7 3" xfId="7558"/>
    <cellStyle name="Normal 3 2 6 7 3 2" xfId="18274"/>
    <cellStyle name="Normal 3 2 6 7 4" xfId="10886"/>
    <cellStyle name="Normal 3 2 6 7 4 2" xfId="21602"/>
    <cellStyle name="Normal 3 2 6 7 5" xfId="14946"/>
    <cellStyle name="Normal 3 2 6 8" xfId="5052"/>
    <cellStyle name="Normal 3 2 6 8 2" xfId="8390"/>
    <cellStyle name="Normal 3 2 6 8 2 2" xfId="19106"/>
    <cellStyle name="Normal 3 2 6 8 3" xfId="11718"/>
    <cellStyle name="Normal 3 2 6 8 3 2" xfId="22434"/>
    <cellStyle name="Normal 3 2 6 8 4" xfId="15778"/>
    <cellStyle name="Normal 3 2 6 9" xfId="6722"/>
    <cellStyle name="Normal 3 2 6 9 2" xfId="17442"/>
    <cellStyle name="Normal 3 2 7" xfId="1348"/>
    <cellStyle name="Normal 3 2 7 2" xfId="1349"/>
    <cellStyle name="Normal 3 2 7 2 2" xfId="3038"/>
    <cellStyle name="Normal 3 2 7 3" xfId="1350"/>
    <cellStyle name="Normal 3 2 7 3 2" xfId="3039"/>
    <cellStyle name="Normal 3 2 7 3 2 2" xfId="4011"/>
    <cellStyle name="Normal 3 2 7 3 2 2 2" xfId="4851"/>
    <cellStyle name="Normal 3 2 7 3 2 2 2 2" xfId="6519"/>
    <cellStyle name="Normal 3 2 7 3 2 2 2 2 2" xfId="9854"/>
    <cellStyle name="Normal 3 2 7 3 2 2 2 2 2 2" xfId="20570"/>
    <cellStyle name="Normal 3 2 7 3 2 2 2 2 3" xfId="13182"/>
    <cellStyle name="Normal 3 2 7 3 2 2 2 2 3 2" xfId="23898"/>
    <cellStyle name="Normal 3 2 7 3 2 2 2 2 4" xfId="17242"/>
    <cellStyle name="Normal 3 2 7 3 2 2 2 3" xfId="8190"/>
    <cellStyle name="Normal 3 2 7 3 2 2 2 3 2" xfId="18906"/>
    <cellStyle name="Normal 3 2 7 3 2 2 2 4" xfId="11518"/>
    <cellStyle name="Normal 3 2 7 3 2 2 2 4 2" xfId="22234"/>
    <cellStyle name="Normal 3 2 7 3 2 2 2 5" xfId="15578"/>
    <cellStyle name="Normal 3 2 7 3 2 2 3" xfId="5687"/>
    <cellStyle name="Normal 3 2 7 3 2 2 3 2" xfId="9022"/>
    <cellStyle name="Normal 3 2 7 3 2 2 3 2 2" xfId="19738"/>
    <cellStyle name="Normal 3 2 7 3 2 2 3 3" xfId="12350"/>
    <cellStyle name="Normal 3 2 7 3 2 2 3 3 2" xfId="23066"/>
    <cellStyle name="Normal 3 2 7 3 2 2 3 4" xfId="16410"/>
    <cellStyle name="Normal 3 2 7 3 2 2 4" xfId="7358"/>
    <cellStyle name="Normal 3 2 7 3 2 2 4 2" xfId="18074"/>
    <cellStyle name="Normal 3 2 7 3 2 2 5" xfId="10686"/>
    <cellStyle name="Normal 3 2 7 3 2 2 5 2" xfId="21402"/>
    <cellStyle name="Normal 3 2 7 3 2 2 6" xfId="14746"/>
    <cellStyle name="Normal 3 2 7 3 2 3" xfId="4435"/>
    <cellStyle name="Normal 3 2 7 3 2 3 2" xfId="6103"/>
    <cellStyle name="Normal 3 2 7 3 2 3 2 2" xfId="9438"/>
    <cellStyle name="Normal 3 2 7 3 2 3 2 2 2" xfId="20154"/>
    <cellStyle name="Normal 3 2 7 3 2 3 2 3" xfId="12766"/>
    <cellStyle name="Normal 3 2 7 3 2 3 2 3 2" xfId="23482"/>
    <cellStyle name="Normal 3 2 7 3 2 3 2 4" xfId="16826"/>
    <cellStyle name="Normal 3 2 7 3 2 3 3" xfId="7774"/>
    <cellStyle name="Normal 3 2 7 3 2 3 3 2" xfId="18490"/>
    <cellStyle name="Normal 3 2 7 3 2 3 4" xfId="11102"/>
    <cellStyle name="Normal 3 2 7 3 2 3 4 2" xfId="21818"/>
    <cellStyle name="Normal 3 2 7 3 2 3 5" xfId="15162"/>
    <cellStyle name="Normal 3 2 7 3 2 4" xfId="5271"/>
    <cellStyle name="Normal 3 2 7 3 2 4 2" xfId="8606"/>
    <cellStyle name="Normal 3 2 7 3 2 4 2 2" xfId="19322"/>
    <cellStyle name="Normal 3 2 7 3 2 4 3" xfId="11934"/>
    <cellStyle name="Normal 3 2 7 3 2 4 3 2" xfId="22650"/>
    <cellStyle name="Normal 3 2 7 3 2 4 4" xfId="15994"/>
    <cellStyle name="Normal 3 2 7 3 2 5" xfId="6941"/>
    <cellStyle name="Normal 3 2 7 3 2 5 2" xfId="17658"/>
    <cellStyle name="Normal 3 2 7 3 2 6" xfId="10270"/>
    <cellStyle name="Normal 3 2 7 3 2 6 2" xfId="20986"/>
    <cellStyle name="Normal 3 2 7 3 2 7" xfId="14329"/>
    <cellStyle name="Normal 3 2 7 3 3" xfId="3792"/>
    <cellStyle name="Normal 3 2 7 3 3 2" xfId="4643"/>
    <cellStyle name="Normal 3 2 7 3 3 2 2" xfId="6311"/>
    <cellStyle name="Normal 3 2 7 3 3 2 2 2" xfId="9646"/>
    <cellStyle name="Normal 3 2 7 3 3 2 2 2 2" xfId="20362"/>
    <cellStyle name="Normal 3 2 7 3 3 2 2 3" xfId="12974"/>
    <cellStyle name="Normal 3 2 7 3 3 2 2 3 2" xfId="23690"/>
    <cellStyle name="Normal 3 2 7 3 3 2 2 4" xfId="17034"/>
    <cellStyle name="Normal 3 2 7 3 3 2 3" xfId="7982"/>
    <cellStyle name="Normal 3 2 7 3 3 2 3 2" xfId="18698"/>
    <cellStyle name="Normal 3 2 7 3 3 2 4" xfId="11310"/>
    <cellStyle name="Normal 3 2 7 3 3 2 4 2" xfId="22026"/>
    <cellStyle name="Normal 3 2 7 3 3 2 5" xfId="15370"/>
    <cellStyle name="Normal 3 2 7 3 3 3" xfId="5479"/>
    <cellStyle name="Normal 3 2 7 3 3 3 2" xfId="8814"/>
    <cellStyle name="Normal 3 2 7 3 3 3 2 2" xfId="19530"/>
    <cellStyle name="Normal 3 2 7 3 3 3 3" xfId="12142"/>
    <cellStyle name="Normal 3 2 7 3 3 3 3 2" xfId="22858"/>
    <cellStyle name="Normal 3 2 7 3 3 3 4" xfId="16202"/>
    <cellStyle name="Normal 3 2 7 3 3 4" xfId="7150"/>
    <cellStyle name="Normal 3 2 7 3 3 4 2" xfId="17866"/>
    <cellStyle name="Normal 3 2 7 3 3 5" xfId="10478"/>
    <cellStyle name="Normal 3 2 7 3 3 5 2" xfId="21194"/>
    <cellStyle name="Normal 3 2 7 3 3 6" xfId="14538"/>
    <cellStyle name="Normal 3 2 7 3 4" xfId="4225"/>
    <cellStyle name="Normal 3 2 7 3 4 2" xfId="5895"/>
    <cellStyle name="Normal 3 2 7 3 4 2 2" xfId="9230"/>
    <cellStyle name="Normal 3 2 7 3 4 2 2 2" xfId="19946"/>
    <cellStyle name="Normal 3 2 7 3 4 2 3" xfId="12558"/>
    <cellStyle name="Normal 3 2 7 3 4 2 3 2" xfId="23274"/>
    <cellStyle name="Normal 3 2 7 3 4 2 4" xfId="16618"/>
    <cellStyle name="Normal 3 2 7 3 4 3" xfId="7566"/>
    <cellStyle name="Normal 3 2 7 3 4 3 2" xfId="18282"/>
    <cellStyle name="Normal 3 2 7 3 4 4" xfId="10894"/>
    <cellStyle name="Normal 3 2 7 3 4 4 2" xfId="21610"/>
    <cellStyle name="Normal 3 2 7 3 4 5" xfId="14954"/>
    <cellStyle name="Normal 3 2 7 3 5" xfId="5060"/>
    <cellStyle name="Normal 3 2 7 3 5 2" xfId="8398"/>
    <cellStyle name="Normal 3 2 7 3 5 2 2" xfId="19114"/>
    <cellStyle name="Normal 3 2 7 3 5 3" xfId="11726"/>
    <cellStyle name="Normal 3 2 7 3 5 3 2" xfId="22442"/>
    <cellStyle name="Normal 3 2 7 3 5 4" xfId="15786"/>
    <cellStyle name="Normal 3 2 7 3 6" xfId="6730"/>
    <cellStyle name="Normal 3 2 7 3 6 2" xfId="17450"/>
    <cellStyle name="Normal 3 2 7 3 7" xfId="10062"/>
    <cellStyle name="Normal 3 2 7 3 7 2" xfId="20778"/>
    <cellStyle name="Normal 3 2 7 3 8" xfId="14119"/>
    <cellStyle name="Normal 3 2 7 4" xfId="1351"/>
    <cellStyle name="Normal 3 2 7 4 2" xfId="3040"/>
    <cellStyle name="Normal 3 2 7 4 2 2" xfId="4012"/>
    <cellStyle name="Normal 3 2 7 4 2 2 2" xfId="4852"/>
    <cellStyle name="Normal 3 2 7 4 2 2 2 2" xfId="6520"/>
    <cellStyle name="Normal 3 2 7 4 2 2 2 2 2" xfId="9855"/>
    <cellStyle name="Normal 3 2 7 4 2 2 2 2 2 2" xfId="20571"/>
    <cellStyle name="Normal 3 2 7 4 2 2 2 2 3" xfId="13183"/>
    <cellStyle name="Normal 3 2 7 4 2 2 2 2 3 2" xfId="23899"/>
    <cellStyle name="Normal 3 2 7 4 2 2 2 2 4" xfId="17243"/>
    <cellStyle name="Normal 3 2 7 4 2 2 2 3" xfId="8191"/>
    <cellStyle name="Normal 3 2 7 4 2 2 2 3 2" xfId="18907"/>
    <cellStyle name="Normal 3 2 7 4 2 2 2 4" xfId="11519"/>
    <cellStyle name="Normal 3 2 7 4 2 2 2 4 2" xfId="22235"/>
    <cellStyle name="Normal 3 2 7 4 2 2 2 5" xfId="15579"/>
    <cellStyle name="Normal 3 2 7 4 2 2 3" xfId="5688"/>
    <cellStyle name="Normal 3 2 7 4 2 2 3 2" xfId="9023"/>
    <cellStyle name="Normal 3 2 7 4 2 2 3 2 2" xfId="19739"/>
    <cellStyle name="Normal 3 2 7 4 2 2 3 3" xfId="12351"/>
    <cellStyle name="Normal 3 2 7 4 2 2 3 3 2" xfId="23067"/>
    <cellStyle name="Normal 3 2 7 4 2 2 3 4" xfId="16411"/>
    <cellStyle name="Normal 3 2 7 4 2 2 4" xfId="7359"/>
    <cellStyle name="Normal 3 2 7 4 2 2 4 2" xfId="18075"/>
    <cellStyle name="Normal 3 2 7 4 2 2 5" xfId="10687"/>
    <cellStyle name="Normal 3 2 7 4 2 2 5 2" xfId="21403"/>
    <cellStyle name="Normal 3 2 7 4 2 2 6" xfId="14747"/>
    <cellStyle name="Normal 3 2 7 4 2 3" xfId="4436"/>
    <cellStyle name="Normal 3 2 7 4 2 3 2" xfId="6104"/>
    <cellStyle name="Normal 3 2 7 4 2 3 2 2" xfId="9439"/>
    <cellStyle name="Normal 3 2 7 4 2 3 2 2 2" xfId="20155"/>
    <cellStyle name="Normal 3 2 7 4 2 3 2 3" xfId="12767"/>
    <cellStyle name="Normal 3 2 7 4 2 3 2 3 2" xfId="23483"/>
    <cellStyle name="Normal 3 2 7 4 2 3 2 4" xfId="16827"/>
    <cellStyle name="Normal 3 2 7 4 2 3 3" xfId="7775"/>
    <cellStyle name="Normal 3 2 7 4 2 3 3 2" xfId="18491"/>
    <cellStyle name="Normal 3 2 7 4 2 3 4" xfId="11103"/>
    <cellStyle name="Normal 3 2 7 4 2 3 4 2" xfId="21819"/>
    <cellStyle name="Normal 3 2 7 4 2 3 5" xfId="15163"/>
    <cellStyle name="Normal 3 2 7 4 2 4" xfId="5272"/>
    <cellStyle name="Normal 3 2 7 4 2 4 2" xfId="8607"/>
    <cellStyle name="Normal 3 2 7 4 2 4 2 2" xfId="19323"/>
    <cellStyle name="Normal 3 2 7 4 2 4 3" xfId="11935"/>
    <cellStyle name="Normal 3 2 7 4 2 4 3 2" xfId="22651"/>
    <cellStyle name="Normal 3 2 7 4 2 4 4" xfId="15995"/>
    <cellStyle name="Normal 3 2 7 4 2 5" xfId="6942"/>
    <cellStyle name="Normal 3 2 7 4 2 5 2" xfId="17659"/>
    <cellStyle name="Normal 3 2 7 4 2 6" xfId="10271"/>
    <cellStyle name="Normal 3 2 7 4 2 6 2" xfId="20987"/>
    <cellStyle name="Normal 3 2 7 4 2 7" xfId="14330"/>
    <cellStyle name="Normal 3 2 7 4 3" xfId="3793"/>
    <cellStyle name="Normal 3 2 7 4 3 2" xfId="4644"/>
    <cellStyle name="Normal 3 2 7 4 3 2 2" xfId="6312"/>
    <cellStyle name="Normal 3 2 7 4 3 2 2 2" xfId="9647"/>
    <cellStyle name="Normal 3 2 7 4 3 2 2 2 2" xfId="20363"/>
    <cellStyle name="Normal 3 2 7 4 3 2 2 3" xfId="12975"/>
    <cellStyle name="Normal 3 2 7 4 3 2 2 3 2" xfId="23691"/>
    <cellStyle name="Normal 3 2 7 4 3 2 2 4" xfId="17035"/>
    <cellStyle name="Normal 3 2 7 4 3 2 3" xfId="7983"/>
    <cellStyle name="Normal 3 2 7 4 3 2 3 2" xfId="18699"/>
    <cellStyle name="Normal 3 2 7 4 3 2 4" xfId="11311"/>
    <cellStyle name="Normal 3 2 7 4 3 2 4 2" xfId="22027"/>
    <cellStyle name="Normal 3 2 7 4 3 2 5" xfId="15371"/>
    <cellStyle name="Normal 3 2 7 4 3 3" xfId="5480"/>
    <cellStyle name="Normal 3 2 7 4 3 3 2" xfId="8815"/>
    <cellStyle name="Normal 3 2 7 4 3 3 2 2" xfId="19531"/>
    <cellStyle name="Normal 3 2 7 4 3 3 3" xfId="12143"/>
    <cellStyle name="Normal 3 2 7 4 3 3 3 2" xfId="22859"/>
    <cellStyle name="Normal 3 2 7 4 3 3 4" xfId="16203"/>
    <cellStyle name="Normal 3 2 7 4 3 4" xfId="7151"/>
    <cellStyle name="Normal 3 2 7 4 3 4 2" xfId="17867"/>
    <cellStyle name="Normal 3 2 7 4 3 5" xfId="10479"/>
    <cellStyle name="Normal 3 2 7 4 3 5 2" xfId="21195"/>
    <cellStyle name="Normal 3 2 7 4 3 6" xfId="14539"/>
    <cellStyle name="Normal 3 2 7 4 4" xfId="4226"/>
    <cellStyle name="Normal 3 2 7 4 4 2" xfId="5896"/>
    <cellStyle name="Normal 3 2 7 4 4 2 2" xfId="9231"/>
    <cellStyle name="Normal 3 2 7 4 4 2 2 2" xfId="19947"/>
    <cellStyle name="Normal 3 2 7 4 4 2 3" xfId="12559"/>
    <cellStyle name="Normal 3 2 7 4 4 2 3 2" xfId="23275"/>
    <cellStyle name="Normal 3 2 7 4 4 2 4" xfId="16619"/>
    <cellStyle name="Normal 3 2 7 4 4 3" xfId="7567"/>
    <cellStyle name="Normal 3 2 7 4 4 3 2" xfId="18283"/>
    <cellStyle name="Normal 3 2 7 4 4 4" xfId="10895"/>
    <cellStyle name="Normal 3 2 7 4 4 4 2" xfId="21611"/>
    <cellStyle name="Normal 3 2 7 4 4 5" xfId="14955"/>
    <cellStyle name="Normal 3 2 7 4 5" xfId="5061"/>
    <cellStyle name="Normal 3 2 7 4 5 2" xfId="8399"/>
    <cellStyle name="Normal 3 2 7 4 5 2 2" xfId="19115"/>
    <cellStyle name="Normal 3 2 7 4 5 3" xfId="11727"/>
    <cellStyle name="Normal 3 2 7 4 5 3 2" xfId="22443"/>
    <cellStyle name="Normal 3 2 7 4 5 4" xfId="15787"/>
    <cellStyle name="Normal 3 2 7 4 6" xfId="6731"/>
    <cellStyle name="Normal 3 2 7 4 6 2" xfId="17451"/>
    <cellStyle name="Normal 3 2 7 4 7" xfId="10063"/>
    <cellStyle name="Normal 3 2 7 4 7 2" xfId="20779"/>
    <cellStyle name="Normal 3 2 7 4 8" xfId="14120"/>
    <cellStyle name="Normal 3 2 7 5" xfId="3037"/>
    <cellStyle name="Normal 3 2 8" xfId="1352"/>
    <cellStyle name="Normal 3 2 9" xfId="13851"/>
    <cellStyle name="Normal 3 3" xfId="1353"/>
    <cellStyle name="Normal 3 3 2" xfId="1354"/>
    <cellStyle name="Normal 3 3 2 2" xfId="3042"/>
    <cellStyle name="Normal 3 3 3" xfId="1355"/>
    <cellStyle name="Normal 3 3 3 2" xfId="3043"/>
    <cellStyle name="Normal 3 3 4" xfId="1356"/>
    <cellStyle name="Normal 3 3 5" xfId="3041"/>
    <cellStyle name="Normal 3 4" xfId="1357"/>
    <cellStyle name="Normal 3 4 2" xfId="3044"/>
    <cellStyle name="Normal 3 5" xfId="3006"/>
    <cellStyle name="Normal 3 6" xfId="13850"/>
    <cellStyle name="Normal 30" xfId="1358"/>
    <cellStyle name="Normal 30 2" xfId="3045"/>
    <cellStyle name="Normal 31" xfId="1359"/>
    <cellStyle name="Normal 31 2" xfId="3046"/>
    <cellStyle name="Normal 32" xfId="1360"/>
    <cellStyle name="Normal 32 2" xfId="3047"/>
    <cellStyle name="Normal 33" xfId="1361"/>
    <cellStyle name="Normal 33 2" xfId="3048"/>
    <cellStyle name="Normal 34" xfId="1362"/>
    <cellStyle name="Normal 34 2" xfId="1363"/>
    <cellStyle name="Normal 34 2 2" xfId="3050"/>
    <cellStyle name="Normal 34 3" xfId="1364"/>
    <cellStyle name="Normal 34 3 2" xfId="3051"/>
    <cellStyle name="Normal 34 4" xfId="3049"/>
    <cellStyle name="Normal 35" xfId="1365"/>
    <cellStyle name="Normal 35 2" xfId="3052"/>
    <cellStyle name="Normal 36" xfId="1366"/>
    <cellStyle name="Normal 36 2" xfId="1367"/>
    <cellStyle name="Normal 36 2 2" xfId="3054"/>
    <cellStyle name="Normal 36 3" xfId="3053"/>
    <cellStyle name="Normal 37" xfId="1368"/>
    <cellStyle name="Normal 37 2" xfId="1369"/>
    <cellStyle name="Normal 37 2 2" xfId="3056"/>
    <cellStyle name="Normal 37 3" xfId="3055"/>
    <cellStyle name="Normal 38" xfId="1370"/>
    <cellStyle name="Normal 38 2" xfId="1371"/>
    <cellStyle name="Normal 38 3" xfId="3057"/>
    <cellStyle name="Normal 39" xfId="1372"/>
    <cellStyle name="Normal 39 2" xfId="1373"/>
    <cellStyle name="Normal 39 2 2" xfId="3059"/>
    <cellStyle name="Normal 39 3" xfId="3058"/>
    <cellStyle name="Normal 4" xfId="1374"/>
    <cellStyle name="Normal 4 10" xfId="1375"/>
    <cellStyle name="Normal 4 10 2" xfId="1376"/>
    <cellStyle name="Normal 4 10 2 2" xfId="3062"/>
    <cellStyle name="Normal 4 10 2 2 2" xfId="4015"/>
    <cellStyle name="Normal 4 10 2 2 2 2" xfId="4855"/>
    <cellStyle name="Normal 4 10 2 2 2 2 2" xfId="6523"/>
    <cellStyle name="Normal 4 10 2 2 2 2 2 2" xfId="9858"/>
    <cellStyle name="Normal 4 10 2 2 2 2 2 2 2" xfId="20574"/>
    <cellStyle name="Normal 4 10 2 2 2 2 2 3" xfId="13186"/>
    <cellStyle name="Normal 4 10 2 2 2 2 2 3 2" xfId="23902"/>
    <cellStyle name="Normal 4 10 2 2 2 2 2 4" xfId="17246"/>
    <cellStyle name="Normal 4 10 2 2 2 2 3" xfId="8194"/>
    <cellStyle name="Normal 4 10 2 2 2 2 3 2" xfId="18910"/>
    <cellStyle name="Normal 4 10 2 2 2 2 4" xfId="11522"/>
    <cellStyle name="Normal 4 10 2 2 2 2 4 2" xfId="22238"/>
    <cellStyle name="Normal 4 10 2 2 2 2 5" xfId="15582"/>
    <cellStyle name="Normal 4 10 2 2 2 3" xfId="5691"/>
    <cellStyle name="Normal 4 10 2 2 2 3 2" xfId="9026"/>
    <cellStyle name="Normal 4 10 2 2 2 3 2 2" xfId="19742"/>
    <cellStyle name="Normal 4 10 2 2 2 3 3" xfId="12354"/>
    <cellStyle name="Normal 4 10 2 2 2 3 3 2" xfId="23070"/>
    <cellStyle name="Normal 4 10 2 2 2 3 4" xfId="16414"/>
    <cellStyle name="Normal 4 10 2 2 2 4" xfId="7362"/>
    <cellStyle name="Normal 4 10 2 2 2 4 2" xfId="18078"/>
    <cellStyle name="Normal 4 10 2 2 2 5" xfId="10690"/>
    <cellStyle name="Normal 4 10 2 2 2 5 2" xfId="21406"/>
    <cellStyle name="Normal 4 10 2 2 2 6" xfId="14750"/>
    <cellStyle name="Normal 4 10 2 2 3" xfId="4439"/>
    <cellStyle name="Normal 4 10 2 2 3 2" xfId="6107"/>
    <cellStyle name="Normal 4 10 2 2 3 2 2" xfId="9442"/>
    <cellStyle name="Normal 4 10 2 2 3 2 2 2" xfId="20158"/>
    <cellStyle name="Normal 4 10 2 2 3 2 3" xfId="12770"/>
    <cellStyle name="Normal 4 10 2 2 3 2 3 2" xfId="23486"/>
    <cellStyle name="Normal 4 10 2 2 3 2 4" xfId="16830"/>
    <cellStyle name="Normal 4 10 2 2 3 3" xfId="7778"/>
    <cellStyle name="Normal 4 10 2 2 3 3 2" xfId="18494"/>
    <cellStyle name="Normal 4 10 2 2 3 4" xfId="11106"/>
    <cellStyle name="Normal 4 10 2 2 3 4 2" xfId="21822"/>
    <cellStyle name="Normal 4 10 2 2 3 5" xfId="15166"/>
    <cellStyle name="Normal 4 10 2 2 4" xfId="5275"/>
    <cellStyle name="Normal 4 10 2 2 4 2" xfId="8610"/>
    <cellStyle name="Normal 4 10 2 2 4 2 2" xfId="19326"/>
    <cellStyle name="Normal 4 10 2 2 4 3" xfId="11938"/>
    <cellStyle name="Normal 4 10 2 2 4 3 2" xfId="22654"/>
    <cellStyle name="Normal 4 10 2 2 4 4" xfId="15998"/>
    <cellStyle name="Normal 4 10 2 2 5" xfId="6945"/>
    <cellStyle name="Normal 4 10 2 2 5 2" xfId="17662"/>
    <cellStyle name="Normal 4 10 2 2 6" xfId="10274"/>
    <cellStyle name="Normal 4 10 2 2 6 2" xfId="20990"/>
    <cellStyle name="Normal 4 10 2 2 7" xfId="14333"/>
    <cellStyle name="Normal 4 10 2 3" xfId="3796"/>
    <cellStyle name="Normal 4 10 2 3 2" xfId="4647"/>
    <cellStyle name="Normal 4 10 2 3 2 2" xfId="6315"/>
    <cellStyle name="Normal 4 10 2 3 2 2 2" xfId="9650"/>
    <cellStyle name="Normal 4 10 2 3 2 2 2 2" xfId="20366"/>
    <cellStyle name="Normal 4 10 2 3 2 2 3" xfId="12978"/>
    <cellStyle name="Normal 4 10 2 3 2 2 3 2" xfId="23694"/>
    <cellStyle name="Normal 4 10 2 3 2 2 4" xfId="17038"/>
    <cellStyle name="Normal 4 10 2 3 2 3" xfId="7986"/>
    <cellStyle name="Normal 4 10 2 3 2 3 2" xfId="18702"/>
    <cellStyle name="Normal 4 10 2 3 2 4" xfId="11314"/>
    <cellStyle name="Normal 4 10 2 3 2 4 2" xfId="22030"/>
    <cellStyle name="Normal 4 10 2 3 2 5" xfId="15374"/>
    <cellStyle name="Normal 4 10 2 3 3" xfId="5483"/>
    <cellStyle name="Normal 4 10 2 3 3 2" xfId="8818"/>
    <cellStyle name="Normal 4 10 2 3 3 2 2" xfId="19534"/>
    <cellStyle name="Normal 4 10 2 3 3 3" xfId="12146"/>
    <cellStyle name="Normal 4 10 2 3 3 3 2" xfId="22862"/>
    <cellStyle name="Normal 4 10 2 3 3 4" xfId="16206"/>
    <cellStyle name="Normal 4 10 2 3 4" xfId="7154"/>
    <cellStyle name="Normal 4 10 2 3 4 2" xfId="17870"/>
    <cellStyle name="Normal 4 10 2 3 5" xfId="10482"/>
    <cellStyle name="Normal 4 10 2 3 5 2" xfId="21198"/>
    <cellStyle name="Normal 4 10 2 3 6" xfId="14542"/>
    <cellStyle name="Normal 4 10 2 4" xfId="4229"/>
    <cellStyle name="Normal 4 10 2 4 2" xfId="5899"/>
    <cellStyle name="Normal 4 10 2 4 2 2" xfId="9234"/>
    <cellStyle name="Normal 4 10 2 4 2 2 2" xfId="19950"/>
    <cellStyle name="Normal 4 10 2 4 2 3" xfId="12562"/>
    <cellStyle name="Normal 4 10 2 4 2 3 2" xfId="23278"/>
    <cellStyle name="Normal 4 10 2 4 2 4" xfId="16622"/>
    <cellStyle name="Normal 4 10 2 4 3" xfId="7570"/>
    <cellStyle name="Normal 4 10 2 4 3 2" xfId="18286"/>
    <cellStyle name="Normal 4 10 2 4 4" xfId="10898"/>
    <cellStyle name="Normal 4 10 2 4 4 2" xfId="21614"/>
    <cellStyle name="Normal 4 10 2 4 5" xfId="14958"/>
    <cellStyle name="Normal 4 10 2 5" xfId="5064"/>
    <cellStyle name="Normal 4 10 2 5 2" xfId="8402"/>
    <cellStyle name="Normal 4 10 2 5 2 2" xfId="19118"/>
    <cellStyle name="Normal 4 10 2 5 3" xfId="11730"/>
    <cellStyle name="Normal 4 10 2 5 3 2" xfId="22446"/>
    <cellStyle name="Normal 4 10 2 5 4" xfId="15790"/>
    <cellStyle name="Normal 4 10 2 6" xfId="6734"/>
    <cellStyle name="Normal 4 10 2 6 2" xfId="17454"/>
    <cellStyle name="Normal 4 10 2 7" xfId="10066"/>
    <cellStyle name="Normal 4 10 2 7 2" xfId="20782"/>
    <cellStyle name="Normal 4 10 2 8" xfId="14123"/>
    <cellStyle name="Normal 4 10 3" xfId="3061"/>
    <cellStyle name="Normal 4 10 3 2" xfId="4014"/>
    <cellStyle name="Normal 4 10 3 2 2" xfId="4854"/>
    <cellStyle name="Normal 4 10 3 2 2 2" xfId="6522"/>
    <cellStyle name="Normal 4 10 3 2 2 2 2" xfId="9857"/>
    <cellStyle name="Normal 4 10 3 2 2 2 2 2" xfId="20573"/>
    <cellStyle name="Normal 4 10 3 2 2 2 3" xfId="13185"/>
    <cellStyle name="Normal 4 10 3 2 2 2 3 2" xfId="23901"/>
    <cellStyle name="Normal 4 10 3 2 2 2 4" xfId="17245"/>
    <cellStyle name="Normal 4 10 3 2 2 3" xfId="8193"/>
    <cellStyle name="Normal 4 10 3 2 2 3 2" xfId="18909"/>
    <cellStyle name="Normal 4 10 3 2 2 4" xfId="11521"/>
    <cellStyle name="Normal 4 10 3 2 2 4 2" xfId="22237"/>
    <cellStyle name="Normal 4 10 3 2 2 5" xfId="15581"/>
    <cellStyle name="Normal 4 10 3 2 3" xfId="5690"/>
    <cellStyle name="Normal 4 10 3 2 3 2" xfId="9025"/>
    <cellStyle name="Normal 4 10 3 2 3 2 2" xfId="19741"/>
    <cellStyle name="Normal 4 10 3 2 3 3" xfId="12353"/>
    <cellStyle name="Normal 4 10 3 2 3 3 2" xfId="23069"/>
    <cellStyle name="Normal 4 10 3 2 3 4" xfId="16413"/>
    <cellStyle name="Normal 4 10 3 2 4" xfId="7361"/>
    <cellStyle name="Normal 4 10 3 2 4 2" xfId="18077"/>
    <cellStyle name="Normal 4 10 3 2 5" xfId="10689"/>
    <cellStyle name="Normal 4 10 3 2 5 2" xfId="21405"/>
    <cellStyle name="Normal 4 10 3 2 6" xfId="14749"/>
    <cellStyle name="Normal 4 10 3 3" xfId="4438"/>
    <cellStyle name="Normal 4 10 3 3 2" xfId="6106"/>
    <cellStyle name="Normal 4 10 3 3 2 2" xfId="9441"/>
    <cellStyle name="Normal 4 10 3 3 2 2 2" xfId="20157"/>
    <cellStyle name="Normal 4 10 3 3 2 3" xfId="12769"/>
    <cellStyle name="Normal 4 10 3 3 2 3 2" xfId="23485"/>
    <cellStyle name="Normal 4 10 3 3 2 4" xfId="16829"/>
    <cellStyle name="Normal 4 10 3 3 3" xfId="7777"/>
    <cellStyle name="Normal 4 10 3 3 3 2" xfId="18493"/>
    <cellStyle name="Normal 4 10 3 3 4" xfId="11105"/>
    <cellStyle name="Normal 4 10 3 3 4 2" xfId="21821"/>
    <cellStyle name="Normal 4 10 3 3 5" xfId="15165"/>
    <cellStyle name="Normal 4 10 3 4" xfId="5274"/>
    <cellStyle name="Normal 4 10 3 4 2" xfId="8609"/>
    <cellStyle name="Normal 4 10 3 4 2 2" xfId="19325"/>
    <cellStyle name="Normal 4 10 3 4 3" xfId="11937"/>
    <cellStyle name="Normal 4 10 3 4 3 2" xfId="22653"/>
    <cellStyle name="Normal 4 10 3 4 4" xfId="15997"/>
    <cellStyle name="Normal 4 10 3 5" xfId="6944"/>
    <cellStyle name="Normal 4 10 3 5 2" xfId="17661"/>
    <cellStyle name="Normal 4 10 3 6" xfId="10273"/>
    <cellStyle name="Normal 4 10 3 6 2" xfId="20989"/>
    <cellStyle name="Normal 4 10 3 7" xfId="14332"/>
    <cellStyle name="Normal 4 10 4" xfId="3795"/>
    <cellStyle name="Normal 4 10 4 2" xfId="4646"/>
    <cellStyle name="Normal 4 10 4 2 2" xfId="6314"/>
    <cellStyle name="Normal 4 10 4 2 2 2" xfId="9649"/>
    <cellStyle name="Normal 4 10 4 2 2 2 2" xfId="20365"/>
    <cellStyle name="Normal 4 10 4 2 2 3" xfId="12977"/>
    <cellStyle name="Normal 4 10 4 2 2 3 2" xfId="23693"/>
    <cellStyle name="Normal 4 10 4 2 2 4" xfId="17037"/>
    <cellStyle name="Normal 4 10 4 2 3" xfId="7985"/>
    <cellStyle name="Normal 4 10 4 2 3 2" xfId="18701"/>
    <cellStyle name="Normal 4 10 4 2 4" xfId="11313"/>
    <cellStyle name="Normal 4 10 4 2 4 2" xfId="22029"/>
    <cellStyle name="Normal 4 10 4 2 5" xfId="15373"/>
    <cellStyle name="Normal 4 10 4 3" xfId="5482"/>
    <cellStyle name="Normal 4 10 4 3 2" xfId="8817"/>
    <cellStyle name="Normal 4 10 4 3 2 2" xfId="19533"/>
    <cellStyle name="Normal 4 10 4 3 3" xfId="12145"/>
    <cellStyle name="Normal 4 10 4 3 3 2" xfId="22861"/>
    <cellStyle name="Normal 4 10 4 3 4" xfId="16205"/>
    <cellStyle name="Normal 4 10 4 4" xfId="7153"/>
    <cellStyle name="Normal 4 10 4 4 2" xfId="17869"/>
    <cellStyle name="Normal 4 10 4 5" xfId="10481"/>
    <cellStyle name="Normal 4 10 4 5 2" xfId="21197"/>
    <cellStyle name="Normal 4 10 4 6" xfId="14541"/>
    <cellStyle name="Normal 4 10 5" xfId="4228"/>
    <cellStyle name="Normal 4 10 5 2" xfId="5898"/>
    <cellStyle name="Normal 4 10 5 2 2" xfId="9233"/>
    <cellStyle name="Normal 4 10 5 2 2 2" xfId="19949"/>
    <cellStyle name="Normal 4 10 5 2 3" xfId="12561"/>
    <cellStyle name="Normal 4 10 5 2 3 2" xfId="23277"/>
    <cellStyle name="Normal 4 10 5 2 4" xfId="16621"/>
    <cellStyle name="Normal 4 10 5 3" xfId="7569"/>
    <cellStyle name="Normal 4 10 5 3 2" xfId="18285"/>
    <cellStyle name="Normal 4 10 5 4" xfId="10897"/>
    <cellStyle name="Normal 4 10 5 4 2" xfId="21613"/>
    <cellStyle name="Normal 4 10 5 5" xfId="14957"/>
    <cellStyle name="Normal 4 10 6" xfId="5063"/>
    <cellStyle name="Normal 4 10 6 2" xfId="8401"/>
    <cellStyle name="Normal 4 10 6 2 2" xfId="19117"/>
    <cellStyle name="Normal 4 10 6 3" xfId="11729"/>
    <cellStyle name="Normal 4 10 6 3 2" xfId="22445"/>
    <cellStyle name="Normal 4 10 6 4" xfId="15789"/>
    <cellStyle name="Normal 4 10 7" xfId="6733"/>
    <cellStyle name="Normal 4 10 7 2" xfId="17453"/>
    <cellStyle name="Normal 4 10 8" xfId="10065"/>
    <cellStyle name="Normal 4 10 8 2" xfId="20781"/>
    <cellStyle name="Normal 4 10 9" xfId="14122"/>
    <cellStyle name="Normal 4 11" xfId="3060"/>
    <cellStyle name="Normal 4 11 2" xfId="4013"/>
    <cellStyle name="Normal 4 11 2 2" xfId="4853"/>
    <cellStyle name="Normal 4 11 2 2 2" xfId="6521"/>
    <cellStyle name="Normal 4 11 2 2 2 2" xfId="9856"/>
    <cellStyle name="Normal 4 11 2 2 2 2 2" xfId="20572"/>
    <cellStyle name="Normal 4 11 2 2 2 3" xfId="13184"/>
    <cellStyle name="Normal 4 11 2 2 2 3 2" xfId="23900"/>
    <cellStyle name="Normal 4 11 2 2 2 4" xfId="17244"/>
    <cellStyle name="Normal 4 11 2 2 3" xfId="8192"/>
    <cellStyle name="Normal 4 11 2 2 3 2" xfId="18908"/>
    <cellStyle name="Normal 4 11 2 2 4" xfId="11520"/>
    <cellStyle name="Normal 4 11 2 2 4 2" xfId="22236"/>
    <cellStyle name="Normal 4 11 2 2 5" xfId="15580"/>
    <cellStyle name="Normal 4 11 2 3" xfId="5689"/>
    <cellStyle name="Normal 4 11 2 3 2" xfId="9024"/>
    <cellStyle name="Normal 4 11 2 3 2 2" xfId="19740"/>
    <cellStyle name="Normal 4 11 2 3 3" xfId="12352"/>
    <cellStyle name="Normal 4 11 2 3 3 2" xfId="23068"/>
    <cellStyle name="Normal 4 11 2 3 4" xfId="16412"/>
    <cellStyle name="Normal 4 11 2 4" xfId="7360"/>
    <cellStyle name="Normal 4 11 2 4 2" xfId="18076"/>
    <cellStyle name="Normal 4 11 2 5" xfId="10688"/>
    <cellStyle name="Normal 4 11 2 5 2" xfId="21404"/>
    <cellStyle name="Normal 4 11 2 6" xfId="14748"/>
    <cellStyle name="Normal 4 11 3" xfId="4437"/>
    <cellStyle name="Normal 4 11 3 2" xfId="6105"/>
    <cellStyle name="Normal 4 11 3 2 2" xfId="9440"/>
    <cellStyle name="Normal 4 11 3 2 2 2" xfId="20156"/>
    <cellStyle name="Normal 4 11 3 2 3" xfId="12768"/>
    <cellStyle name="Normal 4 11 3 2 3 2" xfId="23484"/>
    <cellStyle name="Normal 4 11 3 2 4" xfId="16828"/>
    <cellStyle name="Normal 4 11 3 3" xfId="7776"/>
    <cellStyle name="Normal 4 11 3 3 2" xfId="18492"/>
    <cellStyle name="Normal 4 11 3 4" xfId="11104"/>
    <cellStyle name="Normal 4 11 3 4 2" xfId="21820"/>
    <cellStyle name="Normal 4 11 3 5" xfId="15164"/>
    <cellStyle name="Normal 4 11 4" xfId="5273"/>
    <cellStyle name="Normal 4 11 4 2" xfId="8608"/>
    <cellStyle name="Normal 4 11 4 2 2" xfId="19324"/>
    <cellStyle name="Normal 4 11 4 3" xfId="11936"/>
    <cellStyle name="Normal 4 11 4 3 2" xfId="22652"/>
    <cellStyle name="Normal 4 11 4 4" xfId="15996"/>
    <cellStyle name="Normal 4 11 5" xfId="6943"/>
    <cellStyle name="Normal 4 11 5 2" xfId="17660"/>
    <cellStyle name="Normal 4 11 6" xfId="10272"/>
    <cellStyle name="Normal 4 11 6 2" xfId="20988"/>
    <cellStyle name="Normal 4 11 7" xfId="14331"/>
    <cellStyle name="Normal 4 12" xfId="3794"/>
    <cellStyle name="Normal 4 12 2" xfId="4645"/>
    <cellStyle name="Normal 4 12 2 2" xfId="6313"/>
    <cellStyle name="Normal 4 12 2 2 2" xfId="9648"/>
    <cellStyle name="Normal 4 12 2 2 2 2" xfId="20364"/>
    <cellStyle name="Normal 4 12 2 2 3" xfId="12976"/>
    <cellStyle name="Normal 4 12 2 2 3 2" xfId="23692"/>
    <cellStyle name="Normal 4 12 2 2 4" xfId="17036"/>
    <cellStyle name="Normal 4 12 2 3" xfId="7984"/>
    <cellStyle name="Normal 4 12 2 3 2" xfId="18700"/>
    <cellStyle name="Normal 4 12 2 4" xfId="11312"/>
    <cellStyle name="Normal 4 12 2 4 2" xfId="22028"/>
    <cellStyle name="Normal 4 12 2 5" xfId="15372"/>
    <cellStyle name="Normal 4 12 3" xfId="5481"/>
    <cellStyle name="Normal 4 12 3 2" xfId="8816"/>
    <cellStyle name="Normal 4 12 3 2 2" xfId="19532"/>
    <cellStyle name="Normal 4 12 3 3" xfId="12144"/>
    <cellStyle name="Normal 4 12 3 3 2" xfId="22860"/>
    <cellStyle name="Normal 4 12 3 4" xfId="16204"/>
    <cellStyle name="Normal 4 12 4" xfId="7152"/>
    <cellStyle name="Normal 4 12 4 2" xfId="17868"/>
    <cellStyle name="Normal 4 12 5" xfId="10480"/>
    <cellStyle name="Normal 4 12 5 2" xfId="21196"/>
    <cellStyle name="Normal 4 12 6" xfId="14540"/>
    <cellStyle name="Normal 4 13" xfId="4227"/>
    <cellStyle name="Normal 4 13 2" xfId="5897"/>
    <cellStyle name="Normal 4 13 2 2" xfId="9232"/>
    <cellStyle name="Normal 4 13 2 2 2" xfId="19948"/>
    <cellStyle name="Normal 4 13 2 3" xfId="12560"/>
    <cellStyle name="Normal 4 13 2 3 2" xfId="23276"/>
    <cellStyle name="Normal 4 13 2 4" xfId="16620"/>
    <cellStyle name="Normal 4 13 3" xfId="7568"/>
    <cellStyle name="Normal 4 13 3 2" xfId="18284"/>
    <cellStyle name="Normal 4 13 4" xfId="10896"/>
    <cellStyle name="Normal 4 13 4 2" xfId="21612"/>
    <cellStyle name="Normal 4 13 5" xfId="14956"/>
    <cellStyle name="Normal 4 14" xfId="5062"/>
    <cellStyle name="Normal 4 14 2" xfId="8400"/>
    <cellStyle name="Normal 4 14 2 2" xfId="19116"/>
    <cellStyle name="Normal 4 14 3" xfId="11728"/>
    <cellStyle name="Normal 4 14 3 2" xfId="22444"/>
    <cellStyle name="Normal 4 14 4" xfId="15788"/>
    <cellStyle name="Normal 4 15" xfId="6732"/>
    <cellStyle name="Normal 4 15 2" xfId="17452"/>
    <cellStyle name="Normal 4 16" xfId="10064"/>
    <cellStyle name="Normal 4 16 2" xfId="20780"/>
    <cellStyle name="Normal 4 17" xfId="14121"/>
    <cellStyle name="Normal 4 2" xfId="1377"/>
    <cellStyle name="Normal 4 2 2" xfId="1378"/>
    <cellStyle name="Normal 4 2 2 2" xfId="3064"/>
    <cellStyle name="Normal 4 2 3" xfId="1379"/>
    <cellStyle name="Normal 4 2 3 2" xfId="3065"/>
    <cellStyle name="Normal 4 2 4" xfId="3063"/>
    <cellStyle name="Normal 4 3" xfId="1380"/>
    <cellStyle name="Normal 4 3 2" xfId="1381"/>
    <cellStyle name="Normal 4 3 2 2" xfId="3067"/>
    <cellStyle name="Normal 4 3 3" xfId="3066"/>
    <cellStyle name="Normal 4 4" xfId="1382"/>
    <cellStyle name="Normal 4 5" xfId="1383"/>
    <cellStyle name="Normal 4 5 2" xfId="3068"/>
    <cellStyle name="Normal 4 6" xfId="1384"/>
    <cellStyle name="Normal 4 6 10" xfId="6735"/>
    <cellStyle name="Normal 4 6 10 2" xfId="17455"/>
    <cellStyle name="Normal 4 6 11" xfId="10067"/>
    <cellStyle name="Normal 4 6 11 2" xfId="20783"/>
    <cellStyle name="Normal 4 6 12" xfId="14124"/>
    <cellStyle name="Normal 4 6 2" xfId="1385"/>
    <cellStyle name="Normal 4 6 2 10" xfId="10068"/>
    <cellStyle name="Normal 4 6 2 10 2" xfId="20784"/>
    <cellStyle name="Normal 4 6 2 11" xfId="14125"/>
    <cellStyle name="Normal 4 6 2 2" xfId="1386"/>
    <cellStyle name="Normal 4 6 2 2 10" xfId="14126"/>
    <cellStyle name="Normal 4 6 2 2 2" xfId="1387"/>
    <cellStyle name="Normal 4 6 2 2 2 2" xfId="1388"/>
    <cellStyle name="Normal 4 6 2 2 2 2 2" xfId="3073"/>
    <cellStyle name="Normal 4 6 2 2 2 2 2 2" xfId="4020"/>
    <cellStyle name="Normal 4 6 2 2 2 2 2 2 2" xfId="4860"/>
    <cellStyle name="Normal 4 6 2 2 2 2 2 2 2 2" xfId="6528"/>
    <cellStyle name="Normal 4 6 2 2 2 2 2 2 2 2 2" xfId="9863"/>
    <cellStyle name="Normal 4 6 2 2 2 2 2 2 2 2 2 2" xfId="20579"/>
    <cellStyle name="Normal 4 6 2 2 2 2 2 2 2 2 3" xfId="13191"/>
    <cellStyle name="Normal 4 6 2 2 2 2 2 2 2 2 3 2" xfId="23907"/>
    <cellStyle name="Normal 4 6 2 2 2 2 2 2 2 2 4" xfId="17251"/>
    <cellStyle name="Normal 4 6 2 2 2 2 2 2 2 3" xfId="8199"/>
    <cellStyle name="Normal 4 6 2 2 2 2 2 2 2 3 2" xfId="18915"/>
    <cellStyle name="Normal 4 6 2 2 2 2 2 2 2 4" xfId="11527"/>
    <cellStyle name="Normal 4 6 2 2 2 2 2 2 2 4 2" xfId="22243"/>
    <cellStyle name="Normal 4 6 2 2 2 2 2 2 2 5" xfId="15587"/>
    <cellStyle name="Normal 4 6 2 2 2 2 2 2 3" xfId="5696"/>
    <cellStyle name="Normal 4 6 2 2 2 2 2 2 3 2" xfId="9031"/>
    <cellStyle name="Normal 4 6 2 2 2 2 2 2 3 2 2" xfId="19747"/>
    <cellStyle name="Normal 4 6 2 2 2 2 2 2 3 3" xfId="12359"/>
    <cellStyle name="Normal 4 6 2 2 2 2 2 2 3 3 2" xfId="23075"/>
    <cellStyle name="Normal 4 6 2 2 2 2 2 2 3 4" xfId="16419"/>
    <cellStyle name="Normal 4 6 2 2 2 2 2 2 4" xfId="7367"/>
    <cellStyle name="Normal 4 6 2 2 2 2 2 2 4 2" xfId="18083"/>
    <cellStyle name="Normal 4 6 2 2 2 2 2 2 5" xfId="10695"/>
    <cellStyle name="Normal 4 6 2 2 2 2 2 2 5 2" xfId="21411"/>
    <cellStyle name="Normal 4 6 2 2 2 2 2 2 6" xfId="14755"/>
    <cellStyle name="Normal 4 6 2 2 2 2 2 3" xfId="4444"/>
    <cellStyle name="Normal 4 6 2 2 2 2 2 3 2" xfId="6112"/>
    <cellStyle name="Normal 4 6 2 2 2 2 2 3 2 2" xfId="9447"/>
    <cellStyle name="Normal 4 6 2 2 2 2 2 3 2 2 2" xfId="20163"/>
    <cellStyle name="Normal 4 6 2 2 2 2 2 3 2 3" xfId="12775"/>
    <cellStyle name="Normal 4 6 2 2 2 2 2 3 2 3 2" xfId="23491"/>
    <cellStyle name="Normal 4 6 2 2 2 2 2 3 2 4" xfId="16835"/>
    <cellStyle name="Normal 4 6 2 2 2 2 2 3 3" xfId="7783"/>
    <cellStyle name="Normal 4 6 2 2 2 2 2 3 3 2" xfId="18499"/>
    <cellStyle name="Normal 4 6 2 2 2 2 2 3 4" xfId="11111"/>
    <cellStyle name="Normal 4 6 2 2 2 2 2 3 4 2" xfId="21827"/>
    <cellStyle name="Normal 4 6 2 2 2 2 2 3 5" xfId="15171"/>
    <cellStyle name="Normal 4 6 2 2 2 2 2 4" xfId="5280"/>
    <cellStyle name="Normal 4 6 2 2 2 2 2 4 2" xfId="8615"/>
    <cellStyle name="Normal 4 6 2 2 2 2 2 4 2 2" xfId="19331"/>
    <cellStyle name="Normal 4 6 2 2 2 2 2 4 3" xfId="11943"/>
    <cellStyle name="Normal 4 6 2 2 2 2 2 4 3 2" xfId="22659"/>
    <cellStyle name="Normal 4 6 2 2 2 2 2 4 4" xfId="16003"/>
    <cellStyle name="Normal 4 6 2 2 2 2 2 5" xfId="6950"/>
    <cellStyle name="Normal 4 6 2 2 2 2 2 5 2" xfId="17667"/>
    <cellStyle name="Normal 4 6 2 2 2 2 2 6" xfId="10279"/>
    <cellStyle name="Normal 4 6 2 2 2 2 2 6 2" xfId="20995"/>
    <cellStyle name="Normal 4 6 2 2 2 2 2 7" xfId="14338"/>
    <cellStyle name="Normal 4 6 2 2 2 2 3" xfId="3801"/>
    <cellStyle name="Normal 4 6 2 2 2 2 3 2" xfId="4652"/>
    <cellStyle name="Normal 4 6 2 2 2 2 3 2 2" xfId="6320"/>
    <cellStyle name="Normal 4 6 2 2 2 2 3 2 2 2" xfId="9655"/>
    <cellStyle name="Normal 4 6 2 2 2 2 3 2 2 2 2" xfId="20371"/>
    <cellStyle name="Normal 4 6 2 2 2 2 3 2 2 3" xfId="12983"/>
    <cellStyle name="Normal 4 6 2 2 2 2 3 2 2 3 2" xfId="23699"/>
    <cellStyle name="Normal 4 6 2 2 2 2 3 2 2 4" xfId="17043"/>
    <cellStyle name="Normal 4 6 2 2 2 2 3 2 3" xfId="7991"/>
    <cellStyle name="Normal 4 6 2 2 2 2 3 2 3 2" xfId="18707"/>
    <cellStyle name="Normal 4 6 2 2 2 2 3 2 4" xfId="11319"/>
    <cellStyle name="Normal 4 6 2 2 2 2 3 2 4 2" xfId="22035"/>
    <cellStyle name="Normal 4 6 2 2 2 2 3 2 5" xfId="15379"/>
    <cellStyle name="Normal 4 6 2 2 2 2 3 3" xfId="5488"/>
    <cellStyle name="Normal 4 6 2 2 2 2 3 3 2" xfId="8823"/>
    <cellStyle name="Normal 4 6 2 2 2 2 3 3 2 2" xfId="19539"/>
    <cellStyle name="Normal 4 6 2 2 2 2 3 3 3" xfId="12151"/>
    <cellStyle name="Normal 4 6 2 2 2 2 3 3 3 2" xfId="22867"/>
    <cellStyle name="Normal 4 6 2 2 2 2 3 3 4" xfId="16211"/>
    <cellStyle name="Normal 4 6 2 2 2 2 3 4" xfId="7159"/>
    <cellStyle name="Normal 4 6 2 2 2 2 3 4 2" xfId="17875"/>
    <cellStyle name="Normal 4 6 2 2 2 2 3 5" xfId="10487"/>
    <cellStyle name="Normal 4 6 2 2 2 2 3 5 2" xfId="21203"/>
    <cellStyle name="Normal 4 6 2 2 2 2 3 6" xfId="14547"/>
    <cellStyle name="Normal 4 6 2 2 2 2 4" xfId="4234"/>
    <cellStyle name="Normal 4 6 2 2 2 2 4 2" xfId="5904"/>
    <cellStyle name="Normal 4 6 2 2 2 2 4 2 2" xfId="9239"/>
    <cellStyle name="Normal 4 6 2 2 2 2 4 2 2 2" xfId="19955"/>
    <cellStyle name="Normal 4 6 2 2 2 2 4 2 3" xfId="12567"/>
    <cellStyle name="Normal 4 6 2 2 2 2 4 2 3 2" xfId="23283"/>
    <cellStyle name="Normal 4 6 2 2 2 2 4 2 4" xfId="16627"/>
    <cellStyle name="Normal 4 6 2 2 2 2 4 3" xfId="7575"/>
    <cellStyle name="Normal 4 6 2 2 2 2 4 3 2" xfId="18291"/>
    <cellStyle name="Normal 4 6 2 2 2 2 4 4" xfId="10903"/>
    <cellStyle name="Normal 4 6 2 2 2 2 4 4 2" xfId="21619"/>
    <cellStyle name="Normal 4 6 2 2 2 2 4 5" xfId="14963"/>
    <cellStyle name="Normal 4 6 2 2 2 2 5" xfId="5069"/>
    <cellStyle name="Normal 4 6 2 2 2 2 5 2" xfId="8407"/>
    <cellStyle name="Normal 4 6 2 2 2 2 5 2 2" xfId="19123"/>
    <cellStyle name="Normal 4 6 2 2 2 2 5 3" xfId="11735"/>
    <cellStyle name="Normal 4 6 2 2 2 2 5 3 2" xfId="22451"/>
    <cellStyle name="Normal 4 6 2 2 2 2 5 4" xfId="15795"/>
    <cellStyle name="Normal 4 6 2 2 2 2 6" xfId="6739"/>
    <cellStyle name="Normal 4 6 2 2 2 2 6 2" xfId="17459"/>
    <cellStyle name="Normal 4 6 2 2 2 2 7" xfId="10071"/>
    <cellStyle name="Normal 4 6 2 2 2 2 7 2" xfId="20787"/>
    <cellStyle name="Normal 4 6 2 2 2 2 8" xfId="14128"/>
    <cellStyle name="Normal 4 6 2 2 2 3" xfId="3072"/>
    <cellStyle name="Normal 4 6 2 2 2 3 2" xfId="4019"/>
    <cellStyle name="Normal 4 6 2 2 2 3 2 2" xfId="4859"/>
    <cellStyle name="Normal 4 6 2 2 2 3 2 2 2" xfId="6527"/>
    <cellStyle name="Normal 4 6 2 2 2 3 2 2 2 2" xfId="9862"/>
    <cellStyle name="Normal 4 6 2 2 2 3 2 2 2 2 2" xfId="20578"/>
    <cellStyle name="Normal 4 6 2 2 2 3 2 2 2 3" xfId="13190"/>
    <cellStyle name="Normal 4 6 2 2 2 3 2 2 2 3 2" xfId="23906"/>
    <cellStyle name="Normal 4 6 2 2 2 3 2 2 2 4" xfId="17250"/>
    <cellStyle name="Normal 4 6 2 2 2 3 2 2 3" xfId="8198"/>
    <cellStyle name="Normal 4 6 2 2 2 3 2 2 3 2" xfId="18914"/>
    <cellStyle name="Normal 4 6 2 2 2 3 2 2 4" xfId="11526"/>
    <cellStyle name="Normal 4 6 2 2 2 3 2 2 4 2" xfId="22242"/>
    <cellStyle name="Normal 4 6 2 2 2 3 2 2 5" xfId="15586"/>
    <cellStyle name="Normal 4 6 2 2 2 3 2 3" xfId="5695"/>
    <cellStyle name="Normal 4 6 2 2 2 3 2 3 2" xfId="9030"/>
    <cellStyle name="Normal 4 6 2 2 2 3 2 3 2 2" xfId="19746"/>
    <cellStyle name="Normal 4 6 2 2 2 3 2 3 3" xfId="12358"/>
    <cellStyle name="Normal 4 6 2 2 2 3 2 3 3 2" xfId="23074"/>
    <cellStyle name="Normal 4 6 2 2 2 3 2 3 4" xfId="16418"/>
    <cellStyle name="Normal 4 6 2 2 2 3 2 4" xfId="7366"/>
    <cellStyle name="Normal 4 6 2 2 2 3 2 4 2" xfId="18082"/>
    <cellStyle name="Normal 4 6 2 2 2 3 2 5" xfId="10694"/>
    <cellStyle name="Normal 4 6 2 2 2 3 2 5 2" xfId="21410"/>
    <cellStyle name="Normal 4 6 2 2 2 3 2 6" xfId="14754"/>
    <cellStyle name="Normal 4 6 2 2 2 3 3" xfId="4443"/>
    <cellStyle name="Normal 4 6 2 2 2 3 3 2" xfId="6111"/>
    <cellStyle name="Normal 4 6 2 2 2 3 3 2 2" xfId="9446"/>
    <cellStyle name="Normal 4 6 2 2 2 3 3 2 2 2" xfId="20162"/>
    <cellStyle name="Normal 4 6 2 2 2 3 3 2 3" xfId="12774"/>
    <cellStyle name="Normal 4 6 2 2 2 3 3 2 3 2" xfId="23490"/>
    <cellStyle name="Normal 4 6 2 2 2 3 3 2 4" xfId="16834"/>
    <cellStyle name="Normal 4 6 2 2 2 3 3 3" xfId="7782"/>
    <cellStyle name="Normal 4 6 2 2 2 3 3 3 2" xfId="18498"/>
    <cellStyle name="Normal 4 6 2 2 2 3 3 4" xfId="11110"/>
    <cellStyle name="Normal 4 6 2 2 2 3 3 4 2" xfId="21826"/>
    <cellStyle name="Normal 4 6 2 2 2 3 3 5" xfId="15170"/>
    <cellStyle name="Normal 4 6 2 2 2 3 4" xfId="5279"/>
    <cellStyle name="Normal 4 6 2 2 2 3 4 2" xfId="8614"/>
    <cellStyle name="Normal 4 6 2 2 2 3 4 2 2" xfId="19330"/>
    <cellStyle name="Normal 4 6 2 2 2 3 4 3" xfId="11942"/>
    <cellStyle name="Normal 4 6 2 2 2 3 4 3 2" xfId="22658"/>
    <cellStyle name="Normal 4 6 2 2 2 3 4 4" xfId="16002"/>
    <cellStyle name="Normal 4 6 2 2 2 3 5" xfId="6949"/>
    <cellStyle name="Normal 4 6 2 2 2 3 5 2" xfId="17666"/>
    <cellStyle name="Normal 4 6 2 2 2 3 6" xfId="10278"/>
    <cellStyle name="Normal 4 6 2 2 2 3 6 2" xfId="20994"/>
    <cellStyle name="Normal 4 6 2 2 2 3 7" xfId="14337"/>
    <cellStyle name="Normal 4 6 2 2 2 4" xfId="3800"/>
    <cellStyle name="Normal 4 6 2 2 2 4 2" xfId="4651"/>
    <cellStyle name="Normal 4 6 2 2 2 4 2 2" xfId="6319"/>
    <cellStyle name="Normal 4 6 2 2 2 4 2 2 2" xfId="9654"/>
    <cellStyle name="Normal 4 6 2 2 2 4 2 2 2 2" xfId="20370"/>
    <cellStyle name="Normal 4 6 2 2 2 4 2 2 3" xfId="12982"/>
    <cellStyle name="Normal 4 6 2 2 2 4 2 2 3 2" xfId="23698"/>
    <cellStyle name="Normal 4 6 2 2 2 4 2 2 4" xfId="17042"/>
    <cellStyle name="Normal 4 6 2 2 2 4 2 3" xfId="7990"/>
    <cellStyle name="Normal 4 6 2 2 2 4 2 3 2" xfId="18706"/>
    <cellStyle name="Normal 4 6 2 2 2 4 2 4" xfId="11318"/>
    <cellStyle name="Normal 4 6 2 2 2 4 2 4 2" xfId="22034"/>
    <cellStyle name="Normal 4 6 2 2 2 4 2 5" xfId="15378"/>
    <cellStyle name="Normal 4 6 2 2 2 4 3" xfId="5487"/>
    <cellStyle name="Normal 4 6 2 2 2 4 3 2" xfId="8822"/>
    <cellStyle name="Normal 4 6 2 2 2 4 3 2 2" xfId="19538"/>
    <cellStyle name="Normal 4 6 2 2 2 4 3 3" xfId="12150"/>
    <cellStyle name="Normal 4 6 2 2 2 4 3 3 2" xfId="22866"/>
    <cellStyle name="Normal 4 6 2 2 2 4 3 4" xfId="16210"/>
    <cellStyle name="Normal 4 6 2 2 2 4 4" xfId="7158"/>
    <cellStyle name="Normal 4 6 2 2 2 4 4 2" xfId="17874"/>
    <cellStyle name="Normal 4 6 2 2 2 4 5" xfId="10486"/>
    <cellStyle name="Normal 4 6 2 2 2 4 5 2" xfId="21202"/>
    <cellStyle name="Normal 4 6 2 2 2 4 6" xfId="14546"/>
    <cellStyle name="Normal 4 6 2 2 2 5" xfId="4233"/>
    <cellStyle name="Normal 4 6 2 2 2 5 2" xfId="5903"/>
    <cellStyle name="Normal 4 6 2 2 2 5 2 2" xfId="9238"/>
    <cellStyle name="Normal 4 6 2 2 2 5 2 2 2" xfId="19954"/>
    <cellStyle name="Normal 4 6 2 2 2 5 2 3" xfId="12566"/>
    <cellStyle name="Normal 4 6 2 2 2 5 2 3 2" xfId="23282"/>
    <cellStyle name="Normal 4 6 2 2 2 5 2 4" xfId="16626"/>
    <cellStyle name="Normal 4 6 2 2 2 5 3" xfId="7574"/>
    <cellStyle name="Normal 4 6 2 2 2 5 3 2" xfId="18290"/>
    <cellStyle name="Normal 4 6 2 2 2 5 4" xfId="10902"/>
    <cellStyle name="Normal 4 6 2 2 2 5 4 2" xfId="21618"/>
    <cellStyle name="Normal 4 6 2 2 2 5 5" xfId="14962"/>
    <cellStyle name="Normal 4 6 2 2 2 6" xfId="5068"/>
    <cellStyle name="Normal 4 6 2 2 2 6 2" xfId="8406"/>
    <cellStyle name="Normal 4 6 2 2 2 6 2 2" xfId="19122"/>
    <cellStyle name="Normal 4 6 2 2 2 6 3" xfId="11734"/>
    <cellStyle name="Normal 4 6 2 2 2 6 3 2" xfId="22450"/>
    <cellStyle name="Normal 4 6 2 2 2 6 4" xfId="15794"/>
    <cellStyle name="Normal 4 6 2 2 2 7" xfId="6738"/>
    <cellStyle name="Normal 4 6 2 2 2 7 2" xfId="17458"/>
    <cellStyle name="Normal 4 6 2 2 2 8" xfId="10070"/>
    <cellStyle name="Normal 4 6 2 2 2 8 2" xfId="20786"/>
    <cellStyle name="Normal 4 6 2 2 2 9" xfId="14127"/>
    <cellStyle name="Normal 4 6 2 2 3" xfId="1389"/>
    <cellStyle name="Normal 4 6 2 2 3 2" xfId="3074"/>
    <cellStyle name="Normal 4 6 2 2 3 2 2" xfId="4021"/>
    <cellStyle name="Normal 4 6 2 2 3 2 2 2" xfId="4861"/>
    <cellStyle name="Normal 4 6 2 2 3 2 2 2 2" xfId="6529"/>
    <cellStyle name="Normal 4 6 2 2 3 2 2 2 2 2" xfId="9864"/>
    <cellStyle name="Normal 4 6 2 2 3 2 2 2 2 2 2" xfId="20580"/>
    <cellStyle name="Normal 4 6 2 2 3 2 2 2 2 3" xfId="13192"/>
    <cellStyle name="Normal 4 6 2 2 3 2 2 2 2 3 2" xfId="23908"/>
    <cellStyle name="Normal 4 6 2 2 3 2 2 2 2 4" xfId="17252"/>
    <cellStyle name="Normal 4 6 2 2 3 2 2 2 3" xfId="8200"/>
    <cellStyle name="Normal 4 6 2 2 3 2 2 2 3 2" xfId="18916"/>
    <cellStyle name="Normal 4 6 2 2 3 2 2 2 4" xfId="11528"/>
    <cellStyle name="Normal 4 6 2 2 3 2 2 2 4 2" xfId="22244"/>
    <cellStyle name="Normal 4 6 2 2 3 2 2 2 5" xfId="15588"/>
    <cellStyle name="Normal 4 6 2 2 3 2 2 3" xfId="5697"/>
    <cellStyle name="Normal 4 6 2 2 3 2 2 3 2" xfId="9032"/>
    <cellStyle name="Normal 4 6 2 2 3 2 2 3 2 2" xfId="19748"/>
    <cellStyle name="Normal 4 6 2 2 3 2 2 3 3" xfId="12360"/>
    <cellStyle name="Normal 4 6 2 2 3 2 2 3 3 2" xfId="23076"/>
    <cellStyle name="Normal 4 6 2 2 3 2 2 3 4" xfId="16420"/>
    <cellStyle name="Normal 4 6 2 2 3 2 2 4" xfId="7368"/>
    <cellStyle name="Normal 4 6 2 2 3 2 2 4 2" xfId="18084"/>
    <cellStyle name="Normal 4 6 2 2 3 2 2 5" xfId="10696"/>
    <cellStyle name="Normal 4 6 2 2 3 2 2 5 2" xfId="21412"/>
    <cellStyle name="Normal 4 6 2 2 3 2 2 6" xfId="14756"/>
    <cellStyle name="Normal 4 6 2 2 3 2 3" xfId="4445"/>
    <cellStyle name="Normal 4 6 2 2 3 2 3 2" xfId="6113"/>
    <cellStyle name="Normal 4 6 2 2 3 2 3 2 2" xfId="9448"/>
    <cellStyle name="Normal 4 6 2 2 3 2 3 2 2 2" xfId="20164"/>
    <cellStyle name="Normal 4 6 2 2 3 2 3 2 3" xfId="12776"/>
    <cellStyle name="Normal 4 6 2 2 3 2 3 2 3 2" xfId="23492"/>
    <cellStyle name="Normal 4 6 2 2 3 2 3 2 4" xfId="16836"/>
    <cellStyle name="Normal 4 6 2 2 3 2 3 3" xfId="7784"/>
    <cellStyle name="Normal 4 6 2 2 3 2 3 3 2" xfId="18500"/>
    <cellStyle name="Normal 4 6 2 2 3 2 3 4" xfId="11112"/>
    <cellStyle name="Normal 4 6 2 2 3 2 3 4 2" xfId="21828"/>
    <cellStyle name="Normal 4 6 2 2 3 2 3 5" xfId="15172"/>
    <cellStyle name="Normal 4 6 2 2 3 2 4" xfId="5281"/>
    <cellStyle name="Normal 4 6 2 2 3 2 4 2" xfId="8616"/>
    <cellStyle name="Normal 4 6 2 2 3 2 4 2 2" xfId="19332"/>
    <cellStyle name="Normal 4 6 2 2 3 2 4 3" xfId="11944"/>
    <cellStyle name="Normal 4 6 2 2 3 2 4 3 2" xfId="22660"/>
    <cellStyle name="Normal 4 6 2 2 3 2 4 4" xfId="16004"/>
    <cellStyle name="Normal 4 6 2 2 3 2 5" xfId="6951"/>
    <cellStyle name="Normal 4 6 2 2 3 2 5 2" xfId="17668"/>
    <cellStyle name="Normal 4 6 2 2 3 2 6" xfId="10280"/>
    <cellStyle name="Normal 4 6 2 2 3 2 6 2" xfId="20996"/>
    <cellStyle name="Normal 4 6 2 2 3 2 7" xfId="14339"/>
    <cellStyle name="Normal 4 6 2 2 3 3" xfId="3802"/>
    <cellStyle name="Normal 4 6 2 2 3 3 2" xfId="4653"/>
    <cellStyle name="Normal 4 6 2 2 3 3 2 2" xfId="6321"/>
    <cellStyle name="Normal 4 6 2 2 3 3 2 2 2" xfId="9656"/>
    <cellStyle name="Normal 4 6 2 2 3 3 2 2 2 2" xfId="20372"/>
    <cellStyle name="Normal 4 6 2 2 3 3 2 2 3" xfId="12984"/>
    <cellStyle name="Normal 4 6 2 2 3 3 2 2 3 2" xfId="23700"/>
    <cellStyle name="Normal 4 6 2 2 3 3 2 2 4" xfId="17044"/>
    <cellStyle name="Normal 4 6 2 2 3 3 2 3" xfId="7992"/>
    <cellStyle name="Normal 4 6 2 2 3 3 2 3 2" xfId="18708"/>
    <cellStyle name="Normal 4 6 2 2 3 3 2 4" xfId="11320"/>
    <cellStyle name="Normal 4 6 2 2 3 3 2 4 2" xfId="22036"/>
    <cellStyle name="Normal 4 6 2 2 3 3 2 5" xfId="15380"/>
    <cellStyle name="Normal 4 6 2 2 3 3 3" xfId="5489"/>
    <cellStyle name="Normal 4 6 2 2 3 3 3 2" xfId="8824"/>
    <cellStyle name="Normal 4 6 2 2 3 3 3 2 2" xfId="19540"/>
    <cellStyle name="Normal 4 6 2 2 3 3 3 3" xfId="12152"/>
    <cellStyle name="Normal 4 6 2 2 3 3 3 3 2" xfId="22868"/>
    <cellStyle name="Normal 4 6 2 2 3 3 3 4" xfId="16212"/>
    <cellStyle name="Normal 4 6 2 2 3 3 4" xfId="7160"/>
    <cellStyle name="Normal 4 6 2 2 3 3 4 2" xfId="17876"/>
    <cellStyle name="Normal 4 6 2 2 3 3 5" xfId="10488"/>
    <cellStyle name="Normal 4 6 2 2 3 3 5 2" xfId="21204"/>
    <cellStyle name="Normal 4 6 2 2 3 3 6" xfId="14548"/>
    <cellStyle name="Normal 4 6 2 2 3 4" xfId="4235"/>
    <cellStyle name="Normal 4 6 2 2 3 4 2" xfId="5905"/>
    <cellStyle name="Normal 4 6 2 2 3 4 2 2" xfId="9240"/>
    <cellStyle name="Normal 4 6 2 2 3 4 2 2 2" xfId="19956"/>
    <cellStyle name="Normal 4 6 2 2 3 4 2 3" xfId="12568"/>
    <cellStyle name="Normal 4 6 2 2 3 4 2 3 2" xfId="23284"/>
    <cellStyle name="Normal 4 6 2 2 3 4 2 4" xfId="16628"/>
    <cellStyle name="Normal 4 6 2 2 3 4 3" xfId="7576"/>
    <cellStyle name="Normal 4 6 2 2 3 4 3 2" xfId="18292"/>
    <cellStyle name="Normal 4 6 2 2 3 4 4" xfId="10904"/>
    <cellStyle name="Normal 4 6 2 2 3 4 4 2" xfId="21620"/>
    <cellStyle name="Normal 4 6 2 2 3 4 5" xfId="14964"/>
    <cellStyle name="Normal 4 6 2 2 3 5" xfId="5070"/>
    <cellStyle name="Normal 4 6 2 2 3 5 2" xfId="8408"/>
    <cellStyle name="Normal 4 6 2 2 3 5 2 2" xfId="19124"/>
    <cellStyle name="Normal 4 6 2 2 3 5 3" xfId="11736"/>
    <cellStyle name="Normal 4 6 2 2 3 5 3 2" xfId="22452"/>
    <cellStyle name="Normal 4 6 2 2 3 5 4" xfId="15796"/>
    <cellStyle name="Normal 4 6 2 2 3 6" xfId="6740"/>
    <cellStyle name="Normal 4 6 2 2 3 6 2" xfId="17460"/>
    <cellStyle name="Normal 4 6 2 2 3 7" xfId="10072"/>
    <cellStyle name="Normal 4 6 2 2 3 7 2" xfId="20788"/>
    <cellStyle name="Normal 4 6 2 2 3 8" xfId="14129"/>
    <cellStyle name="Normal 4 6 2 2 4" xfId="3071"/>
    <cellStyle name="Normal 4 6 2 2 4 2" xfId="4018"/>
    <cellStyle name="Normal 4 6 2 2 4 2 2" xfId="4858"/>
    <cellStyle name="Normal 4 6 2 2 4 2 2 2" xfId="6526"/>
    <cellStyle name="Normal 4 6 2 2 4 2 2 2 2" xfId="9861"/>
    <cellStyle name="Normal 4 6 2 2 4 2 2 2 2 2" xfId="20577"/>
    <cellStyle name="Normal 4 6 2 2 4 2 2 2 3" xfId="13189"/>
    <cellStyle name="Normal 4 6 2 2 4 2 2 2 3 2" xfId="23905"/>
    <cellStyle name="Normal 4 6 2 2 4 2 2 2 4" xfId="17249"/>
    <cellStyle name="Normal 4 6 2 2 4 2 2 3" xfId="8197"/>
    <cellStyle name="Normal 4 6 2 2 4 2 2 3 2" xfId="18913"/>
    <cellStyle name="Normal 4 6 2 2 4 2 2 4" xfId="11525"/>
    <cellStyle name="Normal 4 6 2 2 4 2 2 4 2" xfId="22241"/>
    <cellStyle name="Normal 4 6 2 2 4 2 2 5" xfId="15585"/>
    <cellStyle name="Normal 4 6 2 2 4 2 3" xfId="5694"/>
    <cellStyle name="Normal 4 6 2 2 4 2 3 2" xfId="9029"/>
    <cellStyle name="Normal 4 6 2 2 4 2 3 2 2" xfId="19745"/>
    <cellStyle name="Normal 4 6 2 2 4 2 3 3" xfId="12357"/>
    <cellStyle name="Normal 4 6 2 2 4 2 3 3 2" xfId="23073"/>
    <cellStyle name="Normal 4 6 2 2 4 2 3 4" xfId="16417"/>
    <cellStyle name="Normal 4 6 2 2 4 2 4" xfId="7365"/>
    <cellStyle name="Normal 4 6 2 2 4 2 4 2" xfId="18081"/>
    <cellStyle name="Normal 4 6 2 2 4 2 5" xfId="10693"/>
    <cellStyle name="Normal 4 6 2 2 4 2 5 2" xfId="21409"/>
    <cellStyle name="Normal 4 6 2 2 4 2 6" xfId="14753"/>
    <cellStyle name="Normal 4 6 2 2 4 3" xfId="4442"/>
    <cellStyle name="Normal 4 6 2 2 4 3 2" xfId="6110"/>
    <cellStyle name="Normal 4 6 2 2 4 3 2 2" xfId="9445"/>
    <cellStyle name="Normal 4 6 2 2 4 3 2 2 2" xfId="20161"/>
    <cellStyle name="Normal 4 6 2 2 4 3 2 3" xfId="12773"/>
    <cellStyle name="Normal 4 6 2 2 4 3 2 3 2" xfId="23489"/>
    <cellStyle name="Normal 4 6 2 2 4 3 2 4" xfId="16833"/>
    <cellStyle name="Normal 4 6 2 2 4 3 3" xfId="7781"/>
    <cellStyle name="Normal 4 6 2 2 4 3 3 2" xfId="18497"/>
    <cellStyle name="Normal 4 6 2 2 4 3 4" xfId="11109"/>
    <cellStyle name="Normal 4 6 2 2 4 3 4 2" xfId="21825"/>
    <cellStyle name="Normal 4 6 2 2 4 3 5" xfId="15169"/>
    <cellStyle name="Normal 4 6 2 2 4 4" xfId="5278"/>
    <cellStyle name="Normal 4 6 2 2 4 4 2" xfId="8613"/>
    <cellStyle name="Normal 4 6 2 2 4 4 2 2" xfId="19329"/>
    <cellStyle name="Normal 4 6 2 2 4 4 3" xfId="11941"/>
    <cellStyle name="Normal 4 6 2 2 4 4 3 2" xfId="22657"/>
    <cellStyle name="Normal 4 6 2 2 4 4 4" xfId="16001"/>
    <cellStyle name="Normal 4 6 2 2 4 5" xfId="6948"/>
    <cellStyle name="Normal 4 6 2 2 4 5 2" xfId="17665"/>
    <cellStyle name="Normal 4 6 2 2 4 6" xfId="10277"/>
    <cellStyle name="Normal 4 6 2 2 4 6 2" xfId="20993"/>
    <cellStyle name="Normal 4 6 2 2 4 7" xfId="14336"/>
    <cellStyle name="Normal 4 6 2 2 5" xfId="3799"/>
    <cellStyle name="Normal 4 6 2 2 5 2" xfId="4650"/>
    <cellStyle name="Normal 4 6 2 2 5 2 2" xfId="6318"/>
    <cellStyle name="Normal 4 6 2 2 5 2 2 2" xfId="9653"/>
    <cellStyle name="Normal 4 6 2 2 5 2 2 2 2" xfId="20369"/>
    <cellStyle name="Normal 4 6 2 2 5 2 2 3" xfId="12981"/>
    <cellStyle name="Normal 4 6 2 2 5 2 2 3 2" xfId="23697"/>
    <cellStyle name="Normal 4 6 2 2 5 2 2 4" xfId="17041"/>
    <cellStyle name="Normal 4 6 2 2 5 2 3" xfId="7989"/>
    <cellStyle name="Normal 4 6 2 2 5 2 3 2" xfId="18705"/>
    <cellStyle name="Normal 4 6 2 2 5 2 4" xfId="11317"/>
    <cellStyle name="Normal 4 6 2 2 5 2 4 2" xfId="22033"/>
    <cellStyle name="Normal 4 6 2 2 5 2 5" xfId="15377"/>
    <cellStyle name="Normal 4 6 2 2 5 3" xfId="5486"/>
    <cellStyle name="Normal 4 6 2 2 5 3 2" xfId="8821"/>
    <cellStyle name="Normal 4 6 2 2 5 3 2 2" xfId="19537"/>
    <cellStyle name="Normal 4 6 2 2 5 3 3" xfId="12149"/>
    <cellStyle name="Normal 4 6 2 2 5 3 3 2" xfId="22865"/>
    <cellStyle name="Normal 4 6 2 2 5 3 4" xfId="16209"/>
    <cellStyle name="Normal 4 6 2 2 5 4" xfId="7157"/>
    <cellStyle name="Normal 4 6 2 2 5 4 2" xfId="17873"/>
    <cellStyle name="Normal 4 6 2 2 5 5" xfId="10485"/>
    <cellStyle name="Normal 4 6 2 2 5 5 2" xfId="21201"/>
    <cellStyle name="Normal 4 6 2 2 5 6" xfId="14545"/>
    <cellStyle name="Normal 4 6 2 2 6" xfId="4232"/>
    <cellStyle name="Normal 4 6 2 2 6 2" xfId="5902"/>
    <cellStyle name="Normal 4 6 2 2 6 2 2" xfId="9237"/>
    <cellStyle name="Normal 4 6 2 2 6 2 2 2" xfId="19953"/>
    <cellStyle name="Normal 4 6 2 2 6 2 3" xfId="12565"/>
    <cellStyle name="Normal 4 6 2 2 6 2 3 2" xfId="23281"/>
    <cellStyle name="Normal 4 6 2 2 6 2 4" xfId="16625"/>
    <cellStyle name="Normal 4 6 2 2 6 3" xfId="7573"/>
    <cellStyle name="Normal 4 6 2 2 6 3 2" xfId="18289"/>
    <cellStyle name="Normal 4 6 2 2 6 4" xfId="10901"/>
    <cellStyle name="Normal 4 6 2 2 6 4 2" xfId="21617"/>
    <cellStyle name="Normal 4 6 2 2 6 5" xfId="14961"/>
    <cellStyle name="Normal 4 6 2 2 7" xfId="5067"/>
    <cellStyle name="Normal 4 6 2 2 7 2" xfId="8405"/>
    <cellStyle name="Normal 4 6 2 2 7 2 2" xfId="19121"/>
    <cellStyle name="Normal 4 6 2 2 7 3" xfId="11733"/>
    <cellStyle name="Normal 4 6 2 2 7 3 2" xfId="22449"/>
    <cellStyle name="Normal 4 6 2 2 7 4" xfId="15793"/>
    <cellStyle name="Normal 4 6 2 2 8" xfId="6737"/>
    <cellStyle name="Normal 4 6 2 2 8 2" xfId="17457"/>
    <cellStyle name="Normal 4 6 2 2 9" xfId="10069"/>
    <cellStyle name="Normal 4 6 2 2 9 2" xfId="20785"/>
    <cellStyle name="Normal 4 6 2 3" xfId="1390"/>
    <cellStyle name="Normal 4 6 2 3 2" xfId="1391"/>
    <cellStyle name="Normal 4 6 2 3 2 2" xfId="3076"/>
    <cellStyle name="Normal 4 6 2 3 2 2 2" xfId="4023"/>
    <cellStyle name="Normal 4 6 2 3 2 2 2 2" xfId="4863"/>
    <cellStyle name="Normal 4 6 2 3 2 2 2 2 2" xfId="6531"/>
    <cellStyle name="Normal 4 6 2 3 2 2 2 2 2 2" xfId="9866"/>
    <cellStyle name="Normal 4 6 2 3 2 2 2 2 2 2 2" xfId="20582"/>
    <cellStyle name="Normal 4 6 2 3 2 2 2 2 2 3" xfId="13194"/>
    <cellStyle name="Normal 4 6 2 3 2 2 2 2 2 3 2" xfId="23910"/>
    <cellStyle name="Normal 4 6 2 3 2 2 2 2 2 4" xfId="17254"/>
    <cellStyle name="Normal 4 6 2 3 2 2 2 2 3" xfId="8202"/>
    <cellStyle name="Normal 4 6 2 3 2 2 2 2 3 2" xfId="18918"/>
    <cellStyle name="Normal 4 6 2 3 2 2 2 2 4" xfId="11530"/>
    <cellStyle name="Normal 4 6 2 3 2 2 2 2 4 2" xfId="22246"/>
    <cellStyle name="Normal 4 6 2 3 2 2 2 2 5" xfId="15590"/>
    <cellStyle name="Normal 4 6 2 3 2 2 2 3" xfId="5699"/>
    <cellStyle name="Normal 4 6 2 3 2 2 2 3 2" xfId="9034"/>
    <cellStyle name="Normal 4 6 2 3 2 2 2 3 2 2" xfId="19750"/>
    <cellStyle name="Normal 4 6 2 3 2 2 2 3 3" xfId="12362"/>
    <cellStyle name="Normal 4 6 2 3 2 2 2 3 3 2" xfId="23078"/>
    <cellStyle name="Normal 4 6 2 3 2 2 2 3 4" xfId="16422"/>
    <cellStyle name="Normal 4 6 2 3 2 2 2 4" xfId="7370"/>
    <cellStyle name="Normal 4 6 2 3 2 2 2 4 2" xfId="18086"/>
    <cellStyle name="Normal 4 6 2 3 2 2 2 5" xfId="10698"/>
    <cellStyle name="Normal 4 6 2 3 2 2 2 5 2" xfId="21414"/>
    <cellStyle name="Normal 4 6 2 3 2 2 2 6" xfId="14758"/>
    <cellStyle name="Normal 4 6 2 3 2 2 3" xfId="4447"/>
    <cellStyle name="Normal 4 6 2 3 2 2 3 2" xfId="6115"/>
    <cellStyle name="Normal 4 6 2 3 2 2 3 2 2" xfId="9450"/>
    <cellStyle name="Normal 4 6 2 3 2 2 3 2 2 2" xfId="20166"/>
    <cellStyle name="Normal 4 6 2 3 2 2 3 2 3" xfId="12778"/>
    <cellStyle name="Normal 4 6 2 3 2 2 3 2 3 2" xfId="23494"/>
    <cellStyle name="Normal 4 6 2 3 2 2 3 2 4" xfId="16838"/>
    <cellStyle name="Normal 4 6 2 3 2 2 3 3" xfId="7786"/>
    <cellStyle name="Normal 4 6 2 3 2 2 3 3 2" xfId="18502"/>
    <cellStyle name="Normal 4 6 2 3 2 2 3 4" xfId="11114"/>
    <cellStyle name="Normal 4 6 2 3 2 2 3 4 2" xfId="21830"/>
    <cellStyle name="Normal 4 6 2 3 2 2 3 5" xfId="15174"/>
    <cellStyle name="Normal 4 6 2 3 2 2 4" xfId="5283"/>
    <cellStyle name="Normal 4 6 2 3 2 2 4 2" xfId="8618"/>
    <cellStyle name="Normal 4 6 2 3 2 2 4 2 2" xfId="19334"/>
    <cellStyle name="Normal 4 6 2 3 2 2 4 3" xfId="11946"/>
    <cellStyle name="Normal 4 6 2 3 2 2 4 3 2" xfId="22662"/>
    <cellStyle name="Normal 4 6 2 3 2 2 4 4" xfId="16006"/>
    <cellStyle name="Normal 4 6 2 3 2 2 5" xfId="6953"/>
    <cellStyle name="Normal 4 6 2 3 2 2 5 2" xfId="17670"/>
    <cellStyle name="Normal 4 6 2 3 2 2 6" xfId="10282"/>
    <cellStyle name="Normal 4 6 2 3 2 2 6 2" xfId="20998"/>
    <cellStyle name="Normal 4 6 2 3 2 2 7" xfId="14341"/>
    <cellStyle name="Normal 4 6 2 3 2 3" xfId="3804"/>
    <cellStyle name="Normal 4 6 2 3 2 3 2" xfId="4655"/>
    <cellStyle name="Normal 4 6 2 3 2 3 2 2" xfId="6323"/>
    <cellStyle name="Normal 4 6 2 3 2 3 2 2 2" xfId="9658"/>
    <cellStyle name="Normal 4 6 2 3 2 3 2 2 2 2" xfId="20374"/>
    <cellStyle name="Normal 4 6 2 3 2 3 2 2 3" xfId="12986"/>
    <cellStyle name="Normal 4 6 2 3 2 3 2 2 3 2" xfId="23702"/>
    <cellStyle name="Normal 4 6 2 3 2 3 2 2 4" xfId="17046"/>
    <cellStyle name="Normal 4 6 2 3 2 3 2 3" xfId="7994"/>
    <cellStyle name="Normal 4 6 2 3 2 3 2 3 2" xfId="18710"/>
    <cellStyle name="Normal 4 6 2 3 2 3 2 4" xfId="11322"/>
    <cellStyle name="Normal 4 6 2 3 2 3 2 4 2" xfId="22038"/>
    <cellStyle name="Normal 4 6 2 3 2 3 2 5" xfId="15382"/>
    <cellStyle name="Normal 4 6 2 3 2 3 3" xfId="5491"/>
    <cellStyle name="Normal 4 6 2 3 2 3 3 2" xfId="8826"/>
    <cellStyle name="Normal 4 6 2 3 2 3 3 2 2" xfId="19542"/>
    <cellStyle name="Normal 4 6 2 3 2 3 3 3" xfId="12154"/>
    <cellStyle name="Normal 4 6 2 3 2 3 3 3 2" xfId="22870"/>
    <cellStyle name="Normal 4 6 2 3 2 3 3 4" xfId="16214"/>
    <cellStyle name="Normal 4 6 2 3 2 3 4" xfId="7162"/>
    <cellStyle name="Normal 4 6 2 3 2 3 4 2" xfId="17878"/>
    <cellStyle name="Normal 4 6 2 3 2 3 5" xfId="10490"/>
    <cellStyle name="Normal 4 6 2 3 2 3 5 2" xfId="21206"/>
    <cellStyle name="Normal 4 6 2 3 2 3 6" xfId="14550"/>
    <cellStyle name="Normal 4 6 2 3 2 4" xfId="4237"/>
    <cellStyle name="Normal 4 6 2 3 2 4 2" xfId="5907"/>
    <cellStyle name="Normal 4 6 2 3 2 4 2 2" xfId="9242"/>
    <cellStyle name="Normal 4 6 2 3 2 4 2 2 2" xfId="19958"/>
    <cellStyle name="Normal 4 6 2 3 2 4 2 3" xfId="12570"/>
    <cellStyle name="Normal 4 6 2 3 2 4 2 3 2" xfId="23286"/>
    <cellStyle name="Normal 4 6 2 3 2 4 2 4" xfId="16630"/>
    <cellStyle name="Normal 4 6 2 3 2 4 3" xfId="7578"/>
    <cellStyle name="Normal 4 6 2 3 2 4 3 2" xfId="18294"/>
    <cellStyle name="Normal 4 6 2 3 2 4 4" xfId="10906"/>
    <cellStyle name="Normal 4 6 2 3 2 4 4 2" xfId="21622"/>
    <cellStyle name="Normal 4 6 2 3 2 4 5" xfId="14966"/>
    <cellStyle name="Normal 4 6 2 3 2 5" xfId="5072"/>
    <cellStyle name="Normal 4 6 2 3 2 5 2" xfId="8410"/>
    <cellStyle name="Normal 4 6 2 3 2 5 2 2" xfId="19126"/>
    <cellStyle name="Normal 4 6 2 3 2 5 3" xfId="11738"/>
    <cellStyle name="Normal 4 6 2 3 2 5 3 2" xfId="22454"/>
    <cellStyle name="Normal 4 6 2 3 2 5 4" xfId="15798"/>
    <cellStyle name="Normal 4 6 2 3 2 6" xfId="6742"/>
    <cellStyle name="Normal 4 6 2 3 2 6 2" xfId="17462"/>
    <cellStyle name="Normal 4 6 2 3 2 7" xfId="10074"/>
    <cellStyle name="Normal 4 6 2 3 2 7 2" xfId="20790"/>
    <cellStyle name="Normal 4 6 2 3 2 8" xfId="14131"/>
    <cellStyle name="Normal 4 6 2 3 3" xfId="3075"/>
    <cellStyle name="Normal 4 6 2 3 3 2" xfId="4022"/>
    <cellStyle name="Normal 4 6 2 3 3 2 2" xfId="4862"/>
    <cellStyle name="Normal 4 6 2 3 3 2 2 2" xfId="6530"/>
    <cellStyle name="Normal 4 6 2 3 3 2 2 2 2" xfId="9865"/>
    <cellStyle name="Normal 4 6 2 3 3 2 2 2 2 2" xfId="20581"/>
    <cellStyle name="Normal 4 6 2 3 3 2 2 2 3" xfId="13193"/>
    <cellStyle name="Normal 4 6 2 3 3 2 2 2 3 2" xfId="23909"/>
    <cellStyle name="Normal 4 6 2 3 3 2 2 2 4" xfId="17253"/>
    <cellStyle name="Normal 4 6 2 3 3 2 2 3" xfId="8201"/>
    <cellStyle name="Normal 4 6 2 3 3 2 2 3 2" xfId="18917"/>
    <cellStyle name="Normal 4 6 2 3 3 2 2 4" xfId="11529"/>
    <cellStyle name="Normal 4 6 2 3 3 2 2 4 2" xfId="22245"/>
    <cellStyle name="Normal 4 6 2 3 3 2 2 5" xfId="15589"/>
    <cellStyle name="Normal 4 6 2 3 3 2 3" xfId="5698"/>
    <cellStyle name="Normal 4 6 2 3 3 2 3 2" xfId="9033"/>
    <cellStyle name="Normal 4 6 2 3 3 2 3 2 2" xfId="19749"/>
    <cellStyle name="Normal 4 6 2 3 3 2 3 3" xfId="12361"/>
    <cellStyle name="Normal 4 6 2 3 3 2 3 3 2" xfId="23077"/>
    <cellStyle name="Normal 4 6 2 3 3 2 3 4" xfId="16421"/>
    <cellStyle name="Normal 4 6 2 3 3 2 4" xfId="7369"/>
    <cellStyle name="Normal 4 6 2 3 3 2 4 2" xfId="18085"/>
    <cellStyle name="Normal 4 6 2 3 3 2 5" xfId="10697"/>
    <cellStyle name="Normal 4 6 2 3 3 2 5 2" xfId="21413"/>
    <cellStyle name="Normal 4 6 2 3 3 2 6" xfId="14757"/>
    <cellStyle name="Normal 4 6 2 3 3 3" xfId="4446"/>
    <cellStyle name="Normal 4 6 2 3 3 3 2" xfId="6114"/>
    <cellStyle name="Normal 4 6 2 3 3 3 2 2" xfId="9449"/>
    <cellStyle name="Normal 4 6 2 3 3 3 2 2 2" xfId="20165"/>
    <cellStyle name="Normal 4 6 2 3 3 3 2 3" xfId="12777"/>
    <cellStyle name="Normal 4 6 2 3 3 3 2 3 2" xfId="23493"/>
    <cellStyle name="Normal 4 6 2 3 3 3 2 4" xfId="16837"/>
    <cellStyle name="Normal 4 6 2 3 3 3 3" xfId="7785"/>
    <cellStyle name="Normal 4 6 2 3 3 3 3 2" xfId="18501"/>
    <cellStyle name="Normal 4 6 2 3 3 3 4" xfId="11113"/>
    <cellStyle name="Normal 4 6 2 3 3 3 4 2" xfId="21829"/>
    <cellStyle name="Normal 4 6 2 3 3 3 5" xfId="15173"/>
    <cellStyle name="Normal 4 6 2 3 3 4" xfId="5282"/>
    <cellStyle name="Normal 4 6 2 3 3 4 2" xfId="8617"/>
    <cellStyle name="Normal 4 6 2 3 3 4 2 2" xfId="19333"/>
    <cellStyle name="Normal 4 6 2 3 3 4 3" xfId="11945"/>
    <cellStyle name="Normal 4 6 2 3 3 4 3 2" xfId="22661"/>
    <cellStyle name="Normal 4 6 2 3 3 4 4" xfId="16005"/>
    <cellStyle name="Normal 4 6 2 3 3 5" xfId="6952"/>
    <cellStyle name="Normal 4 6 2 3 3 5 2" xfId="17669"/>
    <cellStyle name="Normal 4 6 2 3 3 6" xfId="10281"/>
    <cellStyle name="Normal 4 6 2 3 3 6 2" xfId="20997"/>
    <cellStyle name="Normal 4 6 2 3 3 7" xfId="14340"/>
    <cellStyle name="Normal 4 6 2 3 4" xfId="3803"/>
    <cellStyle name="Normal 4 6 2 3 4 2" xfId="4654"/>
    <cellStyle name="Normal 4 6 2 3 4 2 2" xfId="6322"/>
    <cellStyle name="Normal 4 6 2 3 4 2 2 2" xfId="9657"/>
    <cellStyle name="Normal 4 6 2 3 4 2 2 2 2" xfId="20373"/>
    <cellStyle name="Normal 4 6 2 3 4 2 2 3" xfId="12985"/>
    <cellStyle name="Normal 4 6 2 3 4 2 2 3 2" xfId="23701"/>
    <cellStyle name="Normal 4 6 2 3 4 2 2 4" xfId="17045"/>
    <cellStyle name="Normal 4 6 2 3 4 2 3" xfId="7993"/>
    <cellStyle name="Normal 4 6 2 3 4 2 3 2" xfId="18709"/>
    <cellStyle name="Normal 4 6 2 3 4 2 4" xfId="11321"/>
    <cellStyle name="Normal 4 6 2 3 4 2 4 2" xfId="22037"/>
    <cellStyle name="Normal 4 6 2 3 4 2 5" xfId="15381"/>
    <cellStyle name="Normal 4 6 2 3 4 3" xfId="5490"/>
    <cellStyle name="Normal 4 6 2 3 4 3 2" xfId="8825"/>
    <cellStyle name="Normal 4 6 2 3 4 3 2 2" xfId="19541"/>
    <cellStyle name="Normal 4 6 2 3 4 3 3" xfId="12153"/>
    <cellStyle name="Normal 4 6 2 3 4 3 3 2" xfId="22869"/>
    <cellStyle name="Normal 4 6 2 3 4 3 4" xfId="16213"/>
    <cellStyle name="Normal 4 6 2 3 4 4" xfId="7161"/>
    <cellStyle name="Normal 4 6 2 3 4 4 2" xfId="17877"/>
    <cellStyle name="Normal 4 6 2 3 4 5" xfId="10489"/>
    <cellStyle name="Normal 4 6 2 3 4 5 2" xfId="21205"/>
    <cellStyle name="Normal 4 6 2 3 4 6" xfId="14549"/>
    <cellStyle name="Normal 4 6 2 3 5" xfId="4236"/>
    <cellStyle name="Normal 4 6 2 3 5 2" xfId="5906"/>
    <cellStyle name="Normal 4 6 2 3 5 2 2" xfId="9241"/>
    <cellStyle name="Normal 4 6 2 3 5 2 2 2" xfId="19957"/>
    <cellStyle name="Normal 4 6 2 3 5 2 3" xfId="12569"/>
    <cellStyle name="Normal 4 6 2 3 5 2 3 2" xfId="23285"/>
    <cellStyle name="Normal 4 6 2 3 5 2 4" xfId="16629"/>
    <cellStyle name="Normal 4 6 2 3 5 3" xfId="7577"/>
    <cellStyle name="Normal 4 6 2 3 5 3 2" xfId="18293"/>
    <cellStyle name="Normal 4 6 2 3 5 4" xfId="10905"/>
    <cellStyle name="Normal 4 6 2 3 5 4 2" xfId="21621"/>
    <cellStyle name="Normal 4 6 2 3 5 5" xfId="14965"/>
    <cellStyle name="Normal 4 6 2 3 6" xfId="5071"/>
    <cellStyle name="Normal 4 6 2 3 6 2" xfId="8409"/>
    <cellStyle name="Normal 4 6 2 3 6 2 2" xfId="19125"/>
    <cellStyle name="Normal 4 6 2 3 6 3" xfId="11737"/>
    <cellStyle name="Normal 4 6 2 3 6 3 2" xfId="22453"/>
    <cellStyle name="Normal 4 6 2 3 6 4" xfId="15797"/>
    <cellStyle name="Normal 4 6 2 3 7" xfId="6741"/>
    <cellStyle name="Normal 4 6 2 3 7 2" xfId="17461"/>
    <cellStyle name="Normal 4 6 2 3 8" xfId="10073"/>
    <cellStyle name="Normal 4 6 2 3 8 2" xfId="20789"/>
    <cellStyle name="Normal 4 6 2 3 9" xfId="14130"/>
    <cellStyle name="Normal 4 6 2 4" xfId="1392"/>
    <cellStyle name="Normal 4 6 2 4 2" xfId="3077"/>
    <cellStyle name="Normal 4 6 2 4 2 2" xfId="4024"/>
    <cellStyle name="Normal 4 6 2 4 2 2 2" xfId="4864"/>
    <cellStyle name="Normal 4 6 2 4 2 2 2 2" xfId="6532"/>
    <cellStyle name="Normal 4 6 2 4 2 2 2 2 2" xfId="9867"/>
    <cellStyle name="Normal 4 6 2 4 2 2 2 2 2 2" xfId="20583"/>
    <cellStyle name="Normal 4 6 2 4 2 2 2 2 3" xfId="13195"/>
    <cellStyle name="Normal 4 6 2 4 2 2 2 2 3 2" xfId="23911"/>
    <cellStyle name="Normal 4 6 2 4 2 2 2 2 4" xfId="17255"/>
    <cellStyle name="Normal 4 6 2 4 2 2 2 3" xfId="8203"/>
    <cellStyle name="Normal 4 6 2 4 2 2 2 3 2" xfId="18919"/>
    <cellStyle name="Normal 4 6 2 4 2 2 2 4" xfId="11531"/>
    <cellStyle name="Normal 4 6 2 4 2 2 2 4 2" xfId="22247"/>
    <cellStyle name="Normal 4 6 2 4 2 2 2 5" xfId="15591"/>
    <cellStyle name="Normal 4 6 2 4 2 2 3" xfId="5700"/>
    <cellStyle name="Normal 4 6 2 4 2 2 3 2" xfId="9035"/>
    <cellStyle name="Normal 4 6 2 4 2 2 3 2 2" xfId="19751"/>
    <cellStyle name="Normal 4 6 2 4 2 2 3 3" xfId="12363"/>
    <cellStyle name="Normal 4 6 2 4 2 2 3 3 2" xfId="23079"/>
    <cellStyle name="Normal 4 6 2 4 2 2 3 4" xfId="16423"/>
    <cellStyle name="Normal 4 6 2 4 2 2 4" xfId="7371"/>
    <cellStyle name="Normal 4 6 2 4 2 2 4 2" xfId="18087"/>
    <cellStyle name="Normal 4 6 2 4 2 2 5" xfId="10699"/>
    <cellStyle name="Normal 4 6 2 4 2 2 5 2" xfId="21415"/>
    <cellStyle name="Normal 4 6 2 4 2 2 6" xfId="14759"/>
    <cellStyle name="Normal 4 6 2 4 2 3" xfId="4448"/>
    <cellStyle name="Normal 4 6 2 4 2 3 2" xfId="6116"/>
    <cellStyle name="Normal 4 6 2 4 2 3 2 2" xfId="9451"/>
    <cellStyle name="Normal 4 6 2 4 2 3 2 2 2" xfId="20167"/>
    <cellStyle name="Normal 4 6 2 4 2 3 2 3" xfId="12779"/>
    <cellStyle name="Normal 4 6 2 4 2 3 2 3 2" xfId="23495"/>
    <cellStyle name="Normal 4 6 2 4 2 3 2 4" xfId="16839"/>
    <cellStyle name="Normal 4 6 2 4 2 3 3" xfId="7787"/>
    <cellStyle name="Normal 4 6 2 4 2 3 3 2" xfId="18503"/>
    <cellStyle name="Normal 4 6 2 4 2 3 4" xfId="11115"/>
    <cellStyle name="Normal 4 6 2 4 2 3 4 2" xfId="21831"/>
    <cellStyle name="Normal 4 6 2 4 2 3 5" xfId="15175"/>
    <cellStyle name="Normal 4 6 2 4 2 4" xfId="5284"/>
    <cellStyle name="Normal 4 6 2 4 2 4 2" xfId="8619"/>
    <cellStyle name="Normal 4 6 2 4 2 4 2 2" xfId="19335"/>
    <cellStyle name="Normal 4 6 2 4 2 4 3" xfId="11947"/>
    <cellStyle name="Normal 4 6 2 4 2 4 3 2" xfId="22663"/>
    <cellStyle name="Normal 4 6 2 4 2 4 4" xfId="16007"/>
    <cellStyle name="Normal 4 6 2 4 2 5" xfId="6954"/>
    <cellStyle name="Normal 4 6 2 4 2 5 2" xfId="17671"/>
    <cellStyle name="Normal 4 6 2 4 2 6" xfId="10283"/>
    <cellStyle name="Normal 4 6 2 4 2 6 2" xfId="20999"/>
    <cellStyle name="Normal 4 6 2 4 2 7" xfId="14342"/>
    <cellStyle name="Normal 4 6 2 4 3" xfId="3805"/>
    <cellStyle name="Normal 4 6 2 4 3 2" xfId="4656"/>
    <cellStyle name="Normal 4 6 2 4 3 2 2" xfId="6324"/>
    <cellStyle name="Normal 4 6 2 4 3 2 2 2" xfId="9659"/>
    <cellStyle name="Normal 4 6 2 4 3 2 2 2 2" xfId="20375"/>
    <cellStyle name="Normal 4 6 2 4 3 2 2 3" xfId="12987"/>
    <cellStyle name="Normal 4 6 2 4 3 2 2 3 2" xfId="23703"/>
    <cellStyle name="Normal 4 6 2 4 3 2 2 4" xfId="17047"/>
    <cellStyle name="Normal 4 6 2 4 3 2 3" xfId="7995"/>
    <cellStyle name="Normal 4 6 2 4 3 2 3 2" xfId="18711"/>
    <cellStyle name="Normal 4 6 2 4 3 2 4" xfId="11323"/>
    <cellStyle name="Normal 4 6 2 4 3 2 4 2" xfId="22039"/>
    <cellStyle name="Normal 4 6 2 4 3 2 5" xfId="15383"/>
    <cellStyle name="Normal 4 6 2 4 3 3" xfId="5492"/>
    <cellStyle name="Normal 4 6 2 4 3 3 2" xfId="8827"/>
    <cellStyle name="Normal 4 6 2 4 3 3 2 2" xfId="19543"/>
    <cellStyle name="Normal 4 6 2 4 3 3 3" xfId="12155"/>
    <cellStyle name="Normal 4 6 2 4 3 3 3 2" xfId="22871"/>
    <cellStyle name="Normal 4 6 2 4 3 3 4" xfId="16215"/>
    <cellStyle name="Normal 4 6 2 4 3 4" xfId="7163"/>
    <cellStyle name="Normal 4 6 2 4 3 4 2" xfId="17879"/>
    <cellStyle name="Normal 4 6 2 4 3 5" xfId="10491"/>
    <cellStyle name="Normal 4 6 2 4 3 5 2" xfId="21207"/>
    <cellStyle name="Normal 4 6 2 4 3 6" xfId="14551"/>
    <cellStyle name="Normal 4 6 2 4 4" xfId="4238"/>
    <cellStyle name="Normal 4 6 2 4 4 2" xfId="5908"/>
    <cellStyle name="Normal 4 6 2 4 4 2 2" xfId="9243"/>
    <cellStyle name="Normal 4 6 2 4 4 2 2 2" xfId="19959"/>
    <cellStyle name="Normal 4 6 2 4 4 2 3" xfId="12571"/>
    <cellStyle name="Normal 4 6 2 4 4 2 3 2" xfId="23287"/>
    <cellStyle name="Normal 4 6 2 4 4 2 4" xfId="16631"/>
    <cellStyle name="Normal 4 6 2 4 4 3" xfId="7579"/>
    <cellStyle name="Normal 4 6 2 4 4 3 2" xfId="18295"/>
    <cellStyle name="Normal 4 6 2 4 4 4" xfId="10907"/>
    <cellStyle name="Normal 4 6 2 4 4 4 2" xfId="21623"/>
    <cellStyle name="Normal 4 6 2 4 4 5" xfId="14967"/>
    <cellStyle name="Normal 4 6 2 4 5" xfId="5073"/>
    <cellStyle name="Normal 4 6 2 4 5 2" xfId="8411"/>
    <cellStyle name="Normal 4 6 2 4 5 2 2" xfId="19127"/>
    <cellStyle name="Normal 4 6 2 4 5 3" xfId="11739"/>
    <cellStyle name="Normal 4 6 2 4 5 3 2" xfId="22455"/>
    <cellStyle name="Normal 4 6 2 4 5 4" xfId="15799"/>
    <cellStyle name="Normal 4 6 2 4 6" xfId="6743"/>
    <cellStyle name="Normal 4 6 2 4 6 2" xfId="17463"/>
    <cellStyle name="Normal 4 6 2 4 7" xfId="10075"/>
    <cellStyle name="Normal 4 6 2 4 7 2" xfId="20791"/>
    <cellStyle name="Normal 4 6 2 4 8" xfId="14132"/>
    <cellStyle name="Normal 4 6 2 5" xfId="3070"/>
    <cellStyle name="Normal 4 6 2 5 2" xfId="4017"/>
    <cellStyle name="Normal 4 6 2 5 2 2" xfId="4857"/>
    <cellStyle name="Normal 4 6 2 5 2 2 2" xfId="6525"/>
    <cellStyle name="Normal 4 6 2 5 2 2 2 2" xfId="9860"/>
    <cellStyle name="Normal 4 6 2 5 2 2 2 2 2" xfId="20576"/>
    <cellStyle name="Normal 4 6 2 5 2 2 2 3" xfId="13188"/>
    <cellStyle name="Normal 4 6 2 5 2 2 2 3 2" xfId="23904"/>
    <cellStyle name="Normal 4 6 2 5 2 2 2 4" xfId="17248"/>
    <cellStyle name="Normal 4 6 2 5 2 2 3" xfId="8196"/>
    <cellStyle name="Normal 4 6 2 5 2 2 3 2" xfId="18912"/>
    <cellStyle name="Normal 4 6 2 5 2 2 4" xfId="11524"/>
    <cellStyle name="Normal 4 6 2 5 2 2 4 2" xfId="22240"/>
    <cellStyle name="Normal 4 6 2 5 2 2 5" xfId="15584"/>
    <cellStyle name="Normal 4 6 2 5 2 3" xfId="5693"/>
    <cellStyle name="Normal 4 6 2 5 2 3 2" xfId="9028"/>
    <cellStyle name="Normal 4 6 2 5 2 3 2 2" xfId="19744"/>
    <cellStyle name="Normal 4 6 2 5 2 3 3" xfId="12356"/>
    <cellStyle name="Normal 4 6 2 5 2 3 3 2" xfId="23072"/>
    <cellStyle name="Normal 4 6 2 5 2 3 4" xfId="16416"/>
    <cellStyle name="Normal 4 6 2 5 2 4" xfId="7364"/>
    <cellStyle name="Normal 4 6 2 5 2 4 2" xfId="18080"/>
    <cellStyle name="Normal 4 6 2 5 2 5" xfId="10692"/>
    <cellStyle name="Normal 4 6 2 5 2 5 2" xfId="21408"/>
    <cellStyle name="Normal 4 6 2 5 2 6" xfId="14752"/>
    <cellStyle name="Normal 4 6 2 5 3" xfId="4441"/>
    <cellStyle name="Normal 4 6 2 5 3 2" xfId="6109"/>
    <cellStyle name="Normal 4 6 2 5 3 2 2" xfId="9444"/>
    <cellStyle name="Normal 4 6 2 5 3 2 2 2" xfId="20160"/>
    <cellStyle name="Normal 4 6 2 5 3 2 3" xfId="12772"/>
    <cellStyle name="Normal 4 6 2 5 3 2 3 2" xfId="23488"/>
    <cellStyle name="Normal 4 6 2 5 3 2 4" xfId="16832"/>
    <cellStyle name="Normal 4 6 2 5 3 3" xfId="7780"/>
    <cellStyle name="Normal 4 6 2 5 3 3 2" xfId="18496"/>
    <cellStyle name="Normal 4 6 2 5 3 4" xfId="11108"/>
    <cellStyle name="Normal 4 6 2 5 3 4 2" xfId="21824"/>
    <cellStyle name="Normal 4 6 2 5 3 5" xfId="15168"/>
    <cellStyle name="Normal 4 6 2 5 4" xfId="5277"/>
    <cellStyle name="Normal 4 6 2 5 4 2" xfId="8612"/>
    <cellStyle name="Normal 4 6 2 5 4 2 2" xfId="19328"/>
    <cellStyle name="Normal 4 6 2 5 4 3" xfId="11940"/>
    <cellStyle name="Normal 4 6 2 5 4 3 2" xfId="22656"/>
    <cellStyle name="Normal 4 6 2 5 4 4" xfId="16000"/>
    <cellStyle name="Normal 4 6 2 5 5" xfId="6947"/>
    <cellStyle name="Normal 4 6 2 5 5 2" xfId="17664"/>
    <cellStyle name="Normal 4 6 2 5 6" xfId="10276"/>
    <cellStyle name="Normal 4 6 2 5 6 2" xfId="20992"/>
    <cellStyle name="Normal 4 6 2 5 7" xfId="14335"/>
    <cellStyle name="Normal 4 6 2 6" xfId="3798"/>
    <cellStyle name="Normal 4 6 2 6 2" xfId="4649"/>
    <cellStyle name="Normal 4 6 2 6 2 2" xfId="6317"/>
    <cellStyle name="Normal 4 6 2 6 2 2 2" xfId="9652"/>
    <cellStyle name="Normal 4 6 2 6 2 2 2 2" xfId="20368"/>
    <cellStyle name="Normal 4 6 2 6 2 2 3" xfId="12980"/>
    <cellStyle name="Normal 4 6 2 6 2 2 3 2" xfId="23696"/>
    <cellStyle name="Normal 4 6 2 6 2 2 4" xfId="17040"/>
    <cellStyle name="Normal 4 6 2 6 2 3" xfId="7988"/>
    <cellStyle name="Normal 4 6 2 6 2 3 2" xfId="18704"/>
    <cellStyle name="Normal 4 6 2 6 2 4" xfId="11316"/>
    <cellStyle name="Normal 4 6 2 6 2 4 2" xfId="22032"/>
    <cellStyle name="Normal 4 6 2 6 2 5" xfId="15376"/>
    <cellStyle name="Normal 4 6 2 6 3" xfId="5485"/>
    <cellStyle name="Normal 4 6 2 6 3 2" xfId="8820"/>
    <cellStyle name="Normal 4 6 2 6 3 2 2" xfId="19536"/>
    <cellStyle name="Normal 4 6 2 6 3 3" xfId="12148"/>
    <cellStyle name="Normal 4 6 2 6 3 3 2" xfId="22864"/>
    <cellStyle name="Normal 4 6 2 6 3 4" xfId="16208"/>
    <cellStyle name="Normal 4 6 2 6 4" xfId="7156"/>
    <cellStyle name="Normal 4 6 2 6 4 2" xfId="17872"/>
    <cellStyle name="Normal 4 6 2 6 5" xfId="10484"/>
    <cellStyle name="Normal 4 6 2 6 5 2" xfId="21200"/>
    <cellStyle name="Normal 4 6 2 6 6" xfId="14544"/>
    <cellStyle name="Normal 4 6 2 7" xfId="4231"/>
    <cellStyle name="Normal 4 6 2 7 2" xfId="5901"/>
    <cellStyle name="Normal 4 6 2 7 2 2" xfId="9236"/>
    <cellStyle name="Normal 4 6 2 7 2 2 2" xfId="19952"/>
    <cellStyle name="Normal 4 6 2 7 2 3" xfId="12564"/>
    <cellStyle name="Normal 4 6 2 7 2 3 2" xfId="23280"/>
    <cellStyle name="Normal 4 6 2 7 2 4" xfId="16624"/>
    <cellStyle name="Normal 4 6 2 7 3" xfId="7572"/>
    <cellStyle name="Normal 4 6 2 7 3 2" xfId="18288"/>
    <cellStyle name="Normal 4 6 2 7 4" xfId="10900"/>
    <cellStyle name="Normal 4 6 2 7 4 2" xfId="21616"/>
    <cellStyle name="Normal 4 6 2 7 5" xfId="14960"/>
    <cellStyle name="Normal 4 6 2 8" xfId="5066"/>
    <cellStyle name="Normal 4 6 2 8 2" xfId="8404"/>
    <cellStyle name="Normal 4 6 2 8 2 2" xfId="19120"/>
    <cellStyle name="Normal 4 6 2 8 3" xfId="11732"/>
    <cellStyle name="Normal 4 6 2 8 3 2" xfId="22448"/>
    <cellStyle name="Normal 4 6 2 8 4" xfId="15792"/>
    <cellStyle name="Normal 4 6 2 9" xfId="6736"/>
    <cellStyle name="Normal 4 6 2 9 2" xfId="17456"/>
    <cellStyle name="Normal 4 6 3" xfId="1393"/>
    <cellStyle name="Normal 4 6 3 10" xfId="14133"/>
    <cellStyle name="Normal 4 6 3 2" xfId="1394"/>
    <cellStyle name="Normal 4 6 3 2 2" xfId="1395"/>
    <cellStyle name="Normal 4 6 3 2 2 2" xfId="3080"/>
    <cellStyle name="Normal 4 6 3 2 2 2 2" xfId="4027"/>
    <cellStyle name="Normal 4 6 3 2 2 2 2 2" xfId="4867"/>
    <cellStyle name="Normal 4 6 3 2 2 2 2 2 2" xfId="6535"/>
    <cellStyle name="Normal 4 6 3 2 2 2 2 2 2 2" xfId="9870"/>
    <cellStyle name="Normal 4 6 3 2 2 2 2 2 2 2 2" xfId="20586"/>
    <cellStyle name="Normal 4 6 3 2 2 2 2 2 2 3" xfId="13198"/>
    <cellStyle name="Normal 4 6 3 2 2 2 2 2 2 3 2" xfId="23914"/>
    <cellStyle name="Normal 4 6 3 2 2 2 2 2 2 4" xfId="17258"/>
    <cellStyle name="Normal 4 6 3 2 2 2 2 2 3" xfId="8206"/>
    <cellStyle name="Normal 4 6 3 2 2 2 2 2 3 2" xfId="18922"/>
    <cellStyle name="Normal 4 6 3 2 2 2 2 2 4" xfId="11534"/>
    <cellStyle name="Normal 4 6 3 2 2 2 2 2 4 2" xfId="22250"/>
    <cellStyle name="Normal 4 6 3 2 2 2 2 2 5" xfId="15594"/>
    <cellStyle name="Normal 4 6 3 2 2 2 2 3" xfId="5703"/>
    <cellStyle name="Normal 4 6 3 2 2 2 2 3 2" xfId="9038"/>
    <cellStyle name="Normal 4 6 3 2 2 2 2 3 2 2" xfId="19754"/>
    <cellStyle name="Normal 4 6 3 2 2 2 2 3 3" xfId="12366"/>
    <cellStyle name="Normal 4 6 3 2 2 2 2 3 3 2" xfId="23082"/>
    <cellStyle name="Normal 4 6 3 2 2 2 2 3 4" xfId="16426"/>
    <cellStyle name="Normal 4 6 3 2 2 2 2 4" xfId="7374"/>
    <cellStyle name="Normal 4 6 3 2 2 2 2 4 2" xfId="18090"/>
    <cellStyle name="Normal 4 6 3 2 2 2 2 5" xfId="10702"/>
    <cellStyle name="Normal 4 6 3 2 2 2 2 5 2" xfId="21418"/>
    <cellStyle name="Normal 4 6 3 2 2 2 2 6" xfId="14762"/>
    <cellStyle name="Normal 4 6 3 2 2 2 3" xfId="4451"/>
    <cellStyle name="Normal 4 6 3 2 2 2 3 2" xfId="6119"/>
    <cellStyle name="Normal 4 6 3 2 2 2 3 2 2" xfId="9454"/>
    <cellStyle name="Normal 4 6 3 2 2 2 3 2 2 2" xfId="20170"/>
    <cellStyle name="Normal 4 6 3 2 2 2 3 2 3" xfId="12782"/>
    <cellStyle name="Normal 4 6 3 2 2 2 3 2 3 2" xfId="23498"/>
    <cellStyle name="Normal 4 6 3 2 2 2 3 2 4" xfId="16842"/>
    <cellStyle name="Normal 4 6 3 2 2 2 3 3" xfId="7790"/>
    <cellStyle name="Normal 4 6 3 2 2 2 3 3 2" xfId="18506"/>
    <cellStyle name="Normal 4 6 3 2 2 2 3 4" xfId="11118"/>
    <cellStyle name="Normal 4 6 3 2 2 2 3 4 2" xfId="21834"/>
    <cellStyle name="Normal 4 6 3 2 2 2 3 5" xfId="15178"/>
    <cellStyle name="Normal 4 6 3 2 2 2 4" xfId="5287"/>
    <cellStyle name="Normal 4 6 3 2 2 2 4 2" xfId="8622"/>
    <cellStyle name="Normal 4 6 3 2 2 2 4 2 2" xfId="19338"/>
    <cellStyle name="Normal 4 6 3 2 2 2 4 3" xfId="11950"/>
    <cellStyle name="Normal 4 6 3 2 2 2 4 3 2" xfId="22666"/>
    <cellStyle name="Normal 4 6 3 2 2 2 4 4" xfId="16010"/>
    <cellStyle name="Normal 4 6 3 2 2 2 5" xfId="6957"/>
    <cellStyle name="Normal 4 6 3 2 2 2 5 2" xfId="17674"/>
    <cellStyle name="Normal 4 6 3 2 2 2 6" xfId="10286"/>
    <cellStyle name="Normal 4 6 3 2 2 2 6 2" xfId="21002"/>
    <cellStyle name="Normal 4 6 3 2 2 2 7" xfId="14345"/>
    <cellStyle name="Normal 4 6 3 2 2 3" xfId="3808"/>
    <cellStyle name="Normal 4 6 3 2 2 3 2" xfId="4659"/>
    <cellStyle name="Normal 4 6 3 2 2 3 2 2" xfId="6327"/>
    <cellStyle name="Normal 4 6 3 2 2 3 2 2 2" xfId="9662"/>
    <cellStyle name="Normal 4 6 3 2 2 3 2 2 2 2" xfId="20378"/>
    <cellStyle name="Normal 4 6 3 2 2 3 2 2 3" xfId="12990"/>
    <cellStyle name="Normal 4 6 3 2 2 3 2 2 3 2" xfId="23706"/>
    <cellStyle name="Normal 4 6 3 2 2 3 2 2 4" xfId="17050"/>
    <cellStyle name="Normal 4 6 3 2 2 3 2 3" xfId="7998"/>
    <cellStyle name="Normal 4 6 3 2 2 3 2 3 2" xfId="18714"/>
    <cellStyle name="Normal 4 6 3 2 2 3 2 4" xfId="11326"/>
    <cellStyle name="Normal 4 6 3 2 2 3 2 4 2" xfId="22042"/>
    <cellStyle name="Normal 4 6 3 2 2 3 2 5" xfId="15386"/>
    <cellStyle name="Normal 4 6 3 2 2 3 3" xfId="5495"/>
    <cellStyle name="Normal 4 6 3 2 2 3 3 2" xfId="8830"/>
    <cellStyle name="Normal 4 6 3 2 2 3 3 2 2" xfId="19546"/>
    <cellStyle name="Normal 4 6 3 2 2 3 3 3" xfId="12158"/>
    <cellStyle name="Normal 4 6 3 2 2 3 3 3 2" xfId="22874"/>
    <cellStyle name="Normal 4 6 3 2 2 3 3 4" xfId="16218"/>
    <cellStyle name="Normal 4 6 3 2 2 3 4" xfId="7166"/>
    <cellStyle name="Normal 4 6 3 2 2 3 4 2" xfId="17882"/>
    <cellStyle name="Normal 4 6 3 2 2 3 5" xfId="10494"/>
    <cellStyle name="Normal 4 6 3 2 2 3 5 2" xfId="21210"/>
    <cellStyle name="Normal 4 6 3 2 2 3 6" xfId="14554"/>
    <cellStyle name="Normal 4 6 3 2 2 4" xfId="4241"/>
    <cellStyle name="Normal 4 6 3 2 2 4 2" xfId="5911"/>
    <cellStyle name="Normal 4 6 3 2 2 4 2 2" xfId="9246"/>
    <cellStyle name="Normal 4 6 3 2 2 4 2 2 2" xfId="19962"/>
    <cellStyle name="Normal 4 6 3 2 2 4 2 3" xfId="12574"/>
    <cellStyle name="Normal 4 6 3 2 2 4 2 3 2" xfId="23290"/>
    <cellStyle name="Normal 4 6 3 2 2 4 2 4" xfId="16634"/>
    <cellStyle name="Normal 4 6 3 2 2 4 3" xfId="7582"/>
    <cellStyle name="Normal 4 6 3 2 2 4 3 2" xfId="18298"/>
    <cellStyle name="Normal 4 6 3 2 2 4 4" xfId="10910"/>
    <cellStyle name="Normal 4 6 3 2 2 4 4 2" xfId="21626"/>
    <cellStyle name="Normal 4 6 3 2 2 4 5" xfId="14970"/>
    <cellStyle name="Normal 4 6 3 2 2 5" xfId="5076"/>
    <cellStyle name="Normal 4 6 3 2 2 5 2" xfId="8414"/>
    <cellStyle name="Normal 4 6 3 2 2 5 2 2" xfId="19130"/>
    <cellStyle name="Normal 4 6 3 2 2 5 3" xfId="11742"/>
    <cellStyle name="Normal 4 6 3 2 2 5 3 2" xfId="22458"/>
    <cellStyle name="Normal 4 6 3 2 2 5 4" xfId="15802"/>
    <cellStyle name="Normal 4 6 3 2 2 6" xfId="6746"/>
    <cellStyle name="Normal 4 6 3 2 2 6 2" xfId="17466"/>
    <cellStyle name="Normal 4 6 3 2 2 7" xfId="10078"/>
    <cellStyle name="Normal 4 6 3 2 2 7 2" xfId="20794"/>
    <cellStyle name="Normal 4 6 3 2 2 8" xfId="14135"/>
    <cellStyle name="Normal 4 6 3 2 3" xfId="3079"/>
    <cellStyle name="Normal 4 6 3 2 3 2" xfId="4026"/>
    <cellStyle name="Normal 4 6 3 2 3 2 2" xfId="4866"/>
    <cellStyle name="Normal 4 6 3 2 3 2 2 2" xfId="6534"/>
    <cellStyle name="Normal 4 6 3 2 3 2 2 2 2" xfId="9869"/>
    <cellStyle name="Normal 4 6 3 2 3 2 2 2 2 2" xfId="20585"/>
    <cellStyle name="Normal 4 6 3 2 3 2 2 2 3" xfId="13197"/>
    <cellStyle name="Normal 4 6 3 2 3 2 2 2 3 2" xfId="23913"/>
    <cellStyle name="Normal 4 6 3 2 3 2 2 2 4" xfId="17257"/>
    <cellStyle name="Normal 4 6 3 2 3 2 2 3" xfId="8205"/>
    <cellStyle name="Normal 4 6 3 2 3 2 2 3 2" xfId="18921"/>
    <cellStyle name="Normal 4 6 3 2 3 2 2 4" xfId="11533"/>
    <cellStyle name="Normal 4 6 3 2 3 2 2 4 2" xfId="22249"/>
    <cellStyle name="Normal 4 6 3 2 3 2 2 5" xfId="15593"/>
    <cellStyle name="Normal 4 6 3 2 3 2 3" xfId="5702"/>
    <cellStyle name="Normal 4 6 3 2 3 2 3 2" xfId="9037"/>
    <cellStyle name="Normal 4 6 3 2 3 2 3 2 2" xfId="19753"/>
    <cellStyle name="Normal 4 6 3 2 3 2 3 3" xfId="12365"/>
    <cellStyle name="Normal 4 6 3 2 3 2 3 3 2" xfId="23081"/>
    <cellStyle name="Normal 4 6 3 2 3 2 3 4" xfId="16425"/>
    <cellStyle name="Normal 4 6 3 2 3 2 4" xfId="7373"/>
    <cellStyle name="Normal 4 6 3 2 3 2 4 2" xfId="18089"/>
    <cellStyle name="Normal 4 6 3 2 3 2 5" xfId="10701"/>
    <cellStyle name="Normal 4 6 3 2 3 2 5 2" xfId="21417"/>
    <cellStyle name="Normal 4 6 3 2 3 2 6" xfId="14761"/>
    <cellStyle name="Normal 4 6 3 2 3 3" xfId="4450"/>
    <cellStyle name="Normal 4 6 3 2 3 3 2" xfId="6118"/>
    <cellStyle name="Normal 4 6 3 2 3 3 2 2" xfId="9453"/>
    <cellStyle name="Normal 4 6 3 2 3 3 2 2 2" xfId="20169"/>
    <cellStyle name="Normal 4 6 3 2 3 3 2 3" xfId="12781"/>
    <cellStyle name="Normal 4 6 3 2 3 3 2 3 2" xfId="23497"/>
    <cellStyle name="Normal 4 6 3 2 3 3 2 4" xfId="16841"/>
    <cellStyle name="Normal 4 6 3 2 3 3 3" xfId="7789"/>
    <cellStyle name="Normal 4 6 3 2 3 3 3 2" xfId="18505"/>
    <cellStyle name="Normal 4 6 3 2 3 3 4" xfId="11117"/>
    <cellStyle name="Normal 4 6 3 2 3 3 4 2" xfId="21833"/>
    <cellStyle name="Normal 4 6 3 2 3 3 5" xfId="15177"/>
    <cellStyle name="Normal 4 6 3 2 3 4" xfId="5286"/>
    <cellStyle name="Normal 4 6 3 2 3 4 2" xfId="8621"/>
    <cellStyle name="Normal 4 6 3 2 3 4 2 2" xfId="19337"/>
    <cellStyle name="Normal 4 6 3 2 3 4 3" xfId="11949"/>
    <cellStyle name="Normal 4 6 3 2 3 4 3 2" xfId="22665"/>
    <cellStyle name="Normal 4 6 3 2 3 4 4" xfId="16009"/>
    <cellStyle name="Normal 4 6 3 2 3 5" xfId="6956"/>
    <cellStyle name="Normal 4 6 3 2 3 5 2" xfId="17673"/>
    <cellStyle name="Normal 4 6 3 2 3 6" xfId="10285"/>
    <cellStyle name="Normal 4 6 3 2 3 6 2" xfId="21001"/>
    <cellStyle name="Normal 4 6 3 2 3 7" xfId="14344"/>
    <cellStyle name="Normal 4 6 3 2 4" xfId="3807"/>
    <cellStyle name="Normal 4 6 3 2 4 2" xfId="4658"/>
    <cellStyle name="Normal 4 6 3 2 4 2 2" xfId="6326"/>
    <cellStyle name="Normal 4 6 3 2 4 2 2 2" xfId="9661"/>
    <cellStyle name="Normal 4 6 3 2 4 2 2 2 2" xfId="20377"/>
    <cellStyle name="Normal 4 6 3 2 4 2 2 3" xfId="12989"/>
    <cellStyle name="Normal 4 6 3 2 4 2 2 3 2" xfId="23705"/>
    <cellStyle name="Normal 4 6 3 2 4 2 2 4" xfId="17049"/>
    <cellStyle name="Normal 4 6 3 2 4 2 3" xfId="7997"/>
    <cellStyle name="Normal 4 6 3 2 4 2 3 2" xfId="18713"/>
    <cellStyle name="Normal 4 6 3 2 4 2 4" xfId="11325"/>
    <cellStyle name="Normal 4 6 3 2 4 2 4 2" xfId="22041"/>
    <cellStyle name="Normal 4 6 3 2 4 2 5" xfId="15385"/>
    <cellStyle name="Normal 4 6 3 2 4 3" xfId="5494"/>
    <cellStyle name="Normal 4 6 3 2 4 3 2" xfId="8829"/>
    <cellStyle name="Normal 4 6 3 2 4 3 2 2" xfId="19545"/>
    <cellStyle name="Normal 4 6 3 2 4 3 3" xfId="12157"/>
    <cellStyle name="Normal 4 6 3 2 4 3 3 2" xfId="22873"/>
    <cellStyle name="Normal 4 6 3 2 4 3 4" xfId="16217"/>
    <cellStyle name="Normal 4 6 3 2 4 4" xfId="7165"/>
    <cellStyle name="Normal 4 6 3 2 4 4 2" xfId="17881"/>
    <cellStyle name="Normal 4 6 3 2 4 5" xfId="10493"/>
    <cellStyle name="Normal 4 6 3 2 4 5 2" xfId="21209"/>
    <cellStyle name="Normal 4 6 3 2 4 6" xfId="14553"/>
    <cellStyle name="Normal 4 6 3 2 5" xfId="4240"/>
    <cellStyle name="Normal 4 6 3 2 5 2" xfId="5910"/>
    <cellStyle name="Normal 4 6 3 2 5 2 2" xfId="9245"/>
    <cellStyle name="Normal 4 6 3 2 5 2 2 2" xfId="19961"/>
    <cellStyle name="Normal 4 6 3 2 5 2 3" xfId="12573"/>
    <cellStyle name="Normal 4 6 3 2 5 2 3 2" xfId="23289"/>
    <cellStyle name="Normal 4 6 3 2 5 2 4" xfId="16633"/>
    <cellStyle name="Normal 4 6 3 2 5 3" xfId="7581"/>
    <cellStyle name="Normal 4 6 3 2 5 3 2" xfId="18297"/>
    <cellStyle name="Normal 4 6 3 2 5 4" xfId="10909"/>
    <cellStyle name="Normal 4 6 3 2 5 4 2" xfId="21625"/>
    <cellStyle name="Normal 4 6 3 2 5 5" xfId="14969"/>
    <cellStyle name="Normal 4 6 3 2 6" xfId="5075"/>
    <cellStyle name="Normal 4 6 3 2 6 2" xfId="8413"/>
    <cellStyle name="Normal 4 6 3 2 6 2 2" xfId="19129"/>
    <cellStyle name="Normal 4 6 3 2 6 3" xfId="11741"/>
    <cellStyle name="Normal 4 6 3 2 6 3 2" xfId="22457"/>
    <cellStyle name="Normal 4 6 3 2 6 4" xfId="15801"/>
    <cellStyle name="Normal 4 6 3 2 7" xfId="6745"/>
    <cellStyle name="Normal 4 6 3 2 7 2" xfId="17465"/>
    <cellStyle name="Normal 4 6 3 2 8" xfId="10077"/>
    <cellStyle name="Normal 4 6 3 2 8 2" xfId="20793"/>
    <cellStyle name="Normal 4 6 3 2 9" xfId="14134"/>
    <cellStyle name="Normal 4 6 3 3" xfId="1396"/>
    <cellStyle name="Normal 4 6 3 3 2" xfId="3081"/>
    <cellStyle name="Normal 4 6 3 3 2 2" xfId="4028"/>
    <cellStyle name="Normal 4 6 3 3 2 2 2" xfId="4868"/>
    <cellStyle name="Normal 4 6 3 3 2 2 2 2" xfId="6536"/>
    <cellStyle name="Normal 4 6 3 3 2 2 2 2 2" xfId="9871"/>
    <cellStyle name="Normal 4 6 3 3 2 2 2 2 2 2" xfId="20587"/>
    <cellStyle name="Normal 4 6 3 3 2 2 2 2 3" xfId="13199"/>
    <cellStyle name="Normal 4 6 3 3 2 2 2 2 3 2" xfId="23915"/>
    <cellStyle name="Normal 4 6 3 3 2 2 2 2 4" xfId="17259"/>
    <cellStyle name="Normal 4 6 3 3 2 2 2 3" xfId="8207"/>
    <cellStyle name="Normal 4 6 3 3 2 2 2 3 2" xfId="18923"/>
    <cellStyle name="Normal 4 6 3 3 2 2 2 4" xfId="11535"/>
    <cellStyle name="Normal 4 6 3 3 2 2 2 4 2" xfId="22251"/>
    <cellStyle name="Normal 4 6 3 3 2 2 2 5" xfId="15595"/>
    <cellStyle name="Normal 4 6 3 3 2 2 3" xfId="5704"/>
    <cellStyle name="Normal 4 6 3 3 2 2 3 2" xfId="9039"/>
    <cellStyle name="Normal 4 6 3 3 2 2 3 2 2" xfId="19755"/>
    <cellStyle name="Normal 4 6 3 3 2 2 3 3" xfId="12367"/>
    <cellStyle name="Normal 4 6 3 3 2 2 3 3 2" xfId="23083"/>
    <cellStyle name="Normal 4 6 3 3 2 2 3 4" xfId="16427"/>
    <cellStyle name="Normal 4 6 3 3 2 2 4" xfId="7375"/>
    <cellStyle name="Normal 4 6 3 3 2 2 4 2" xfId="18091"/>
    <cellStyle name="Normal 4 6 3 3 2 2 5" xfId="10703"/>
    <cellStyle name="Normal 4 6 3 3 2 2 5 2" xfId="21419"/>
    <cellStyle name="Normal 4 6 3 3 2 2 6" xfId="14763"/>
    <cellStyle name="Normal 4 6 3 3 2 3" xfId="4452"/>
    <cellStyle name="Normal 4 6 3 3 2 3 2" xfId="6120"/>
    <cellStyle name="Normal 4 6 3 3 2 3 2 2" xfId="9455"/>
    <cellStyle name="Normal 4 6 3 3 2 3 2 2 2" xfId="20171"/>
    <cellStyle name="Normal 4 6 3 3 2 3 2 3" xfId="12783"/>
    <cellStyle name="Normal 4 6 3 3 2 3 2 3 2" xfId="23499"/>
    <cellStyle name="Normal 4 6 3 3 2 3 2 4" xfId="16843"/>
    <cellStyle name="Normal 4 6 3 3 2 3 3" xfId="7791"/>
    <cellStyle name="Normal 4 6 3 3 2 3 3 2" xfId="18507"/>
    <cellStyle name="Normal 4 6 3 3 2 3 4" xfId="11119"/>
    <cellStyle name="Normal 4 6 3 3 2 3 4 2" xfId="21835"/>
    <cellStyle name="Normal 4 6 3 3 2 3 5" xfId="15179"/>
    <cellStyle name="Normal 4 6 3 3 2 4" xfId="5288"/>
    <cellStyle name="Normal 4 6 3 3 2 4 2" xfId="8623"/>
    <cellStyle name="Normal 4 6 3 3 2 4 2 2" xfId="19339"/>
    <cellStyle name="Normal 4 6 3 3 2 4 3" xfId="11951"/>
    <cellStyle name="Normal 4 6 3 3 2 4 3 2" xfId="22667"/>
    <cellStyle name="Normal 4 6 3 3 2 4 4" xfId="16011"/>
    <cellStyle name="Normal 4 6 3 3 2 5" xfId="6958"/>
    <cellStyle name="Normal 4 6 3 3 2 5 2" xfId="17675"/>
    <cellStyle name="Normal 4 6 3 3 2 6" xfId="10287"/>
    <cellStyle name="Normal 4 6 3 3 2 6 2" xfId="21003"/>
    <cellStyle name="Normal 4 6 3 3 2 7" xfId="14346"/>
    <cellStyle name="Normal 4 6 3 3 3" xfId="3809"/>
    <cellStyle name="Normal 4 6 3 3 3 2" xfId="4660"/>
    <cellStyle name="Normal 4 6 3 3 3 2 2" xfId="6328"/>
    <cellStyle name="Normal 4 6 3 3 3 2 2 2" xfId="9663"/>
    <cellStyle name="Normal 4 6 3 3 3 2 2 2 2" xfId="20379"/>
    <cellStyle name="Normal 4 6 3 3 3 2 2 3" xfId="12991"/>
    <cellStyle name="Normal 4 6 3 3 3 2 2 3 2" xfId="23707"/>
    <cellStyle name="Normal 4 6 3 3 3 2 2 4" xfId="17051"/>
    <cellStyle name="Normal 4 6 3 3 3 2 3" xfId="7999"/>
    <cellStyle name="Normal 4 6 3 3 3 2 3 2" xfId="18715"/>
    <cellStyle name="Normal 4 6 3 3 3 2 4" xfId="11327"/>
    <cellStyle name="Normal 4 6 3 3 3 2 4 2" xfId="22043"/>
    <cellStyle name="Normal 4 6 3 3 3 2 5" xfId="15387"/>
    <cellStyle name="Normal 4 6 3 3 3 3" xfId="5496"/>
    <cellStyle name="Normal 4 6 3 3 3 3 2" xfId="8831"/>
    <cellStyle name="Normal 4 6 3 3 3 3 2 2" xfId="19547"/>
    <cellStyle name="Normal 4 6 3 3 3 3 3" xfId="12159"/>
    <cellStyle name="Normal 4 6 3 3 3 3 3 2" xfId="22875"/>
    <cellStyle name="Normal 4 6 3 3 3 3 4" xfId="16219"/>
    <cellStyle name="Normal 4 6 3 3 3 4" xfId="7167"/>
    <cellStyle name="Normal 4 6 3 3 3 4 2" xfId="17883"/>
    <cellStyle name="Normal 4 6 3 3 3 5" xfId="10495"/>
    <cellStyle name="Normal 4 6 3 3 3 5 2" xfId="21211"/>
    <cellStyle name="Normal 4 6 3 3 3 6" xfId="14555"/>
    <cellStyle name="Normal 4 6 3 3 4" xfId="4242"/>
    <cellStyle name="Normal 4 6 3 3 4 2" xfId="5912"/>
    <cellStyle name="Normal 4 6 3 3 4 2 2" xfId="9247"/>
    <cellStyle name="Normal 4 6 3 3 4 2 2 2" xfId="19963"/>
    <cellStyle name="Normal 4 6 3 3 4 2 3" xfId="12575"/>
    <cellStyle name="Normal 4 6 3 3 4 2 3 2" xfId="23291"/>
    <cellStyle name="Normal 4 6 3 3 4 2 4" xfId="16635"/>
    <cellStyle name="Normal 4 6 3 3 4 3" xfId="7583"/>
    <cellStyle name="Normal 4 6 3 3 4 3 2" xfId="18299"/>
    <cellStyle name="Normal 4 6 3 3 4 4" xfId="10911"/>
    <cellStyle name="Normal 4 6 3 3 4 4 2" xfId="21627"/>
    <cellStyle name="Normal 4 6 3 3 4 5" xfId="14971"/>
    <cellStyle name="Normal 4 6 3 3 5" xfId="5077"/>
    <cellStyle name="Normal 4 6 3 3 5 2" xfId="8415"/>
    <cellStyle name="Normal 4 6 3 3 5 2 2" xfId="19131"/>
    <cellStyle name="Normal 4 6 3 3 5 3" xfId="11743"/>
    <cellStyle name="Normal 4 6 3 3 5 3 2" xfId="22459"/>
    <cellStyle name="Normal 4 6 3 3 5 4" xfId="15803"/>
    <cellStyle name="Normal 4 6 3 3 6" xfId="6747"/>
    <cellStyle name="Normal 4 6 3 3 6 2" xfId="17467"/>
    <cellStyle name="Normal 4 6 3 3 7" xfId="10079"/>
    <cellStyle name="Normal 4 6 3 3 7 2" xfId="20795"/>
    <cellStyle name="Normal 4 6 3 3 8" xfId="14136"/>
    <cellStyle name="Normal 4 6 3 4" xfId="3078"/>
    <cellStyle name="Normal 4 6 3 4 2" xfId="4025"/>
    <cellStyle name="Normal 4 6 3 4 2 2" xfId="4865"/>
    <cellStyle name="Normal 4 6 3 4 2 2 2" xfId="6533"/>
    <cellStyle name="Normal 4 6 3 4 2 2 2 2" xfId="9868"/>
    <cellStyle name="Normal 4 6 3 4 2 2 2 2 2" xfId="20584"/>
    <cellStyle name="Normal 4 6 3 4 2 2 2 3" xfId="13196"/>
    <cellStyle name="Normal 4 6 3 4 2 2 2 3 2" xfId="23912"/>
    <cellStyle name="Normal 4 6 3 4 2 2 2 4" xfId="17256"/>
    <cellStyle name="Normal 4 6 3 4 2 2 3" xfId="8204"/>
    <cellStyle name="Normal 4 6 3 4 2 2 3 2" xfId="18920"/>
    <cellStyle name="Normal 4 6 3 4 2 2 4" xfId="11532"/>
    <cellStyle name="Normal 4 6 3 4 2 2 4 2" xfId="22248"/>
    <cellStyle name="Normal 4 6 3 4 2 2 5" xfId="15592"/>
    <cellStyle name="Normal 4 6 3 4 2 3" xfId="5701"/>
    <cellStyle name="Normal 4 6 3 4 2 3 2" xfId="9036"/>
    <cellStyle name="Normal 4 6 3 4 2 3 2 2" xfId="19752"/>
    <cellStyle name="Normal 4 6 3 4 2 3 3" xfId="12364"/>
    <cellStyle name="Normal 4 6 3 4 2 3 3 2" xfId="23080"/>
    <cellStyle name="Normal 4 6 3 4 2 3 4" xfId="16424"/>
    <cellStyle name="Normal 4 6 3 4 2 4" xfId="7372"/>
    <cellStyle name="Normal 4 6 3 4 2 4 2" xfId="18088"/>
    <cellStyle name="Normal 4 6 3 4 2 5" xfId="10700"/>
    <cellStyle name="Normal 4 6 3 4 2 5 2" xfId="21416"/>
    <cellStyle name="Normal 4 6 3 4 2 6" xfId="14760"/>
    <cellStyle name="Normal 4 6 3 4 3" xfId="4449"/>
    <cellStyle name="Normal 4 6 3 4 3 2" xfId="6117"/>
    <cellStyle name="Normal 4 6 3 4 3 2 2" xfId="9452"/>
    <cellStyle name="Normal 4 6 3 4 3 2 2 2" xfId="20168"/>
    <cellStyle name="Normal 4 6 3 4 3 2 3" xfId="12780"/>
    <cellStyle name="Normal 4 6 3 4 3 2 3 2" xfId="23496"/>
    <cellStyle name="Normal 4 6 3 4 3 2 4" xfId="16840"/>
    <cellStyle name="Normal 4 6 3 4 3 3" xfId="7788"/>
    <cellStyle name="Normal 4 6 3 4 3 3 2" xfId="18504"/>
    <cellStyle name="Normal 4 6 3 4 3 4" xfId="11116"/>
    <cellStyle name="Normal 4 6 3 4 3 4 2" xfId="21832"/>
    <cellStyle name="Normal 4 6 3 4 3 5" xfId="15176"/>
    <cellStyle name="Normal 4 6 3 4 4" xfId="5285"/>
    <cellStyle name="Normal 4 6 3 4 4 2" xfId="8620"/>
    <cellStyle name="Normal 4 6 3 4 4 2 2" xfId="19336"/>
    <cellStyle name="Normal 4 6 3 4 4 3" xfId="11948"/>
    <cellStyle name="Normal 4 6 3 4 4 3 2" xfId="22664"/>
    <cellStyle name="Normal 4 6 3 4 4 4" xfId="16008"/>
    <cellStyle name="Normal 4 6 3 4 5" xfId="6955"/>
    <cellStyle name="Normal 4 6 3 4 5 2" xfId="17672"/>
    <cellStyle name="Normal 4 6 3 4 6" xfId="10284"/>
    <cellStyle name="Normal 4 6 3 4 6 2" xfId="21000"/>
    <cellStyle name="Normal 4 6 3 4 7" xfId="14343"/>
    <cellStyle name="Normal 4 6 3 5" xfId="3806"/>
    <cellStyle name="Normal 4 6 3 5 2" xfId="4657"/>
    <cellStyle name="Normal 4 6 3 5 2 2" xfId="6325"/>
    <cellStyle name="Normal 4 6 3 5 2 2 2" xfId="9660"/>
    <cellStyle name="Normal 4 6 3 5 2 2 2 2" xfId="20376"/>
    <cellStyle name="Normal 4 6 3 5 2 2 3" xfId="12988"/>
    <cellStyle name="Normal 4 6 3 5 2 2 3 2" xfId="23704"/>
    <cellStyle name="Normal 4 6 3 5 2 2 4" xfId="17048"/>
    <cellStyle name="Normal 4 6 3 5 2 3" xfId="7996"/>
    <cellStyle name="Normal 4 6 3 5 2 3 2" xfId="18712"/>
    <cellStyle name="Normal 4 6 3 5 2 4" xfId="11324"/>
    <cellStyle name="Normal 4 6 3 5 2 4 2" xfId="22040"/>
    <cellStyle name="Normal 4 6 3 5 2 5" xfId="15384"/>
    <cellStyle name="Normal 4 6 3 5 3" xfId="5493"/>
    <cellStyle name="Normal 4 6 3 5 3 2" xfId="8828"/>
    <cellStyle name="Normal 4 6 3 5 3 2 2" xfId="19544"/>
    <cellStyle name="Normal 4 6 3 5 3 3" xfId="12156"/>
    <cellStyle name="Normal 4 6 3 5 3 3 2" xfId="22872"/>
    <cellStyle name="Normal 4 6 3 5 3 4" xfId="16216"/>
    <cellStyle name="Normal 4 6 3 5 4" xfId="7164"/>
    <cellStyle name="Normal 4 6 3 5 4 2" xfId="17880"/>
    <cellStyle name="Normal 4 6 3 5 5" xfId="10492"/>
    <cellStyle name="Normal 4 6 3 5 5 2" xfId="21208"/>
    <cellStyle name="Normal 4 6 3 5 6" xfId="14552"/>
    <cellStyle name="Normal 4 6 3 6" xfId="4239"/>
    <cellStyle name="Normal 4 6 3 6 2" xfId="5909"/>
    <cellStyle name="Normal 4 6 3 6 2 2" xfId="9244"/>
    <cellStyle name="Normal 4 6 3 6 2 2 2" xfId="19960"/>
    <cellStyle name="Normal 4 6 3 6 2 3" xfId="12572"/>
    <cellStyle name="Normal 4 6 3 6 2 3 2" xfId="23288"/>
    <cellStyle name="Normal 4 6 3 6 2 4" xfId="16632"/>
    <cellStyle name="Normal 4 6 3 6 3" xfId="7580"/>
    <cellStyle name="Normal 4 6 3 6 3 2" xfId="18296"/>
    <cellStyle name="Normal 4 6 3 6 4" xfId="10908"/>
    <cellStyle name="Normal 4 6 3 6 4 2" xfId="21624"/>
    <cellStyle name="Normal 4 6 3 6 5" xfId="14968"/>
    <cellStyle name="Normal 4 6 3 7" xfId="5074"/>
    <cellStyle name="Normal 4 6 3 7 2" xfId="8412"/>
    <cellStyle name="Normal 4 6 3 7 2 2" xfId="19128"/>
    <cellStyle name="Normal 4 6 3 7 3" xfId="11740"/>
    <cellStyle name="Normal 4 6 3 7 3 2" xfId="22456"/>
    <cellStyle name="Normal 4 6 3 7 4" xfId="15800"/>
    <cellStyle name="Normal 4 6 3 8" xfId="6744"/>
    <cellStyle name="Normal 4 6 3 8 2" xfId="17464"/>
    <cellStyle name="Normal 4 6 3 9" xfId="10076"/>
    <cellStyle name="Normal 4 6 3 9 2" xfId="20792"/>
    <cellStyle name="Normal 4 6 4" xfId="1397"/>
    <cellStyle name="Normal 4 6 4 2" xfId="1398"/>
    <cellStyle name="Normal 4 6 4 2 2" xfId="3083"/>
    <cellStyle name="Normal 4 6 4 2 2 2" xfId="4030"/>
    <cellStyle name="Normal 4 6 4 2 2 2 2" xfId="4870"/>
    <cellStyle name="Normal 4 6 4 2 2 2 2 2" xfId="6538"/>
    <cellStyle name="Normal 4 6 4 2 2 2 2 2 2" xfId="9873"/>
    <cellStyle name="Normal 4 6 4 2 2 2 2 2 2 2" xfId="20589"/>
    <cellStyle name="Normal 4 6 4 2 2 2 2 2 3" xfId="13201"/>
    <cellStyle name="Normal 4 6 4 2 2 2 2 2 3 2" xfId="23917"/>
    <cellStyle name="Normal 4 6 4 2 2 2 2 2 4" xfId="17261"/>
    <cellStyle name="Normal 4 6 4 2 2 2 2 3" xfId="8209"/>
    <cellStyle name="Normal 4 6 4 2 2 2 2 3 2" xfId="18925"/>
    <cellStyle name="Normal 4 6 4 2 2 2 2 4" xfId="11537"/>
    <cellStyle name="Normal 4 6 4 2 2 2 2 4 2" xfId="22253"/>
    <cellStyle name="Normal 4 6 4 2 2 2 2 5" xfId="15597"/>
    <cellStyle name="Normal 4 6 4 2 2 2 3" xfId="5706"/>
    <cellStyle name="Normal 4 6 4 2 2 2 3 2" xfId="9041"/>
    <cellStyle name="Normal 4 6 4 2 2 2 3 2 2" xfId="19757"/>
    <cellStyle name="Normal 4 6 4 2 2 2 3 3" xfId="12369"/>
    <cellStyle name="Normal 4 6 4 2 2 2 3 3 2" xfId="23085"/>
    <cellStyle name="Normal 4 6 4 2 2 2 3 4" xfId="16429"/>
    <cellStyle name="Normal 4 6 4 2 2 2 4" xfId="7377"/>
    <cellStyle name="Normal 4 6 4 2 2 2 4 2" xfId="18093"/>
    <cellStyle name="Normal 4 6 4 2 2 2 5" xfId="10705"/>
    <cellStyle name="Normal 4 6 4 2 2 2 5 2" xfId="21421"/>
    <cellStyle name="Normal 4 6 4 2 2 2 6" xfId="14765"/>
    <cellStyle name="Normal 4 6 4 2 2 3" xfId="4454"/>
    <cellStyle name="Normal 4 6 4 2 2 3 2" xfId="6122"/>
    <cellStyle name="Normal 4 6 4 2 2 3 2 2" xfId="9457"/>
    <cellStyle name="Normal 4 6 4 2 2 3 2 2 2" xfId="20173"/>
    <cellStyle name="Normal 4 6 4 2 2 3 2 3" xfId="12785"/>
    <cellStyle name="Normal 4 6 4 2 2 3 2 3 2" xfId="23501"/>
    <cellStyle name="Normal 4 6 4 2 2 3 2 4" xfId="16845"/>
    <cellStyle name="Normal 4 6 4 2 2 3 3" xfId="7793"/>
    <cellStyle name="Normal 4 6 4 2 2 3 3 2" xfId="18509"/>
    <cellStyle name="Normal 4 6 4 2 2 3 4" xfId="11121"/>
    <cellStyle name="Normal 4 6 4 2 2 3 4 2" xfId="21837"/>
    <cellStyle name="Normal 4 6 4 2 2 3 5" xfId="15181"/>
    <cellStyle name="Normal 4 6 4 2 2 4" xfId="5290"/>
    <cellStyle name="Normal 4 6 4 2 2 4 2" xfId="8625"/>
    <cellStyle name="Normal 4 6 4 2 2 4 2 2" xfId="19341"/>
    <cellStyle name="Normal 4 6 4 2 2 4 3" xfId="11953"/>
    <cellStyle name="Normal 4 6 4 2 2 4 3 2" xfId="22669"/>
    <cellStyle name="Normal 4 6 4 2 2 4 4" xfId="16013"/>
    <cellStyle name="Normal 4 6 4 2 2 5" xfId="6960"/>
    <cellStyle name="Normal 4 6 4 2 2 5 2" xfId="17677"/>
    <cellStyle name="Normal 4 6 4 2 2 6" xfId="10289"/>
    <cellStyle name="Normal 4 6 4 2 2 6 2" xfId="21005"/>
    <cellStyle name="Normal 4 6 4 2 2 7" xfId="14348"/>
    <cellStyle name="Normal 4 6 4 2 3" xfId="3811"/>
    <cellStyle name="Normal 4 6 4 2 3 2" xfId="4662"/>
    <cellStyle name="Normal 4 6 4 2 3 2 2" xfId="6330"/>
    <cellStyle name="Normal 4 6 4 2 3 2 2 2" xfId="9665"/>
    <cellStyle name="Normal 4 6 4 2 3 2 2 2 2" xfId="20381"/>
    <cellStyle name="Normal 4 6 4 2 3 2 2 3" xfId="12993"/>
    <cellStyle name="Normal 4 6 4 2 3 2 2 3 2" xfId="23709"/>
    <cellStyle name="Normal 4 6 4 2 3 2 2 4" xfId="17053"/>
    <cellStyle name="Normal 4 6 4 2 3 2 3" xfId="8001"/>
    <cellStyle name="Normal 4 6 4 2 3 2 3 2" xfId="18717"/>
    <cellStyle name="Normal 4 6 4 2 3 2 4" xfId="11329"/>
    <cellStyle name="Normal 4 6 4 2 3 2 4 2" xfId="22045"/>
    <cellStyle name="Normal 4 6 4 2 3 2 5" xfId="15389"/>
    <cellStyle name="Normal 4 6 4 2 3 3" xfId="5498"/>
    <cellStyle name="Normal 4 6 4 2 3 3 2" xfId="8833"/>
    <cellStyle name="Normal 4 6 4 2 3 3 2 2" xfId="19549"/>
    <cellStyle name="Normal 4 6 4 2 3 3 3" xfId="12161"/>
    <cellStyle name="Normal 4 6 4 2 3 3 3 2" xfId="22877"/>
    <cellStyle name="Normal 4 6 4 2 3 3 4" xfId="16221"/>
    <cellStyle name="Normal 4 6 4 2 3 4" xfId="7169"/>
    <cellStyle name="Normal 4 6 4 2 3 4 2" xfId="17885"/>
    <cellStyle name="Normal 4 6 4 2 3 5" xfId="10497"/>
    <cellStyle name="Normal 4 6 4 2 3 5 2" xfId="21213"/>
    <cellStyle name="Normal 4 6 4 2 3 6" xfId="14557"/>
    <cellStyle name="Normal 4 6 4 2 4" xfId="4244"/>
    <cellStyle name="Normal 4 6 4 2 4 2" xfId="5914"/>
    <cellStyle name="Normal 4 6 4 2 4 2 2" xfId="9249"/>
    <cellStyle name="Normal 4 6 4 2 4 2 2 2" xfId="19965"/>
    <cellStyle name="Normal 4 6 4 2 4 2 3" xfId="12577"/>
    <cellStyle name="Normal 4 6 4 2 4 2 3 2" xfId="23293"/>
    <cellStyle name="Normal 4 6 4 2 4 2 4" xfId="16637"/>
    <cellStyle name="Normal 4 6 4 2 4 3" xfId="7585"/>
    <cellStyle name="Normal 4 6 4 2 4 3 2" xfId="18301"/>
    <cellStyle name="Normal 4 6 4 2 4 4" xfId="10913"/>
    <cellStyle name="Normal 4 6 4 2 4 4 2" xfId="21629"/>
    <cellStyle name="Normal 4 6 4 2 4 5" xfId="14973"/>
    <cellStyle name="Normal 4 6 4 2 5" xfId="5079"/>
    <cellStyle name="Normal 4 6 4 2 5 2" xfId="8417"/>
    <cellStyle name="Normal 4 6 4 2 5 2 2" xfId="19133"/>
    <cellStyle name="Normal 4 6 4 2 5 3" xfId="11745"/>
    <cellStyle name="Normal 4 6 4 2 5 3 2" xfId="22461"/>
    <cellStyle name="Normal 4 6 4 2 5 4" xfId="15805"/>
    <cellStyle name="Normal 4 6 4 2 6" xfId="6749"/>
    <cellStyle name="Normal 4 6 4 2 6 2" xfId="17469"/>
    <cellStyle name="Normal 4 6 4 2 7" xfId="10081"/>
    <cellStyle name="Normal 4 6 4 2 7 2" xfId="20797"/>
    <cellStyle name="Normal 4 6 4 2 8" xfId="14138"/>
    <cellStyle name="Normal 4 6 4 3" xfId="3082"/>
    <cellStyle name="Normal 4 6 4 3 2" xfId="4029"/>
    <cellStyle name="Normal 4 6 4 3 2 2" xfId="4869"/>
    <cellStyle name="Normal 4 6 4 3 2 2 2" xfId="6537"/>
    <cellStyle name="Normal 4 6 4 3 2 2 2 2" xfId="9872"/>
    <cellStyle name="Normal 4 6 4 3 2 2 2 2 2" xfId="20588"/>
    <cellStyle name="Normal 4 6 4 3 2 2 2 3" xfId="13200"/>
    <cellStyle name="Normal 4 6 4 3 2 2 2 3 2" xfId="23916"/>
    <cellStyle name="Normal 4 6 4 3 2 2 2 4" xfId="17260"/>
    <cellStyle name="Normal 4 6 4 3 2 2 3" xfId="8208"/>
    <cellStyle name="Normal 4 6 4 3 2 2 3 2" xfId="18924"/>
    <cellStyle name="Normal 4 6 4 3 2 2 4" xfId="11536"/>
    <cellStyle name="Normal 4 6 4 3 2 2 4 2" xfId="22252"/>
    <cellStyle name="Normal 4 6 4 3 2 2 5" xfId="15596"/>
    <cellStyle name="Normal 4 6 4 3 2 3" xfId="5705"/>
    <cellStyle name="Normal 4 6 4 3 2 3 2" xfId="9040"/>
    <cellStyle name="Normal 4 6 4 3 2 3 2 2" xfId="19756"/>
    <cellStyle name="Normal 4 6 4 3 2 3 3" xfId="12368"/>
    <cellStyle name="Normal 4 6 4 3 2 3 3 2" xfId="23084"/>
    <cellStyle name="Normal 4 6 4 3 2 3 4" xfId="16428"/>
    <cellStyle name="Normal 4 6 4 3 2 4" xfId="7376"/>
    <cellStyle name="Normal 4 6 4 3 2 4 2" xfId="18092"/>
    <cellStyle name="Normal 4 6 4 3 2 5" xfId="10704"/>
    <cellStyle name="Normal 4 6 4 3 2 5 2" xfId="21420"/>
    <cellStyle name="Normal 4 6 4 3 2 6" xfId="14764"/>
    <cellStyle name="Normal 4 6 4 3 3" xfId="4453"/>
    <cellStyle name="Normal 4 6 4 3 3 2" xfId="6121"/>
    <cellStyle name="Normal 4 6 4 3 3 2 2" xfId="9456"/>
    <cellStyle name="Normal 4 6 4 3 3 2 2 2" xfId="20172"/>
    <cellStyle name="Normal 4 6 4 3 3 2 3" xfId="12784"/>
    <cellStyle name="Normal 4 6 4 3 3 2 3 2" xfId="23500"/>
    <cellStyle name="Normal 4 6 4 3 3 2 4" xfId="16844"/>
    <cellStyle name="Normal 4 6 4 3 3 3" xfId="7792"/>
    <cellStyle name="Normal 4 6 4 3 3 3 2" xfId="18508"/>
    <cellStyle name="Normal 4 6 4 3 3 4" xfId="11120"/>
    <cellStyle name="Normal 4 6 4 3 3 4 2" xfId="21836"/>
    <cellStyle name="Normal 4 6 4 3 3 5" xfId="15180"/>
    <cellStyle name="Normal 4 6 4 3 4" xfId="5289"/>
    <cellStyle name="Normal 4 6 4 3 4 2" xfId="8624"/>
    <cellStyle name="Normal 4 6 4 3 4 2 2" xfId="19340"/>
    <cellStyle name="Normal 4 6 4 3 4 3" xfId="11952"/>
    <cellStyle name="Normal 4 6 4 3 4 3 2" xfId="22668"/>
    <cellStyle name="Normal 4 6 4 3 4 4" xfId="16012"/>
    <cellStyle name="Normal 4 6 4 3 5" xfId="6959"/>
    <cellStyle name="Normal 4 6 4 3 5 2" xfId="17676"/>
    <cellStyle name="Normal 4 6 4 3 6" xfId="10288"/>
    <cellStyle name="Normal 4 6 4 3 6 2" xfId="21004"/>
    <cellStyle name="Normal 4 6 4 3 7" xfId="14347"/>
    <cellStyle name="Normal 4 6 4 4" xfId="3810"/>
    <cellStyle name="Normal 4 6 4 4 2" xfId="4661"/>
    <cellStyle name="Normal 4 6 4 4 2 2" xfId="6329"/>
    <cellStyle name="Normal 4 6 4 4 2 2 2" xfId="9664"/>
    <cellStyle name="Normal 4 6 4 4 2 2 2 2" xfId="20380"/>
    <cellStyle name="Normal 4 6 4 4 2 2 3" xfId="12992"/>
    <cellStyle name="Normal 4 6 4 4 2 2 3 2" xfId="23708"/>
    <cellStyle name="Normal 4 6 4 4 2 2 4" xfId="17052"/>
    <cellStyle name="Normal 4 6 4 4 2 3" xfId="8000"/>
    <cellStyle name="Normal 4 6 4 4 2 3 2" xfId="18716"/>
    <cellStyle name="Normal 4 6 4 4 2 4" xfId="11328"/>
    <cellStyle name="Normal 4 6 4 4 2 4 2" xfId="22044"/>
    <cellStyle name="Normal 4 6 4 4 2 5" xfId="15388"/>
    <cellStyle name="Normal 4 6 4 4 3" xfId="5497"/>
    <cellStyle name="Normal 4 6 4 4 3 2" xfId="8832"/>
    <cellStyle name="Normal 4 6 4 4 3 2 2" xfId="19548"/>
    <cellStyle name="Normal 4 6 4 4 3 3" xfId="12160"/>
    <cellStyle name="Normal 4 6 4 4 3 3 2" xfId="22876"/>
    <cellStyle name="Normal 4 6 4 4 3 4" xfId="16220"/>
    <cellStyle name="Normal 4 6 4 4 4" xfId="7168"/>
    <cellStyle name="Normal 4 6 4 4 4 2" xfId="17884"/>
    <cellStyle name="Normal 4 6 4 4 5" xfId="10496"/>
    <cellStyle name="Normal 4 6 4 4 5 2" xfId="21212"/>
    <cellStyle name="Normal 4 6 4 4 6" xfId="14556"/>
    <cellStyle name="Normal 4 6 4 5" xfId="4243"/>
    <cellStyle name="Normal 4 6 4 5 2" xfId="5913"/>
    <cellStyle name="Normal 4 6 4 5 2 2" xfId="9248"/>
    <cellStyle name="Normal 4 6 4 5 2 2 2" xfId="19964"/>
    <cellStyle name="Normal 4 6 4 5 2 3" xfId="12576"/>
    <cellStyle name="Normal 4 6 4 5 2 3 2" xfId="23292"/>
    <cellStyle name="Normal 4 6 4 5 2 4" xfId="16636"/>
    <cellStyle name="Normal 4 6 4 5 3" xfId="7584"/>
    <cellStyle name="Normal 4 6 4 5 3 2" xfId="18300"/>
    <cellStyle name="Normal 4 6 4 5 4" xfId="10912"/>
    <cellStyle name="Normal 4 6 4 5 4 2" xfId="21628"/>
    <cellStyle name="Normal 4 6 4 5 5" xfId="14972"/>
    <cellStyle name="Normal 4 6 4 6" xfId="5078"/>
    <cellStyle name="Normal 4 6 4 6 2" xfId="8416"/>
    <cellStyle name="Normal 4 6 4 6 2 2" xfId="19132"/>
    <cellStyle name="Normal 4 6 4 6 3" xfId="11744"/>
    <cellStyle name="Normal 4 6 4 6 3 2" xfId="22460"/>
    <cellStyle name="Normal 4 6 4 6 4" xfId="15804"/>
    <cellStyle name="Normal 4 6 4 7" xfId="6748"/>
    <cellStyle name="Normal 4 6 4 7 2" xfId="17468"/>
    <cellStyle name="Normal 4 6 4 8" xfId="10080"/>
    <cellStyle name="Normal 4 6 4 8 2" xfId="20796"/>
    <cellStyle name="Normal 4 6 4 9" xfId="14137"/>
    <cellStyle name="Normal 4 6 5" xfId="1399"/>
    <cellStyle name="Normal 4 6 5 2" xfId="3084"/>
    <cellStyle name="Normal 4 6 5 2 2" xfId="4031"/>
    <cellStyle name="Normal 4 6 5 2 2 2" xfId="4871"/>
    <cellStyle name="Normal 4 6 5 2 2 2 2" xfId="6539"/>
    <cellStyle name="Normal 4 6 5 2 2 2 2 2" xfId="9874"/>
    <cellStyle name="Normal 4 6 5 2 2 2 2 2 2" xfId="20590"/>
    <cellStyle name="Normal 4 6 5 2 2 2 2 3" xfId="13202"/>
    <cellStyle name="Normal 4 6 5 2 2 2 2 3 2" xfId="23918"/>
    <cellStyle name="Normal 4 6 5 2 2 2 2 4" xfId="17262"/>
    <cellStyle name="Normal 4 6 5 2 2 2 3" xfId="8210"/>
    <cellStyle name="Normal 4 6 5 2 2 2 3 2" xfId="18926"/>
    <cellStyle name="Normal 4 6 5 2 2 2 4" xfId="11538"/>
    <cellStyle name="Normal 4 6 5 2 2 2 4 2" xfId="22254"/>
    <cellStyle name="Normal 4 6 5 2 2 2 5" xfId="15598"/>
    <cellStyle name="Normal 4 6 5 2 2 3" xfId="5707"/>
    <cellStyle name="Normal 4 6 5 2 2 3 2" xfId="9042"/>
    <cellStyle name="Normal 4 6 5 2 2 3 2 2" xfId="19758"/>
    <cellStyle name="Normal 4 6 5 2 2 3 3" xfId="12370"/>
    <cellStyle name="Normal 4 6 5 2 2 3 3 2" xfId="23086"/>
    <cellStyle name="Normal 4 6 5 2 2 3 4" xfId="16430"/>
    <cellStyle name="Normal 4 6 5 2 2 4" xfId="7378"/>
    <cellStyle name="Normal 4 6 5 2 2 4 2" xfId="18094"/>
    <cellStyle name="Normal 4 6 5 2 2 5" xfId="10706"/>
    <cellStyle name="Normal 4 6 5 2 2 5 2" xfId="21422"/>
    <cellStyle name="Normal 4 6 5 2 2 6" xfId="14766"/>
    <cellStyle name="Normal 4 6 5 2 3" xfId="4455"/>
    <cellStyle name="Normal 4 6 5 2 3 2" xfId="6123"/>
    <cellStyle name="Normal 4 6 5 2 3 2 2" xfId="9458"/>
    <cellStyle name="Normal 4 6 5 2 3 2 2 2" xfId="20174"/>
    <cellStyle name="Normal 4 6 5 2 3 2 3" xfId="12786"/>
    <cellStyle name="Normal 4 6 5 2 3 2 3 2" xfId="23502"/>
    <cellStyle name="Normal 4 6 5 2 3 2 4" xfId="16846"/>
    <cellStyle name="Normal 4 6 5 2 3 3" xfId="7794"/>
    <cellStyle name="Normal 4 6 5 2 3 3 2" xfId="18510"/>
    <cellStyle name="Normal 4 6 5 2 3 4" xfId="11122"/>
    <cellStyle name="Normal 4 6 5 2 3 4 2" xfId="21838"/>
    <cellStyle name="Normal 4 6 5 2 3 5" xfId="15182"/>
    <cellStyle name="Normal 4 6 5 2 4" xfId="5291"/>
    <cellStyle name="Normal 4 6 5 2 4 2" xfId="8626"/>
    <cellStyle name="Normal 4 6 5 2 4 2 2" xfId="19342"/>
    <cellStyle name="Normal 4 6 5 2 4 3" xfId="11954"/>
    <cellStyle name="Normal 4 6 5 2 4 3 2" xfId="22670"/>
    <cellStyle name="Normal 4 6 5 2 4 4" xfId="16014"/>
    <cellStyle name="Normal 4 6 5 2 5" xfId="6961"/>
    <cellStyle name="Normal 4 6 5 2 5 2" xfId="17678"/>
    <cellStyle name="Normal 4 6 5 2 6" xfId="10290"/>
    <cellStyle name="Normal 4 6 5 2 6 2" xfId="21006"/>
    <cellStyle name="Normal 4 6 5 2 7" xfId="14349"/>
    <cellStyle name="Normal 4 6 5 3" xfId="3812"/>
    <cellStyle name="Normal 4 6 5 3 2" xfId="4663"/>
    <cellStyle name="Normal 4 6 5 3 2 2" xfId="6331"/>
    <cellStyle name="Normal 4 6 5 3 2 2 2" xfId="9666"/>
    <cellStyle name="Normal 4 6 5 3 2 2 2 2" xfId="20382"/>
    <cellStyle name="Normal 4 6 5 3 2 2 3" xfId="12994"/>
    <cellStyle name="Normal 4 6 5 3 2 2 3 2" xfId="23710"/>
    <cellStyle name="Normal 4 6 5 3 2 2 4" xfId="17054"/>
    <cellStyle name="Normal 4 6 5 3 2 3" xfId="8002"/>
    <cellStyle name="Normal 4 6 5 3 2 3 2" xfId="18718"/>
    <cellStyle name="Normal 4 6 5 3 2 4" xfId="11330"/>
    <cellStyle name="Normal 4 6 5 3 2 4 2" xfId="22046"/>
    <cellStyle name="Normal 4 6 5 3 2 5" xfId="15390"/>
    <cellStyle name="Normal 4 6 5 3 3" xfId="5499"/>
    <cellStyle name="Normal 4 6 5 3 3 2" xfId="8834"/>
    <cellStyle name="Normal 4 6 5 3 3 2 2" xfId="19550"/>
    <cellStyle name="Normal 4 6 5 3 3 3" xfId="12162"/>
    <cellStyle name="Normal 4 6 5 3 3 3 2" xfId="22878"/>
    <cellStyle name="Normal 4 6 5 3 3 4" xfId="16222"/>
    <cellStyle name="Normal 4 6 5 3 4" xfId="7170"/>
    <cellStyle name="Normal 4 6 5 3 4 2" xfId="17886"/>
    <cellStyle name="Normal 4 6 5 3 5" xfId="10498"/>
    <cellStyle name="Normal 4 6 5 3 5 2" xfId="21214"/>
    <cellStyle name="Normal 4 6 5 3 6" xfId="14558"/>
    <cellStyle name="Normal 4 6 5 4" xfId="4245"/>
    <cellStyle name="Normal 4 6 5 4 2" xfId="5915"/>
    <cellStyle name="Normal 4 6 5 4 2 2" xfId="9250"/>
    <cellStyle name="Normal 4 6 5 4 2 2 2" xfId="19966"/>
    <cellStyle name="Normal 4 6 5 4 2 3" xfId="12578"/>
    <cellStyle name="Normal 4 6 5 4 2 3 2" xfId="23294"/>
    <cellStyle name="Normal 4 6 5 4 2 4" xfId="16638"/>
    <cellStyle name="Normal 4 6 5 4 3" xfId="7586"/>
    <cellStyle name="Normal 4 6 5 4 3 2" xfId="18302"/>
    <cellStyle name="Normal 4 6 5 4 4" xfId="10914"/>
    <cellStyle name="Normal 4 6 5 4 4 2" xfId="21630"/>
    <cellStyle name="Normal 4 6 5 4 5" xfId="14974"/>
    <cellStyle name="Normal 4 6 5 5" xfId="5080"/>
    <cellStyle name="Normal 4 6 5 5 2" xfId="8418"/>
    <cellStyle name="Normal 4 6 5 5 2 2" xfId="19134"/>
    <cellStyle name="Normal 4 6 5 5 3" xfId="11746"/>
    <cellStyle name="Normal 4 6 5 5 3 2" xfId="22462"/>
    <cellStyle name="Normal 4 6 5 5 4" xfId="15806"/>
    <cellStyle name="Normal 4 6 5 6" xfId="6750"/>
    <cellStyle name="Normal 4 6 5 6 2" xfId="17470"/>
    <cellStyle name="Normal 4 6 5 7" xfId="10082"/>
    <cellStyle name="Normal 4 6 5 7 2" xfId="20798"/>
    <cellStyle name="Normal 4 6 5 8" xfId="14139"/>
    <cellStyle name="Normal 4 6 6" xfId="3069"/>
    <cellStyle name="Normal 4 6 6 2" xfId="4016"/>
    <cellStyle name="Normal 4 6 6 2 2" xfId="4856"/>
    <cellStyle name="Normal 4 6 6 2 2 2" xfId="6524"/>
    <cellStyle name="Normal 4 6 6 2 2 2 2" xfId="9859"/>
    <cellStyle name="Normal 4 6 6 2 2 2 2 2" xfId="20575"/>
    <cellStyle name="Normal 4 6 6 2 2 2 3" xfId="13187"/>
    <cellStyle name="Normal 4 6 6 2 2 2 3 2" xfId="23903"/>
    <cellStyle name="Normal 4 6 6 2 2 2 4" xfId="17247"/>
    <cellStyle name="Normal 4 6 6 2 2 3" xfId="8195"/>
    <cellStyle name="Normal 4 6 6 2 2 3 2" xfId="18911"/>
    <cellStyle name="Normal 4 6 6 2 2 4" xfId="11523"/>
    <cellStyle name="Normal 4 6 6 2 2 4 2" xfId="22239"/>
    <cellStyle name="Normal 4 6 6 2 2 5" xfId="15583"/>
    <cellStyle name="Normal 4 6 6 2 3" xfId="5692"/>
    <cellStyle name="Normal 4 6 6 2 3 2" xfId="9027"/>
    <cellStyle name="Normal 4 6 6 2 3 2 2" xfId="19743"/>
    <cellStyle name="Normal 4 6 6 2 3 3" xfId="12355"/>
    <cellStyle name="Normal 4 6 6 2 3 3 2" xfId="23071"/>
    <cellStyle name="Normal 4 6 6 2 3 4" xfId="16415"/>
    <cellStyle name="Normal 4 6 6 2 4" xfId="7363"/>
    <cellStyle name="Normal 4 6 6 2 4 2" xfId="18079"/>
    <cellStyle name="Normal 4 6 6 2 5" xfId="10691"/>
    <cellStyle name="Normal 4 6 6 2 5 2" xfId="21407"/>
    <cellStyle name="Normal 4 6 6 2 6" xfId="14751"/>
    <cellStyle name="Normal 4 6 6 3" xfId="4440"/>
    <cellStyle name="Normal 4 6 6 3 2" xfId="6108"/>
    <cellStyle name="Normal 4 6 6 3 2 2" xfId="9443"/>
    <cellStyle name="Normal 4 6 6 3 2 2 2" xfId="20159"/>
    <cellStyle name="Normal 4 6 6 3 2 3" xfId="12771"/>
    <cellStyle name="Normal 4 6 6 3 2 3 2" xfId="23487"/>
    <cellStyle name="Normal 4 6 6 3 2 4" xfId="16831"/>
    <cellStyle name="Normal 4 6 6 3 3" xfId="7779"/>
    <cellStyle name="Normal 4 6 6 3 3 2" xfId="18495"/>
    <cellStyle name="Normal 4 6 6 3 4" xfId="11107"/>
    <cellStyle name="Normal 4 6 6 3 4 2" xfId="21823"/>
    <cellStyle name="Normal 4 6 6 3 5" xfId="15167"/>
    <cellStyle name="Normal 4 6 6 4" xfId="5276"/>
    <cellStyle name="Normal 4 6 6 4 2" xfId="8611"/>
    <cellStyle name="Normal 4 6 6 4 2 2" xfId="19327"/>
    <cellStyle name="Normal 4 6 6 4 3" xfId="11939"/>
    <cellStyle name="Normal 4 6 6 4 3 2" xfId="22655"/>
    <cellStyle name="Normal 4 6 6 4 4" xfId="15999"/>
    <cellStyle name="Normal 4 6 6 5" xfId="6946"/>
    <cellStyle name="Normal 4 6 6 5 2" xfId="17663"/>
    <cellStyle name="Normal 4 6 6 6" xfId="10275"/>
    <cellStyle name="Normal 4 6 6 6 2" xfId="20991"/>
    <cellStyle name="Normal 4 6 6 7" xfId="14334"/>
    <cellStyle name="Normal 4 6 7" xfId="3797"/>
    <cellStyle name="Normal 4 6 7 2" xfId="4648"/>
    <cellStyle name="Normal 4 6 7 2 2" xfId="6316"/>
    <cellStyle name="Normal 4 6 7 2 2 2" xfId="9651"/>
    <cellStyle name="Normal 4 6 7 2 2 2 2" xfId="20367"/>
    <cellStyle name="Normal 4 6 7 2 2 3" xfId="12979"/>
    <cellStyle name="Normal 4 6 7 2 2 3 2" xfId="23695"/>
    <cellStyle name="Normal 4 6 7 2 2 4" xfId="17039"/>
    <cellStyle name="Normal 4 6 7 2 3" xfId="7987"/>
    <cellStyle name="Normal 4 6 7 2 3 2" xfId="18703"/>
    <cellStyle name="Normal 4 6 7 2 4" xfId="11315"/>
    <cellStyle name="Normal 4 6 7 2 4 2" xfId="22031"/>
    <cellStyle name="Normal 4 6 7 2 5" xfId="15375"/>
    <cellStyle name="Normal 4 6 7 3" xfId="5484"/>
    <cellStyle name="Normal 4 6 7 3 2" xfId="8819"/>
    <cellStyle name="Normal 4 6 7 3 2 2" xfId="19535"/>
    <cellStyle name="Normal 4 6 7 3 3" xfId="12147"/>
    <cellStyle name="Normal 4 6 7 3 3 2" xfId="22863"/>
    <cellStyle name="Normal 4 6 7 3 4" xfId="16207"/>
    <cellStyle name="Normal 4 6 7 4" xfId="7155"/>
    <cellStyle name="Normal 4 6 7 4 2" xfId="17871"/>
    <cellStyle name="Normal 4 6 7 5" xfId="10483"/>
    <cellStyle name="Normal 4 6 7 5 2" xfId="21199"/>
    <cellStyle name="Normal 4 6 7 6" xfId="14543"/>
    <cellStyle name="Normal 4 6 8" xfId="4230"/>
    <cellStyle name="Normal 4 6 8 2" xfId="5900"/>
    <cellStyle name="Normal 4 6 8 2 2" xfId="9235"/>
    <cellStyle name="Normal 4 6 8 2 2 2" xfId="19951"/>
    <cellStyle name="Normal 4 6 8 2 3" xfId="12563"/>
    <cellStyle name="Normal 4 6 8 2 3 2" xfId="23279"/>
    <cellStyle name="Normal 4 6 8 2 4" xfId="16623"/>
    <cellStyle name="Normal 4 6 8 3" xfId="7571"/>
    <cellStyle name="Normal 4 6 8 3 2" xfId="18287"/>
    <cellStyle name="Normal 4 6 8 4" xfId="10899"/>
    <cellStyle name="Normal 4 6 8 4 2" xfId="21615"/>
    <cellStyle name="Normal 4 6 8 5" xfId="14959"/>
    <cellStyle name="Normal 4 6 9" xfId="5065"/>
    <cellStyle name="Normal 4 6 9 2" xfId="8403"/>
    <cellStyle name="Normal 4 6 9 2 2" xfId="19119"/>
    <cellStyle name="Normal 4 6 9 3" xfId="11731"/>
    <cellStyle name="Normal 4 6 9 3 2" xfId="22447"/>
    <cellStyle name="Normal 4 6 9 4" xfId="15791"/>
    <cellStyle name="Normal 4 7" xfId="1400"/>
    <cellStyle name="Normal 4 8" xfId="1401"/>
    <cellStyle name="Normal 4 8 10" xfId="10083"/>
    <cellStyle name="Normal 4 8 10 2" xfId="20799"/>
    <cellStyle name="Normal 4 8 11" xfId="14140"/>
    <cellStyle name="Normal 4 8 2" xfId="1402"/>
    <cellStyle name="Normal 4 8 2 10" xfId="14141"/>
    <cellStyle name="Normal 4 8 2 2" xfId="1403"/>
    <cellStyle name="Normal 4 8 2 2 2" xfId="1404"/>
    <cellStyle name="Normal 4 8 2 2 2 2" xfId="3088"/>
    <cellStyle name="Normal 4 8 2 2 2 2 2" xfId="4035"/>
    <cellStyle name="Normal 4 8 2 2 2 2 2 2" xfId="4875"/>
    <cellStyle name="Normal 4 8 2 2 2 2 2 2 2" xfId="6543"/>
    <cellStyle name="Normal 4 8 2 2 2 2 2 2 2 2" xfId="9878"/>
    <cellStyle name="Normal 4 8 2 2 2 2 2 2 2 2 2" xfId="20594"/>
    <cellStyle name="Normal 4 8 2 2 2 2 2 2 2 3" xfId="13206"/>
    <cellStyle name="Normal 4 8 2 2 2 2 2 2 2 3 2" xfId="23922"/>
    <cellStyle name="Normal 4 8 2 2 2 2 2 2 2 4" xfId="17266"/>
    <cellStyle name="Normal 4 8 2 2 2 2 2 2 3" xfId="8214"/>
    <cellStyle name="Normal 4 8 2 2 2 2 2 2 3 2" xfId="18930"/>
    <cellStyle name="Normal 4 8 2 2 2 2 2 2 4" xfId="11542"/>
    <cellStyle name="Normal 4 8 2 2 2 2 2 2 4 2" xfId="22258"/>
    <cellStyle name="Normal 4 8 2 2 2 2 2 2 5" xfId="15602"/>
    <cellStyle name="Normal 4 8 2 2 2 2 2 3" xfId="5711"/>
    <cellStyle name="Normal 4 8 2 2 2 2 2 3 2" xfId="9046"/>
    <cellStyle name="Normal 4 8 2 2 2 2 2 3 2 2" xfId="19762"/>
    <cellStyle name="Normal 4 8 2 2 2 2 2 3 3" xfId="12374"/>
    <cellStyle name="Normal 4 8 2 2 2 2 2 3 3 2" xfId="23090"/>
    <cellStyle name="Normal 4 8 2 2 2 2 2 3 4" xfId="16434"/>
    <cellStyle name="Normal 4 8 2 2 2 2 2 4" xfId="7382"/>
    <cellStyle name="Normal 4 8 2 2 2 2 2 4 2" xfId="18098"/>
    <cellStyle name="Normal 4 8 2 2 2 2 2 5" xfId="10710"/>
    <cellStyle name="Normal 4 8 2 2 2 2 2 5 2" xfId="21426"/>
    <cellStyle name="Normal 4 8 2 2 2 2 2 6" xfId="14770"/>
    <cellStyle name="Normal 4 8 2 2 2 2 3" xfId="4459"/>
    <cellStyle name="Normal 4 8 2 2 2 2 3 2" xfId="6127"/>
    <cellStyle name="Normal 4 8 2 2 2 2 3 2 2" xfId="9462"/>
    <cellStyle name="Normal 4 8 2 2 2 2 3 2 2 2" xfId="20178"/>
    <cellStyle name="Normal 4 8 2 2 2 2 3 2 3" xfId="12790"/>
    <cellStyle name="Normal 4 8 2 2 2 2 3 2 3 2" xfId="23506"/>
    <cellStyle name="Normal 4 8 2 2 2 2 3 2 4" xfId="16850"/>
    <cellStyle name="Normal 4 8 2 2 2 2 3 3" xfId="7798"/>
    <cellStyle name="Normal 4 8 2 2 2 2 3 3 2" xfId="18514"/>
    <cellStyle name="Normal 4 8 2 2 2 2 3 4" xfId="11126"/>
    <cellStyle name="Normal 4 8 2 2 2 2 3 4 2" xfId="21842"/>
    <cellStyle name="Normal 4 8 2 2 2 2 3 5" xfId="15186"/>
    <cellStyle name="Normal 4 8 2 2 2 2 4" xfId="5295"/>
    <cellStyle name="Normal 4 8 2 2 2 2 4 2" xfId="8630"/>
    <cellStyle name="Normal 4 8 2 2 2 2 4 2 2" xfId="19346"/>
    <cellStyle name="Normal 4 8 2 2 2 2 4 3" xfId="11958"/>
    <cellStyle name="Normal 4 8 2 2 2 2 4 3 2" xfId="22674"/>
    <cellStyle name="Normal 4 8 2 2 2 2 4 4" xfId="16018"/>
    <cellStyle name="Normal 4 8 2 2 2 2 5" xfId="6965"/>
    <cellStyle name="Normal 4 8 2 2 2 2 5 2" xfId="17682"/>
    <cellStyle name="Normal 4 8 2 2 2 2 6" xfId="10294"/>
    <cellStyle name="Normal 4 8 2 2 2 2 6 2" xfId="21010"/>
    <cellStyle name="Normal 4 8 2 2 2 2 7" xfId="14353"/>
    <cellStyle name="Normal 4 8 2 2 2 3" xfId="3816"/>
    <cellStyle name="Normal 4 8 2 2 2 3 2" xfId="4667"/>
    <cellStyle name="Normal 4 8 2 2 2 3 2 2" xfId="6335"/>
    <cellStyle name="Normal 4 8 2 2 2 3 2 2 2" xfId="9670"/>
    <cellStyle name="Normal 4 8 2 2 2 3 2 2 2 2" xfId="20386"/>
    <cellStyle name="Normal 4 8 2 2 2 3 2 2 3" xfId="12998"/>
    <cellStyle name="Normal 4 8 2 2 2 3 2 2 3 2" xfId="23714"/>
    <cellStyle name="Normal 4 8 2 2 2 3 2 2 4" xfId="17058"/>
    <cellStyle name="Normal 4 8 2 2 2 3 2 3" xfId="8006"/>
    <cellStyle name="Normal 4 8 2 2 2 3 2 3 2" xfId="18722"/>
    <cellStyle name="Normal 4 8 2 2 2 3 2 4" xfId="11334"/>
    <cellStyle name="Normal 4 8 2 2 2 3 2 4 2" xfId="22050"/>
    <cellStyle name="Normal 4 8 2 2 2 3 2 5" xfId="15394"/>
    <cellStyle name="Normal 4 8 2 2 2 3 3" xfId="5503"/>
    <cellStyle name="Normal 4 8 2 2 2 3 3 2" xfId="8838"/>
    <cellStyle name="Normal 4 8 2 2 2 3 3 2 2" xfId="19554"/>
    <cellStyle name="Normal 4 8 2 2 2 3 3 3" xfId="12166"/>
    <cellStyle name="Normal 4 8 2 2 2 3 3 3 2" xfId="22882"/>
    <cellStyle name="Normal 4 8 2 2 2 3 3 4" xfId="16226"/>
    <cellStyle name="Normal 4 8 2 2 2 3 4" xfId="7174"/>
    <cellStyle name="Normal 4 8 2 2 2 3 4 2" xfId="17890"/>
    <cellStyle name="Normal 4 8 2 2 2 3 5" xfId="10502"/>
    <cellStyle name="Normal 4 8 2 2 2 3 5 2" xfId="21218"/>
    <cellStyle name="Normal 4 8 2 2 2 3 6" xfId="14562"/>
    <cellStyle name="Normal 4 8 2 2 2 4" xfId="4249"/>
    <cellStyle name="Normal 4 8 2 2 2 4 2" xfId="5919"/>
    <cellStyle name="Normal 4 8 2 2 2 4 2 2" xfId="9254"/>
    <cellStyle name="Normal 4 8 2 2 2 4 2 2 2" xfId="19970"/>
    <cellStyle name="Normal 4 8 2 2 2 4 2 3" xfId="12582"/>
    <cellStyle name="Normal 4 8 2 2 2 4 2 3 2" xfId="23298"/>
    <cellStyle name="Normal 4 8 2 2 2 4 2 4" xfId="16642"/>
    <cellStyle name="Normal 4 8 2 2 2 4 3" xfId="7590"/>
    <cellStyle name="Normal 4 8 2 2 2 4 3 2" xfId="18306"/>
    <cellStyle name="Normal 4 8 2 2 2 4 4" xfId="10918"/>
    <cellStyle name="Normal 4 8 2 2 2 4 4 2" xfId="21634"/>
    <cellStyle name="Normal 4 8 2 2 2 4 5" xfId="14978"/>
    <cellStyle name="Normal 4 8 2 2 2 5" xfId="5084"/>
    <cellStyle name="Normal 4 8 2 2 2 5 2" xfId="8422"/>
    <cellStyle name="Normal 4 8 2 2 2 5 2 2" xfId="19138"/>
    <cellStyle name="Normal 4 8 2 2 2 5 3" xfId="11750"/>
    <cellStyle name="Normal 4 8 2 2 2 5 3 2" xfId="22466"/>
    <cellStyle name="Normal 4 8 2 2 2 5 4" xfId="15810"/>
    <cellStyle name="Normal 4 8 2 2 2 6" xfId="6754"/>
    <cellStyle name="Normal 4 8 2 2 2 6 2" xfId="17474"/>
    <cellStyle name="Normal 4 8 2 2 2 7" xfId="10086"/>
    <cellStyle name="Normal 4 8 2 2 2 7 2" xfId="20802"/>
    <cellStyle name="Normal 4 8 2 2 2 8" xfId="14143"/>
    <cellStyle name="Normal 4 8 2 2 3" xfId="3087"/>
    <cellStyle name="Normal 4 8 2 2 3 2" xfId="4034"/>
    <cellStyle name="Normal 4 8 2 2 3 2 2" xfId="4874"/>
    <cellStyle name="Normal 4 8 2 2 3 2 2 2" xfId="6542"/>
    <cellStyle name="Normal 4 8 2 2 3 2 2 2 2" xfId="9877"/>
    <cellStyle name="Normal 4 8 2 2 3 2 2 2 2 2" xfId="20593"/>
    <cellStyle name="Normal 4 8 2 2 3 2 2 2 3" xfId="13205"/>
    <cellStyle name="Normal 4 8 2 2 3 2 2 2 3 2" xfId="23921"/>
    <cellStyle name="Normal 4 8 2 2 3 2 2 2 4" xfId="17265"/>
    <cellStyle name="Normal 4 8 2 2 3 2 2 3" xfId="8213"/>
    <cellStyle name="Normal 4 8 2 2 3 2 2 3 2" xfId="18929"/>
    <cellStyle name="Normal 4 8 2 2 3 2 2 4" xfId="11541"/>
    <cellStyle name="Normal 4 8 2 2 3 2 2 4 2" xfId="22257"/>
    <cellStyle name="Normal 4 8 2 2 3 2 2 5" xfId="15601"/>
    <cellStyle name="Normal 4 8 2 2 3 2 3" xfId="5710"/>
    <cellStyle name="Normal 4 8 2 2 3 2 3 2" xfId="9045"/>
    <cellStyle name="Normal 4 8 2 2 3 2 3 2 2" xfId="19761"/>
    <cellStyle name="Normal 4 8 2 2 3 2 3 3" xfId="12373"/>
    <cellStyle name="Normal 4 8 2 2 3 2 3 3 2" xfId="23089"/>
    <cellStyle name="Normal 4 8 2 2 3 2 3 4" xfId="16433"/>
    <cellStyle name="Normal 4 8 2 2 3 2 4" xfId="7381"/>
    <cellStyle name="Normal 4 8 2 2 3 2 4 2" xfId="18097"/>
    <cellStyle name="Normal 4 8 2 2 3 2 5" xfId="10709"/>
    <cellStyle name="Normal 4 8 2 2 3 2 5 2" xfId="21425"/>
    <cellStyle name="Normal 4 8 2 2 3 2 6" xfId="14769"/>
    <cellStyle name="Normal 4 8 2 2 3 3" xfId="4458"/>
    <cellStyle name="Normal 4 8 2 2 3 3 2" xfId="6126"/>
    <cellStyle name="Normal 4 8 2 2 3 3 2 2" xfId="9461"/>
    <cellStyle name="Normal 4 8 2 2 3 3 2 2 2" xfId="20177"/>
    <cellStyle name="Normal 4 8 2 2 3 3 2 3" xfId="12789"/>
    <cellStyle name="Normal 4 8 2 2 3 3 2 3 2" xfId="23505"/>
    <cellStyle name="Normal 4 8 2 2 3 3 2 4" xfId="16849"/>
    <cellStyle name="Normal 4 8 2 2 3 3 3" xfId="7797"/>
    <cellStyle name="Normal 4 8 2 2 3 3 3 2" xfId="18513"/>
    <cellStyle name="Normal 4 8 2 2 3 3 4" xfId="11125"/>
    <cellStyle name="Normal 4 8 2 2 3 3 4 2" xfId="21841"/>
    <cellStyle name="Normal 4 8 2 2 3 3 5" xfId="15185"/>
    <cellStyle name="Normal 4 8 2 2 3 4" xfId="5294"/>
    <cellStyle name="Normal 4 8 2 2 3 4 2" xfId="8629"/>
    <cellStyle name="Normal 4 8 2 2 3 4 2 2" xfId="19345"/>
    <cellStyle name="Normal 4 8 2 2 3 4 3" xfId="11957"/>
    <cellStyle name="Normal 4 8 2 2 3 4 3 2" xfId="22673"/>
    <cellStyle name="Normal 4 8 2 2 3 4 4" xfId="16017"/>
    <cellStyle name="Normal 4 8 2 2 3 5" xfId="6964"/>
    <cellStyle name="Normal 4 8 2 2 3 5 2" xfId="17681"/>
    <cellStyle name="Normal 4 8 2 2 3 6" xfId="10293"/>
    <cellStyle name="Normal 4 8 2 2 3 6 2" xfId="21009"/>
    <cellStyle name="Normal 4 8 2 2 3 7" xfId="14352"/>
    <cellStyle name="Normal 4 8 2 2 4" xfId="3815"/>
    <cellStyle name="Normal 4 8 2 2 4 2" xfId="4666"/>
    <cellStyle name="Normal 4 8 2 2 4 2 2" xfId="6334"/>
    <cellStyle name="Normal 4 8 2 2 4 2 2 2" xfId="9669"/>
    <cellStyle name="Normal 4 8 2 2 4 2 2 2 2" xfId="20385"/>
    <cellStyle name="Normal 4 8 2 2 4 2 2 3" xfId="12997"/>
    <cellStyle name="Normal 4 8 2 2 4 2 2 3 2" xfId="23713"/>
    <cellStyle name="Normal 4 8 2 2 4 2 2 4" xfId="17057"/>
    <cellStyle name="Normal 4 8 2 2 4 2 3" xfId="8005"/>
    <cellStyle name="Normal 4 8 2 2 4 2 3 2" xfId="18721"/>
    <cellStyle name="Normal 4 8 2 2 4 2 4" xfId="11333"/>
    <cellStyle name="Normal 4 8 2 2 4 2 4 2" xfId="22049"/>
    <cellStyle name="Normal 4 8 2 2 4 2 5" xfId="15393"/>
    <cellStyle name="Normal 4 8 2 2 4 3" xfId="5502"/>
    <cellStyle name="Normal 4 8 2 2 4 3 2" xfId="8837"/>
    <cellStyle name="Normal 4 8 2 2 4 3 2 2" xfId="19553"/>
    <cellStyle name="Normal 4 8 2 2 4 3 3" xfId="12165"/>
    <cellStyle name="Normal 4 8 2 2 4 3 3 2" xfId="22881"/>
    <cellStyle name="Normal 4 8 2 2 4 3 4" xfId="16225"/>
    <cellStyle name="Normal 4 8 2 2 4 4" xfId="7173"/>
    <cellStyle name="Normal 4 8 2 2 4 4 2" xfId="17889"/>
    <cellStyle name="Normal 4 8 2 2 4 5" xfId="10501"/>
    <cellStyle name="Normal 4 8 2 2 4 5 2" xfId="21217"/>
    <cellStyle name="Normal 4 8 2 2 4 6" xfId="14561"/>
    <cellStyle name="Normal 4 8 2 2 5" xfId="4248"/>
    <cellStyle name="Normal 4 8 2 2 5 2" xfId="5918"/>
    <cellStyle name="Normal 4 8 2 2 5 2 2" xfId="9253"/>
    <cellStyle name="Normal 4 8 2 2 5 2 2 2" xfId="19969"/>
    <cellStyle name="Normal 4 8 2 2 5 2 3" xfId="12581"/>
    <cellStyle name="Normal 4 8 2 2 5 2 3 2" xfId="23297"/>
    <cellStyle name="Normal 4 8 2 2 5 2 4" xfId="16641"/>
    <cellStyle name="Normal 4 8 2 2 5 3" xfId="7589"/>
    <cellStyle name="Normal 4 8 2 2 5 3 2" xfId="18305"/>
    <cellStyle name="Normal 4 8 2 2 5 4" xfId="10917"/>
    <cellStyle name="Normal 4 8 2 2 5 4 2" xfId="21633"/>
    <cellStyle name="Normal 4 8 2 2 5 5" xfId="14977"/>
    <cellStyle name="Normal 4 8 2 2 6" xfId="5083"/>
    <cellStyle name="Normal 4 8 2 2 6 2" xfId="8421"/>
    <cellStyle name="Normal 4 8 2 2 6 2 2" xfId="19137"/>
    <cellStyle name="Normal 4 8 2 2 6 3" xfId="11749"/>
    <cellStyle name="Normal 4 8 2 2 6 3 2" xfId="22465"/>
    <cellStyle name="Normal 4 8 2 2 6 4" xfId="15809"/>
    <cellStyle name="Normal 4 8 2 2 7" xfId="6753"/>
    <cellStyle name="Normal 4 8 2 2 7 2" xfId="17473"/>
    <cellStyle name="Normal 4 8 2 2 8" xfId="10085"/>
    <cellStyle name="Normal 4 8 2 2 8 2" xfId="20801"/>
    <cellStyle name="Normal 4 8 2 2 9" xfId="14142"/>
    <cellStyle name="Normal 4 8 2 3" xfId="1405"/>
    <cellStyle name="Normal 4 8 2 3 2" xfId="3089"/>
    <cellStyle name="Normal 4 8 2 3 2 2" xfId="4036"/>
    <cellStyle name="Normal 4 8 2 3 2 2 2" xfId="4876"/>
    <cellStyle name="Normal 4 8 2 3 2 2 2 2" xfId="6544"/>
    <cellStyle name="Normal 4 8 2 3 2 2 2 2 2" xfId="9879"/>
    <cellStyle name="Normal 4 8 2 3 2 2 2 2 2 2" xfId="20595"/>
    <cellStyle name="Normal 4 8 2 3 2 2 2 2 3" xfId="13207"/>
    <cellStyle name="Normal 4 8 2 3 2 2 2 2 3 2" xfId="23923"/>
    <cellStyle name="Normal 4 8 2 3 2 2 2 2 4" xfId="17267"/>
    <cellStyle name="Normal 4 8 2 3 2 2 2 3" xfId="8215"/>
    <cellStyle name="Normal 4 8 2 3 2 2 2 3 2" xfId="18931"/>
    <cellStyle name="Normal 4 8 2 3 2 2 2 4" xfId="11543"/>
    <cellStyle name="Normal 4 8 2 3 2 2 2 4 2" xfId="22259"/>
    <cellStyle name="Normal 4 8 2 3 2 2 2 5" xfId="15603"/>
    <cellStyle name="Normal 4 8 2 3 2 2 3" xfId="5712"/>
    <cellStyle name="Normal 4 8 2 3 2 2 3 2" xfId="9047"/>
    <cellStyle name="Normal 4 8 2 3 2 2 3 2 2" xfId="19763"/>
    <cellStyle name="Normal 4 8 2 3 2 2 3 3" xfId="12375"/>
    <cellStyle name="Normal 4 8 2 3 2 2 3 3 2" xfId="23091"/>
    <cellStyle name="Normal 4 8 2 3 2 2 3 4" xfId="16435"/>
    <cellStyle name="Normal 4 8 2 3 2 2 4" xfId="7383"/>
    <cellStyle name="Normal 4 8 2 3 2 2 4 2" xfId="18099"/>
    <cellStyle name="Normal 4 8 2 3 2 2 5" xfId="10711"/>
    <cellStyle name="Normal 4 8 2 3 2 2 5 2" xfId="21427"/>
    <cellStyle name="Normal 4 8 2 3 2 2 6" xfId="14771"/>
    <cellStyle name="Normal 4 8 2 3 2 3" xfId="4460"/>
    <cellStyle name="Normal 4 8 2 3 2 3 2" xfId="6128"/>
    <cellStyle name="Normal 4 8 2 3 2 3 2 2" xfId="9463"/>
    <cellStyle name="Normal 4 8 2 3 2 3 2 2 2" xfId="20179"/>
    <cellStyle name="Normal 4 8 2 3 2 3 2 3" xfId="12791"/>
    <cellStyle name="Normal 4 8 2 3 2 3 2 3 2" xfId="23507"/>
    <cellStyle name="Normal 4 8 2 3 2 3 2 4" xfId="16851"/>
    <cellStyle name="Normal 4 8 2 3 2 3 3" xfId="7799"/>
    <cellStyle name="Normal 4 8 2 3 2 3 3 2" xfId="18515"/>
    <cellStyle name="Normal 4 8 2 3 2 3 4" xfId="11127"/>
    <cellStyle name="Normal 4 8 2 3 2 3 4 2" xfId="21843"/>
    <cellStyle name="Normal 4 8 2 3 2 3 5" xfId="15187"/>
    <cellStyle name="Normal 4 8 2 3 2 4" xfId="5296"/>
    <cellStyle name="Normal 4 8 2 3 2 4 2" xfId="8631"/>
    <cellStyle name="Normal 4 8 2 3 2 4 2 2" xfId="19347"/>
    <cellStyle name="Normal 4 8 2 3 2 4 3" xfId="11959"/>
    <cellStyle name="Normal 4 8 2 3 2 4 3 2" xfId="22675"/>
    <cellStyle name="Normal 4 8 2 3 2 4 4" xfId="16019"/>
    <cellStyle name="Normal 4 8 2 3 2 5" xfId="6966"/>
    <cellStyle name="Normal 4 8 2 3 2 5 2" xfId="17683"/>
    <cellStyle name="Normal 4 8 2 3 2 6" xfId="10295"/>
    <cellStyle name="Normal 4 8 2 3 2 6 2" xfId="21011"/>
    <cellStyle name="Normal 4 8 2 3 2 7" xfId="14354"/>
    <cellStyle name="Normal 4 8 2 3 3" xfId="3817"/>
    <cellStyle name="Normal 4 8 2 3 3 2" xfId="4668"/>
    <cellStyle name="Normal 4 8 2 3 3 2 2" xfId="6336"/>
    <cellStyle name="Normal 4 8 2 3 3 2 2 2" xfId="9671"/>
    <cellStyle name="Normal 4 8 2 3 3 2 2 2 2" xfId="20387"/>
    <cellStyle name="Normal 4 8 2 3 3 2 2 3" xfId="12999"/>
    <cellStyle name="Normal 4 8 2 3 3 2 2 3 2" xfId="23715"/>
    <cellStyle name="Normal 4 8 2 3 3 2 2 4" xfId="17059"/>
    <cellStyle name="Normal 4 8 2 3 3 2 3" xfId="8007"/>
    <cellStyle name="Normal 4 8 2 3 3 2 3 2" xfId="18723"/>
    <cellStyle name="Normal 4 8 2 3 3 2 4" xfId="11335"/>
    <cellStyle name="Normal 4 8 2 3 3 2 4 2" xfId="22051"/>
    <cellStyle name="Normal 4 8 2 3 3 2 5" xfId="15395"/>
    <cellStyle name="Normal 4 8 2 3 3 3" xfId="5504"/>
    <cellStyle name="Normal 4 8 2 3 3 3 2" xfId="8839"/>
    <cellStyle name="Normal 4 8 2 3 3 3 2 2" xfId="19555"/>
    <cellStyle name="Normal 4 8 2 3 3 3 3" xfId="12167"/>
    <cellStyle name="Normal 4 8 2 3 3 3 3 2" xfId="22883"/>
    <cellStyle name="Normal 4 8 2 3 3 3 4" xfId="16227"/>
    <cellStyle name="Normal 4 8 2 3 3 4" xfId="7175"/>
    <cellStyle name="Normal 4 8 2 3 3 4 2" xfId="17891"/>
    <cellStyle name="Normal 4 8 2 3 3 5" xfId="10503"/>
    <cellStyle name="Normal 4 8 2 3 3 5 2" xfId="21219"/>
    <cellStyle name="Normal 4 8 2 3 3 6" xfId="14563"/>
    <cellStyle name="Normal 4 8 2 3 4" xfId="4250"/>
    <cellStyle name="Normal 4 8 2 3 4 2" xfId="5920"/>
    <cellStyle name="Normal 4 8 2 3 4 2 2" xfId="9255"/>
    <cellStyle name="Normal 4 8 2 3 4 2 2 2" xfId="19971"/>
    <cellStyle name="Normal 4 8 2 3 4 2 3" xfId="12583"/>
    <cellStyle name="Normal 4 8 2 3 4 2 3 2" xfId="23299"/>
    <cellStyle name="Normal 4 8 2 3 4 2 4" xfId="16643"/>
    <cellStyle name="Normal 4 8 2 3 4 3" xfId="7591"/>
    <cellStyle name="Normal 4 8 2 3 4 3 2" xfId="18307"/>
    <cellStyle name="Normal 4 8 2 3 4 4" xfId="10919"/>
    <cellStyle name="Normal 4 8 2 3 4 4 2" xfId="21635"/>
    <cellStyle name="Normal 4 8 2 3 4 5" xfId="14979"/>
    <cellStyle name="Normal 4 8 2 3 5" xfId="5085"/>
    <cellStyle name="Normal 4 8 2 3 5 2" xfId="8423"/>
    <cellStyle name="Normal 4 8 2 3 5 2 2" xfId="19139"/>
    <cellStyle name="Normal 4 8 2 3 5 3" xfId="11751"/>
    <cellStyle name="Normal 4 8 2 3 5 3 2" xfId="22467"/>
    <cellStyle name="Normal 4 8 2 3 5 4" xfId="15811"/>
    <cellStyle name="Normal 4 8 2 3 6" xfId="6755"/>
    <cellStyle name="Normal 4 8 2 3 6 2" xfId="17475"/>
    <cellStyle name="Normal 4 8 2 3 7" xfId="10087"/>
    <cellStyle name="Normal 4 8 2 3 7 2" xfId="20803"/>
    <cellStyle name="Normal 4 8 2 3 8" xfId="14144"/>
    <cellStyle name="Normal 4 8 2 4" xfId="3086"/>
    <cellStyle name="Normal 4 8 2 4 2" xfId="4033"/>
    <cellStyle name="Normal 4 8 2 4 2 2" xfId="4873"/>
    <cellStyle name="Normal 4 8 2 4 2 2 2" xfId="6541"/>
    <cellStyle name="Normal 4 8 2 4 2 2 2 2" xfId="9876"/>
    <cellStyle name="Normal 4 8 2 4 2 2 2 2 2" xfId="20592"/>
    <cellStyle name="Normal 4 8 2 4 2 2 2 3" xfId="13204"/>
    <cellStyle name="Normal 4 8 2 4 2 2 2 3 2" xfId="23920"/>
    <cellStyle name="Normal 4 8 2 4 2 2 2 4" xfId="17264"/>
    <cellStyle name="Normal 4 8 2 4 2 2 3" xfId="8212"/>
    <cellStyle name="Normal 4 8 2 4 2 2 3 2" xfId="18928"/>
    <cellStyle name="Normal 4 8 2 4 2 2 4" xfId="11540"/>
    <cellStyle name="Normal 4 8 2 4 2 2 4 2" xfId="22256"/>
    <cellStyle name="Normal 4 8 2 4 2 2 5" xfId="15600"/>
    <cellStyle name="Normal 4 8 2 4 2 3" xfId="5709"/>
    <cellStyle name="Normal 4 8 2 4 2 3 2" xfId="9044"/>
    <cellStyle name="Normal 4 8 2 4 2 3 2 2" xfId="19760"/>
    <cellStyle name="Normal 4 8 2 4 2 3 3" xfId="12372"/>
    <cellStyle name="Normal 4 8 2 4 2 3 3 2" xfId="23088"/>
    <cellStyle name="Normal 4 8 2 4 2 3 4" xfId="16432"/>
    <cellStyle name="Normal 4 8 2 4 2 4" xfId="7380"/>
    <cellStyle name="Normal 4 8 2 4 2 4 2" xfId="18096"/>
    <cellStyle name="Normal 4 8 2 4 2 5" xfId="10708"/>
    <cellStyle name="Normal 4 8 2 4 2 5 2" xfId="21424"/>
    <cellStyle name="Normal 4 8 2 4 2 6" xfId="14768"/>
    <cellStyle name="Normal 4 8 2 4 3" xfId="4457"/>
    <cellStyle name="Normal 4 8 2 4 3 2" xfId="6125"/>
    <cellStyle name="Normal 4 8 2 4 3 2 2" xfId="9460"/>
    <cellStyle name="Normal 4 8 2 4 3 2 2 2" xfId="20176"/>
    <cellStyle name="Normal 4 8 2 4 3 2 3" xfId="12788"/>
    <cellStyle name="Normal 4 8 2 4 3 2 3 2" xfId="23504"/>
    <cellStyle name="Normal 4 8 2 4 3 2 4" xfId="16848"/>
    <cellStyle name="Normal 4 8 2 4 3 3" xfId="7796"/>
    <cellStyle name="Normal 4 8 2 4 3 3 2" xfId="18512"/>
    <cellStyle name="Normal 4 8 2 4 3 4" xfId="11124"/>
    <cellStyle name="Normal 4 8 2 4 3 4 2" xfId="21840"/>
    <cellStyle name="Normal 4 8 2 4 3 5" xfId="15184"/>
    <cellStyle name="Normal 4 8 2 4 4" xfId="5293"/>
    <cellStyle name="Normal 4 8 2 4 4 2" xfId="8628"/>
    <cellStyle name="Normal 4 8 2 4 4 2 2" xfId="19344"/>
    <cellStyle name="Normal 4 8 2 4 4 3" xfId="11956"/>
    <cellStyle name="Normal 4 8 2 4 4 3 2" xfId="22672"/>
    <cellStyle name="Normal 4 8 2 4 4 4" xfId="16016"/>
    <cellStyle name="Normal 4 8 2 4 5" xfId="6963"/>
    <cellStyle name="Normal 4 8 2 4 5 2" xfId="17680"/>
    <cellStyle name="Normal 4 8 2 4 6" xfId="10292"/>
    <cellStyle name="Normal 4 8 2 4 6 2" xfId="21008"/>
    <cellStyle name="Normal 4 8 2 4 7" xfId="14351"/>
    <cellStyle name="Normal 4 8 2 5" xfId="3814"/>
    <cellStyle name="Normal 4 8 2 5 2" xfId="4665"/>
    <cellStyle name="Normal 4 8 2 5 2 2" xfId="6333"/>
    <cellStyle name="Normal 4 8 2 5 2 2 2" xfId="9668"/>
    <cellStyle name="Normal 4 8 2 5 2 2 2 2" xfId="20384"/>
    <cellStyle name="Normal 4 8 2 5 2 2 3" xfId="12996"/>
    <cellStyle name="Normal 4 8 2 5 2 2 3 2" xfId="23712"/>
    <cellStyle name="Normal 4 8 2 5 2 2 4" xfId="17056"/>
    <cellStyle name="Normal 4 8 2 5 2 3" xfId="8004"/>
    <cellStyle name="Normal 4 8 2 5 2 3 2" xfId="18720"/>
    <cellStyle name="Normal 4 8 2 5 2 4" xfId="11332"/>
    <cellStyle name="Normal 4 8 2 5 2 4 2" xfId="22048"/>
    <cellStyle name="Normal 4 8 2 5 2 5" xfId="15392"/>
    <cellStyle name="Normal 4 8 2 5 3" xfId="5501"/>
    <cellStyle name="Normal 4 8 2 5 3 2" xfId="8836"/>
    <cellStyle name="Normal 4 8 2 5 3 2 2" xfId="19552"/>
    <cellStyle name="Normal 4 8 2 5 3 3" xfId="12164"/>
    <cellStyle name="Normal 4 8 2 5 3 3 2" xfId="22880"/>
    <cellStyle name="Normal 4 8 2 5 3 4" xfId="16224"/>
    <cellStyle name="Normal 4 8 2 5 4" xfId="7172"/>
    <cellStyle name="Normal 4 8 2 5 4 2" xfId="17888"/>
    <cellStyle name="Normal 4 8 2 5 5" xfId="10500"/>
    <cellStyle name="Normal 4 8 2 5 5 2" xfId="21216"/>
    <cellStyle name="Normal 4 8 2 5 6" xfId="14560"/>
    <cellStyle name="Normal 4 8 2 6" xfId="4247"/>
    <cellStyle name="Normal 4 8 2 6 2" xfId="5917"/>
    <cellStyle name="Normal 4 8 2 6 2 2" xfId="9252"/>
    <cellStyle name="Normal 4 8 2 6 2 2 2" xfId="19968"/>
    <cellStyle name="Normal 4 8 2 6 2 3" xfId="12580"/>
    <cellStyle name="Normal 4 8 2 6 2 3 2" xfId="23296"/>
    <cellStyle name="Normal 4 8 2 6 2 4" xfId="16640"/>
    <cellStyle name="Normal 4 8 2 6 3" xfId="7588"/>
    <cellStyle name="Normal 4 8 2 6 3 2" xfId="18304"/>
    <cellStyle name="Normal 4 8 2 6 4" xfId="10916"/>
    <cellStyle name="Normal 4 8 2 6 4 2" xfId="21632"/>
    <cellStyle name="Normal 4 8 2 6 5" xfId="14976"/>
    <cellStyle name="Normal 4 8 2 7" xfId="5082"/>
    <cellStyle name="Normal 4 8 2 7 2" xfId="8420"/>
    <cellStyle name="Normal 4 8 2 7 2 2" xfId="19136"/>
    <cellStyle name="Normal 4 8 2 7 3" xfId="11748"/>
    <cellStyle name="Normal 4 8 2 7 3 2" xfId="22464"/>
    <cellStyle name="Normal 4 8 2 7 4" xfId="15808"/>
    <cellStyle name="Normal 4 8 2 8" xfId="6752"/>
    <cellStyle name="Normal 4 8 2 8 2" xfId="17472"/>
    <cellStyle name="Normal 4 8 2 9" xfId="10084"/>
    <cellStyle name="Normal 4 8 2 9 2" xfId="20800"/>
    <cellStyle name="Normal 4 8 3" xfId="1406"/>
    <cellStyle name="Normal 4 8 3 2" xfId="1407"/>
    <cellStyle name="Normal 4 8 3 2 2" xfId="3091"/>
    <cellStyle name="Normal 4 8 3 2 2 2" xfId="4038"/>
    <cellStyle name="Normal 4 8 3 2 2 2 2" xfId="4878"/>
    <cellStyle name="Normal 4 8 3 2 2 2 2 2" xfId="6546"/>
    <cellStyle name="Normal 4 8 3 2 2 2 2 2 2" xfId="9881"/>
    <cellStyle name="Normal 4 8 3 2 2 2 2 2 2 2" xfId="20597"/>
    <cellStyle name="Normal 4 8 3 2 2 2 2 2 3" xfId="13209"/>
    <cellStyle name="Normal 4 8 3 2 2 2 2 2 3 2" xfId="23925"/>
    <cellStyle name="Normal 4 8 3 2 2 2 2 2 4" xfId="17269"/>
    <cellStyle name="Normal 4 8 3 2 2 2 2 3" xfId="8217"/>
    <cellStyle name="Normal 4 8 3 2 2 2 2 3 2" xfId="18933"/>
    <cellStyle name="Normal 4 8 3 2 2 2 2 4" xfId="11545"/>
    <cellStyle name="Normal 4 8 3 2 2 2 2 4 2" xfId="22261"/>
    <cellStyle name="Normal 4 8 3 2 2 2 2 5" xfId="15605"/>
    <cellStyle name="Normal 4 8 3 2 2 2 3" xfId="5714"/>
    <cellStyle name="Normal 4 8 3 2 2 2 3 2" xfId="9049"/>
    <cellStyle name="Normal 4 8 3 2 2 2 3 2 2" xfId="19765"/>
    <cellStyle name="Normal 4 8 3 2 2 2 3 3" xfId="12377"/>
    <cellStyle name="Normal 4 8 3 2 2 2 3 3 2" xfId="23093"/>
    <cellStyle name="Normal 4 8 3 2 2 2 3 4" xfId="16437"/>
    <cellStyle name="Normal 4 8 3 2 2 2 4" xfId="7385"/>
    <cellStyle name="Normal 4 8 3 2 2 2 4 2" xfId="18101"/>
    <cellStyle name="Normal 4 8 3 2 2 2 5" xfId="10713"/>
    <cellStyle name="Normal 4 8 3 2 2 2 5 2" xfId="21429"/>
    <cellStyle name="Normal 4 8 3 2 2 2 6" xfId="14773"/>
    <cellStyle name="Normal 4 8 3 2 2 3" xfId="4462"/>
    <cellStyle name="Normal 4 8 3 2 2 3 2" xfId="6130"/>
    <cellStyle name="Normal 4 8 3 2 2 3 2 2" xfId="9465"/>
    <cellStyle name="Normal 4 8 3 2 2 3 2 2 2" xfId="20181"/>
    <cellStyle name="Normal 4 8 3 2 2 3 2 3" xfId="12793"/>
    <cellStyle name="Normal 4 8 3 2 2 3 2 3 2" xfId="23509"/>
    <cellStyle name="Normal 4 8 3 2 2 3 2 4" xfId="16853"/>
    <cellStyle name="Normal 4 8 3 2 2 3 3" xfId="7801"/>
    <cellStyle name="Normal 4 8 3 2 2 3 3 2" xfId="18517"/>
    <cellStyle name="Normal 4 8 3 2 2 3 4" xfId="11129"/>
    <cellStyle name="Normal 4 8 3 2 2 3 4 2" xfId="21845"/>
    <cellStyle name="Normal 4 8 3 2 2 3 5" xfId="15189"/>
    <cellStyle name="Normal 4 8 3 2 2 4" xfId="5298"/>
    <cellStyle name="Normal 4 8 3 2 2 4 2" xfId="8633"/>
    <cellStyle name="Normal 4 8 3 2 2 4 2 2" xfId="19349"/>
    <cellStyle name="Normal 4 8 3 2 2 4 3" xfId="11961"/>
    <cellStyle name="Normal 4 8 3 2 2 4 3 2" xfId="22677"/>
    <cellStyle name="Normal 4 8 3 2 2 4 4" xfId="16021"/>
    <cellStyle name="Normal 4 8 3 2 2 5" xfId="6968"/>
    <cellStyle name="Normal 4 8 3 2 2 5 2" xfId="17685"/>
    <cellStyle name="Normal 4 8 3 2 2 6" xfId="10297"/>
    <cellStyle name="Normal 4 8 3 2 2 6 2" xfId="21013"/>
    <cellStyle name="Normal 4 8 3 2 2 7" xfId="14356"/>
    <cellStyle name="Normal 4 8 3 2 3" xfId="3819"/>
    <cellStyle name="Normal 4 8 3 2 3 2" xfId="4670"/>
    <cellStyle name="Normal 4 8 3 2 3 2 2" xfId="6338"/>
    <cellStyle name="Normal 4 8 3 2 3 2 2 2" xfId="9673"/>
    <cellStyle name="Normal 4 8 3 2 3 2 2 2 2" xfId="20389"/>
    <cellStyle name="Normal 4 8 3 2 3 2 2 3" xfId="13001"/>
    <cellStyle name="Normal 4 8 3 2 3 2 2 3 2" xfId="23717"/>
    <cellStyle name="Normal 4 8 3 2 3 2 2 4" xfId="17061"/>
    <cellStyle name="Normal 4 8 3 2 3 2 3" xfId="8009"/>
    <cellStyle name="Normal 4 8 3 2 3 2 3 2" xfId="18725"/>
    <cellStyle name="Normal 4 8 3 2 3 2 4" xfId="11337"/>
    <cellStyle name="Normal 4 8 3 2 3 2 4 2" xfId="22053"/>
    <cellStyle name="Normal 4 8 3 2 3 2 5" xfId="15397"/>
    <cellStyle name="Normal 4 8 3 2 3 3" xfId="5506"/>
    <cellStyle name="Normal 4 8 3 2 3 3 2" xfId="8841"/>
    <cellStyle name="Normal 4 8 3 2 3 3 2 2" xfId="19557"/>
    <cellStyle name="Normal 4 8 3 2 3 3 3" xfId="12169"/>
    <cellStyle name="Normal 4 8 3 2 3 3 3 2" xfId="22885"/>
    <cellStyle name="Normal 4 8 3 2 3 3 4" xfId="16229"/>
    <cellStyle name="Normal 4 8 3 2 3 4" xfId="7177"/>
    <cellStyle name="Normal 4 8 3 2 3 4 2" xfId="17893"/>
    <cellStyle name="Normal 4 8 3 2 3 5" xfId="10505"/>
    <cellStyle name="Normal 4 8 3 2 3 5 2" xfId="21221"/>
    <cellStyle name="Normal 4 8 3 2 3 6" xfId="14565"/>
    <cellStyle name="Normal 4 8 3 2 4" xfId="4252"/>
    <cellStyle name="Normal 4 8 3 2 4 2" xfId="5922"/>
    <cellStyle name="Normal 4 8 3 2 4 2 2" xfId="9257"/>
    <cellStyle name="Normal 4 8 3 2 4 2 2 2" xfId="19973"/>
    <cellStyle name="Normal 4 8 3 2 4 2 3" xfId="12585"/>
    <cellStyle name="Normal 4 8 3 2 4 2 3 2" xfId="23301"/>
    <cellStyle name="Normal 4 8 3 2 4 2 4" xfId="16645"/>
    <cellStyle name="Normal 4 8 3 2 4 3" xfId="7593"/>
    <cellStyle name="Normal 4 8 3 2 4 3 2" xfId="18309"/>
    <cellStyle name="Normal 4 8 3 2 4 4" xfId="10921"/>
    <cellStyle name="Normal 4 8 3 2 4 4 2" xfId="21637"/>
    <cellStyle name="Normal 4 8 3 2 4 5" xfId="14981"/>
    <cellStyle name="Normal 4 8 3 2 5" xfId="5087"/>
    <cellStyle name="Normal 4 8 3 2 5 2" xfId="8425"/>
    <cellStyle name="Normal 4 8 3 2 5 2 2" xfId="19141"/>
    <cellStyle name="Normal 4 8 3 2 5 3" xfId="11753"/>
    <cellStyle name="Normal 4 8 3 2 5 3 2" xfId="22469"/>
    <cellStyle name="Normal 4 8 3 2 5 4" xfId="15813"/>
    <cellStyle name="Normal 4 8 3 2 6" xfId="6757"/>
    <cellStyle name="Normal 4 8 3 2 6 2" xfId="17477"/>
    <cellStyle name="Normal 4 8 3 2 7" xfId="10089"/>
    <cellStyle name="Normal 4 8 3 2 7 2" xfId="20805"/>
    <cellStyle name="Normal 4 8 3 2 8" xfId="14146"/>
    <cellStyle name="Normal 4 8 3 3" xfId="3090"/>
    <cellStyle name="Normal 4 8 3 3 2" xfId="4037"/>
    <cellStyle name="Normal 4 8 3 3 2 2" xfId="4877"/>
    <cellStyle name="Normal 4 8 3 3 2 2 2" xfId="6545"/>
    <cellStyle name="Normal 4 8 3 3 2 2 2 2" xfId="9880"/>
    <cellStyle name="Normal 4 8 3 3 2 2 2 2 2" xfId="20596"/>
    <cellStyle name="Normal 4 8 3 3 2 2 2 3" xfId="13208"/>
    <cellStyle name="Normal 4 8 3 3 2 2 2 3 2" xfId="23924"/>
    <cellStyle name="Normal 4 8 3 3 2 2 2 4" xfId="17268"/>
    <cellStyle name="Normal 4 8 3 3 2 2 3" xfId="8216"/>
    <cellStyle name="Normal 4 8 3 3 2 2 3 2" xfId="18932"/>
    <cellStyle name="Normal 4 8 3 3 2 2 4" xfId="11544"/>
    <cellStyle name="Normal 4 8 3 3 2 2 4 2" xfId="22260"/>
    <cellStyle name="Normal 4 8 3 3 2 2 5" xfId="15604"/>
    <cellStyle name="Normal 4 8 3 3 2 3" xfId="5713"/>
    <cellStyle name="Normal 4 8 3 3 2 3 2" xfId="9048"/>
    <cellStyle name="Normal 4 8 3 3 2 3 2 2" xfId="19764"/>
    <cellStyle name="Normal 4 8 3 3 2 3 3" xfId="12376"/>
    <cellStyle name="Normal 4 8 3 3 2 3 3 2" xfId="23092"/>
    <cellStyle name="Normal 4 8 3 3 2 3 4" xfId="16436"/>
    <cellStyle name="Normal 4 8 3 3 2 4" xfId="7384"/>
    <cellStyle name="Normal 4 8 3 3 2 4 2" xfId="18100"/>
    <cellStyle name="Normal 4 8 3 3 2 5" xfId="10712"/>
    <cellStyle name="Normal 4 8 3 3 2 5 2" xfId="21428"/>
    <cellStyle name="Normal 4 8 3 3 2 6" xfId="14772"/>
    <cellStyle name="Normal 4 8 3 3 3" xfId="4461"/>
    <cellStyle name="Normal 4 8 3 3 3 2" xfId="6129"/>
    <cellStyle name="Normal 4 8 3 3 3 2 2" xfId="9464"/>
    <cellStyle name="Normal 4 8 3 3 3 2 2 2" xfId="20180"/>
    <cellStyle name="Normal 4 8 3 3 3 2 3" xfId="12792"/>
    <cellStyle name="Normal 4 8 3 3 3 2 3 2" xfId="23508"/>
    <cellStyle name="Normal 4 8 3 3 3 2 4" xfId="16852"/>
    <cellStyle name="Normal 4 8 3 3 3 3" xfId="7800"/>
    <cellStyle name="Normal 4 8 3 3 3 3 2" xfId="18516"/>
    <cellStyle name="Normal 4 8 3 3 3 4" xfId="11128"/>
    <cellStyle name="Normal 4 8 3 3 3 4 2" xfId="21844"/>
    <cellStyle name="Normal 4 8 3 3 3 5" xfId="15188"/>
    <cellStyle name="Normal 4 8 3 3 4" xfId="5297"/>
    <cellStyle name="Normal 4 8 3 3 4 2" xfId="8632"/>
    <cellStyle name="Normal 4 8 3 3 4 2 2" xfId="19348"/>
    <cellStyle name="Normal 4 8 3 3 4 3" xfId="11960"/>
    <cellStyle name="Normal 4 8 3 3 4 3 2" xfId="22676"/>
    <cellStyle name="Normal 4 8 3 3 4 4" xfId="16020"/>
    <cellStyle name="Normal 4 8 3 3 5" xfId="6967"/>
    <cellStyle name="Normal 4 8 3 3 5 2" xfId="17684"/>
    <cellStyle name="Normal 4 8 3 3 6" xfId="10296"/>
    <cellStyle name="Normal 4 8 3 3 6 2" xfId="21012"/>
    <cellStyle name="Normal 4 8 3 3 7" xfId="14355"/>
    <cellStyle name="Normal 4 8 3 4" xfId="3818"/>
    <cellStyle name="Normal 4 8 3 4 2" xfId="4669"/>
    <cellStyle name="Normal 4 8 3 4 2 2" xfId="6337"/>
    <cellStyle name="Normal 4 8 3 4 2 2 2" xfId="9672"/>
    <cellStyle name="Normal 4 8 3 4 2 2 2 2" xfId="20388"/>
    <cellStyle name="Normal 4 8 3 4 2 2 3" xfId="13000"/>
    <cellStyle name="Normal 4 8 3 4 2 2 3 2" xfId="23716"/>
    <cellStyle name="Normal 4 8 3 4 2 2 4" xfId="17060"/>
    <cellStyle name="Normal 4 8 3 4 2 3" xfId="8008"/>
    <cellStyle name="Normal 4 8 3 4 2 3 2" xfId="18724"/>
    <cellStyle name="Normal 4 8 3 4 2 4" xfId="11336"/>
    <cellStyle name="Normal 4 8 3 4 2 4 2" xfId="22052"/>
    <cellStyle name="Normal 4 8 3 4 2 5" xfId="15396"/>
    <cellStyle name="Normal 4 8 3 4 3" xfId="5505"/>
    <cellStyle name="Normal 4 8 3 4 3 2" xfId="8840"/>
    <cellStyle name="Normal 4 8 3 4 3 2 2" xfId="19556"/>
    <cellStyle name="Normal 4 8 3 4 3 3" xfId="12168"/>
    <cellStyle name="Normal 4 8 3 4 3 3 2" xfId="22884"/>
    <cellStyle name="Normal 4 8 3 4 3 4" xfId="16228"/>
    <cellStyle name="Normal 4 8 3 4 4" xfId="7176"/>
    <cellStyle name="Normal 4 8 3 4 4 2" xfId="17892"/>
    <cellStyle name="Normal 4 8 3 4 5" xfId="10504"/>
    <cellStyle name="Normal 4 8 3 4 5 2" xfId="21220"/>
    <cellStyle name="Normal 4 8 3 4 6" xfId="14564"/>
    <cellStyle name="Normal 4 8 3 5" xfId="4251"/>
    <cellStyle name="Normal 4 8 3 5 2" xfId="5921"/>
    <cellStyle name="Normal 4 8 3 5 2 2" xfId="9256"/>
    <cellStyle name="Normal 4 8 3 5 2 2 2" xfId="19972"/>
    <cellStyle name="Normal 4 8 3 5 2 3" xfId="12584"/>
    <cellStyle name="Normal 4 8 3 5 2 3 2" xfId="23300"/>
    <cellStyle name="Normal 4 8 3 5 2 4" xfId="16644"/>
    <cellStyle name="Normal 4 8 3 5 3" xfId="7592"/>
    <cellStyle name="Normal 4 8 3 5 3 2" xfId="18308"/>
    <cellStyle name="Normal 4 8 3 5 4" xfId="10920"/>
    <cellStyle name="Normal 4 8 3 5 4 2" xfId="21636"/>
    <cellStyle name="Normal 4 8 3 5 5" xfId="14980"/>
    <cellStyle name="Normal 4 8 3 6" xfId="5086"/>
    <cellStyle name="Normal 4 8 3 6 2" xfId="8424"/>
    <cellStyle name="Normal 4 8 3 6 2 2" xfId="19140"/>
    <cellStyle name="Normal 4 8 3 6 3" xfId="11752"/>
    <cellStyle name="Normal 4 8 3 6 3 2" xfId="22468"/>
    <cellStyle name="Normal 4 8 3 6 4" xfId="15812"/>
    <cellStyle name="Normal 4 8 3 7" xfId="6756"/>
    <cellStyle name="Normal 4 8 3 7 2" xfId="17476"/>
    <cellStyle name="Normal 4 8 3 8" xfId="10088"/>
    <cellStyle name="Normal 4 8 3 8 2" xfId="20804"/>
    <cellStyle name="Normal 4 8 3 9" xfId="14145"/>
    <cellStyle name="Normal 4 8 4" xfId="1408"/>
    <cellStyle name="Normal 4 8 4 2" xfId="3092"/>
    <cellStyle name="Normal 4 8 4 2 2" xfId="4039"/>
    <cellStyle name="Normal 4 8 4 2 2 2" xfId="4879"/>
    <cellStyle name="Normal 4 8 4 2 2 2 2" xfId="6547"/>
    <cellStyle name="Normal 4 8 4 2 2 2 2 2" xfId="9882"/>
    <cellStyle name="Normal 4 8 4 2 2 2 2 2 2" xfId="20598"/>
    <cellStyle name="Normal 4 8 4 2 2 2 2 3" xfId="13210"/>
    <cellStyle name="Normal 4 8 4 2 2 2 2 3 2" xfId="23926"/>
    <cellStyle name="Normal 4 8 4 2 2 2 2 4" xfId="17270"/>
    <cellStyle name="Normal 4 8 4 2 2 2 3" xfId="8218"/>
    <cellStyle name="Normal 4 8 4 2 2 2 3 2" xfId="18934"/>
    <cellStyle name="Normal 4 8 4 2 2 2 4" xfId="11546"/>
    <cellStyle name="Normal 4 8 4 2 2 2 4 2" xfId="22262"/>
    <cellStyle name="Normal 4 8 4 2 2 2 5" xfId="15606"/>
    <cellStyle name="Normal 4 8 4 2 2 3" xfId="5715"/>
    <cellStyle name="Normal 4 8 4 2 2 3 2" xfId="9050"/>
    <cellStyle name="Normal 4 8 4 2 2 3 2 2" xfId="19766"/>
    <cellStyle name="Normal 4 8 4 2 2 3 3" xfId="12378"/>
    <cellStyle name="Normal 4 8 4 2 2 3 3 2" xfId="23094"/>
    <cellStyle name="Normal 4 8 4 2 2 3 4" xfId="16438"/>
    <cellStyle name="Normal 4 8 4 2 2 4" xfId="7386"/>
    <cellStyle name="Normal 4 8 4 2 2 4 2" xfId="18102"/>
    <cellStyle name="Normal 4 8 4 2 2 5" xfId="10714"/>
    <cellStyle name="Normal 4 8 4 2 2 5 2" xfId="21430"/>
    <cellStyle name="Normal 4 8 4 2 2 6" xfId="14774"/>
    <cellStyle name="Normal 4 8 4 2 3" xfId="4463"/>
    <cellStyle name="Normal 4 8 4 2 3 2" xfId="6131"/>
    <cellStyle name="Normal 4 8 4 2 3 2 2" xfId="9466"/>
    <cellStyle name="Normal 4 8 4 2 3 2 2 2" xfId="20182"/>
    <cellStyle name="Normal 4 8 4 2 3 2 3" xfId="12794"/>
    <cellStyle name="Normal 4 8 4 2 3 2 3 2" xfId="23510"/>
    <cellStyle name="Normal 4 8 4 2 3 2 4" xfId="16854"/>
    <cellStyle name="Normal 4 8 4 2 3 3" xfId="7802"/>
    <cellStyle name="Normal 4 8 4 2 3 3 2" xfId="18518"/>
    <cellStyle name="Normal 4 8 4 2 3 4" xfId="11130"/>
    <cellStyle name="Normal 4 8 4 2 3 4 2" xfId="21846"/>
    <cellStyle name="Normal 4 8 4 2 3 5" xfId="15190"/>
    <cellStyle name="Normal 4 8 4 2 4" xfId="5299"/>
    <cellStyle name="Normal 4 8 4 2 4 2" xfId="8634"/>
    <cellStyle name="Normal 4 8 4 2 4 2 2" xfId="19350"/>
    <cellStyle name="Normal 4 8 4 2 4 3" xfId="11962"/>
    <cellStyle name="Normal 4 8 4 2 4 3 2" xfId="22678"/>
    <cellStyle name="Normal 4 8 4 2 4 4" xfId="16022"/>
    <cellStyle name="Normal 4 8 4 2 5" xfId="6969"/>
    <cellStyle name="Normal 4 8 4 2 5 2" xfId="17686"/>
    <cellStyle name="Normal 4 8 4 2 6" xfId="10298"/>
    <cellStyle name="Normal 4 8 4 2 6 2" xfId="21014"/>
    <cellStyle name="Normal 4 8 4 2 7" xfId="14357"/>
    <cellStyle name="Normal 4 8 4 3" xfId="3820"/>
    <cellStyle name="Normal 4 8 4 3 2" xfId="4671"/>
    <cellStyle name="Normal 4 8 4 3 2 2" xfId="6339"/>
    <cellStyle name="Normal 4 8 4 3 2 2 2" xfId="9674"/>
    <cellStyle name="Normal 4 8 4 3 2 2 2 2" xfId="20390"/>
    <cellStyle name="Normal 4 8 4 3 2 2 3" xfId="13002"/>
    <cellStyle name="Normal 4 8 4 3 2 2 3 2" xfId="23718"/>
    <cellStyle name="Normal 4 8 4 3 2 2 4" xfId="17062"/>
    <cellStyle name="Normal 4 8 4 3 2 3" xfId="8010"/>
    <cellStyle name="Normal 4 8 4 3 2 3 2" xfId="18726"/>
    <cellStyle name="Normal 4 8 4 3 2 4" xfId="11338"/>
    <cellStyle name="Normal 4 8 4 3 2 4 2" xfId="22054"/>
    <cellStyle name="Normal 4 8 4 3 2 5" xfId="15398"/>
    <cellStyle name="Normal 4 8 4 3 3" xfId="5507"/>
    <cellStyle name="Normal 4 8 4 3 3 2" xfId="8842"/>
    <cellStyle name="Normal 4 8 4 3 3 2 2" xfId="19558"/>
    <cellStyle name="Normal 4 8 4 3 3 3" xfId="12170"/>
    <cellStyle name="Normal 4 8 4 3 3 3 2" xfId="22886"/>
    <cellStyle name="Normal 4 8 4 3 3 4" xfId="16230"/>
    <cellStyle name="Normal 4 8 4 3 4" xfId="7178"/>
    <cellStyle name="Normal 4 8 4 3 4 2" xfId="17894"/>
    <cellStyle name="Normal 4 8 4 3 5" xfId="10506"/>
    <cellStyle name="Normal 4 8 4 3 5 2" xfId="21222"/>
    <cellStyle name="Normal 4 8 4 3 6" xfId="14566"/>
    <cellStyle name="Normal 4 8 4 4" xfId="4253"/>
    <cellStyle name="Normal 4 8 4 4 2" xfId="5923"/>
    <cellStyle name="Normal 4 8 4 4 2 2" xfId="9258"/>
    <cellStyle name="Normal 4 8 4 4 2 2 2" xfId="19974"/>
    <cellStyle name="Normal 4 8 4 4 2 3" xfId="12586"/>
    <cellStyle name="Normal 4 8 4 4 2 3 2" xfId="23302"/>
    <cellStyle name="Normal 4 8 4 4 2 4" xfId="16646"/>
    <cellStyle name="Normal 4 8 4 4 3" xfId="7594"/>
    <cellStyle name="Normal 4 8 4 4 3 2" xfId="18310"/>
    <cellStyle name="Normal 4 8 4 4 4" xfId="10922"/>
    <cellStyle name="Normal 4 8 4 4 4 2" xfId="21638"/>
    <cellStyle name="Normal 4 8 4 4 5" xfId="14982"/>
    <cellStyle name="Normal 4 8 4 5" xfId="5088"/>
    <cellStyle name="Normal 4 8 4 5 2" xfId="8426"/>
    <cellStyle name="Normal 4 8 4 5 2 2" xfId="19142"/>
    <cellStyle name="Normal 4 8 4 5 3" xfId="11754"/>
    <cellStyle name="Normal 4 8 4 5 3 2" xfId="22470"/>
    <cellStyle name="Normal 4 8 4 5 4" xfId="15814"/>
    <cellStyle name="Normal 4 8 4 6" xfId="6758"/>
    <cellStyle name="Normal 4 8 4 6 2" xfId="17478"/>
    <cellStyle name="Normal 4 8 4 7" xfId="10090"/>
    <cellStyle name="Normal 4 8 4 7 2" xfId="20806"/>
    <cellStyle name="Normal 4 8 4 8" xfId="14147"/>
    <cellStyle name="Normal 4 8 5" xfId="3085"/>
    <cellStyle name="Normal 4 8 5 2" xfId="4032"/>
    <cellStyle name="Normal 4 8 5 2 2" xfId="4872"/>
    <cellStyle name="Normal 4 8 5 2 2 2" xfId="6540"/>
    <cellStyle name="Normal 4 8 5 2 2 2 2" xfId="9875"/>
    <cellStyle name="Normal 4 8 5 2 2 2 2 2" xfId="20591"/>
    <cellStyle name="Normal 4 8 5 2 2 2 3" xfId="13203"/>
    <cellStyle name="Normal 4 8 5 2 2 2 3 2" xfId="23919"/>
    <cellStyle name="Normal 4 8 5 2 2 2 4" xfId="17263"/>
    <cellStyle name="Normal 4 8 5 2 2 3" xfId="8211"/>
    <cellStyle name="Normal 4 8 5 2 2 3 2" xfId="18927"/>
    <cellStyle name="Normal 4 8 5 2 2 4" xfId="11539"/>
    <cellStyle name="Normal 4 8 5 2 2 4 2" xfId="22255"/>
    <cellStyle name="Normal 4 8 5 2 2 5" xfId="15599"/>
    <cellStyle name="Normal 4 8 5 2 3" xfId="5708"/>
    <cellStyle name="Normal 4 8 5 2 3 2" xfId="9043"/>
    <cellStyle name="Normal 4 8 5 2 3 2 2" xfId="19759"/>
    <cellStyle name="Normal 4 8 5 2 3 3" xfId="12371"/>
    <cellStyle name="Normal 4 8 5 2 3 3 2" xfId="23087"/>
    <cellStyle name="Normal 4 8 5 2 3 4" xfId="16431"/>
    <cellStyle name="Normal 4 8 5 2 4" xfId="7379"/>
    <cellStyle name="Normal 4 8 5 2 4 2" xfId="18095"/>
    <cellStyle name="Normal 4 8 5 2 5" xfId="10707"/>
    <cellStyle name="Normal 4 8 5 2 5 2" xfId="21423"/>
    <cellStyle name="Normal 4 8 5 2 6" xfId="14767"/>
    <cellStyle name="Normal 4 8 5 3" xfId="4456"/>
    <cellStyle name="Normal 4 8 5 3 2" xfId="6124"/>
    <cellStyle name="Normal 4 8 5 3 2 2" xfId="9459"/>
    <cellStyle name="Normal 4 8 5 3 2 2 2" xfId="20175"/>
    <cellStyle name="Normal 4 8 5 3 2 3" xfId="12787"/>
    <cellStyle name="Normal 4 8 5 3 2 3 2" xfId="23503"/>
    <cellStyle name="Normal 4 8 5 3 2 4" xfId="16847"/>
    <cellStyle name="Normal 4 8 5 3 3" xfId="7795"/>
    <cellStyle name="Normal 4 8 5 3 3 2" xfId="18511"/>
    <cellStyle name="Normal 4 8 5 3 4" xfId="11123"/>
    <cellStyle name="Normal 4 8 5 3 4 2" xfId="21839"/>
    <cellStyle name="Normal 4 8 5 3 5" xfId="15183"/>
    <cellStyle name="Normal 4 8 5 4" xfId="5292"/>
    <cellStyle name="Normal 4 8 5 4 2" xfId="8627"/>
    <cellStyle name="Normal 4 8 5 4 2 2" xfId="19343"/>
    <cellStyle name="Normal 4 8 5 4 3" xfId="11955"/>
    <cellStyle name="Normal 4 8 5 4 3 2" xfId="22671"/>
    <cellStyle name="Normal 4 8 5 4 4" xfId="16015"/>
    <cellStyle name="Normal 4 8 5 5" xfId="6962"/>
    <cellStyle name="Normal 4 8 5 5 2" xfId="17679"/>
    <cellStyle name="Normal 4 8 5 6" xfId="10291"/>
    <cellStyle name="Normal 4 8 5 6 2" xfId="21007"/>
    <cellStyle name="Normal 4 8 5 7" xfId="14350"/>
    <cellStyle name="Normal 4 8 6" xfId="3813"/>
    <cellStyle name="Normal 4 8 6 2" xfId="4664"/>
    <cellStyle name="Normal 4 8 6 2 2" xfId="6332"/>
    <cellStyle name="Normal 4 8 6 2 2 2" xfId="9667"/>
    <cellStyle name="Normal 4 8 6 2 2 2 2" xfId="20383"/>
    <cellStyle name="Normal 4 8 6 2 2 3" xfId="12995"/>
    <cellStyle name="Normal 4 8 6 2 2 3 2" xfId="23711"/>
    <cellStyle name="Normal 4 8 6 2 2 4" xfId="17055"/>
    <cellStyle name="Normal 4 8 6 2 3" xfId="8003"/>
    <cellStyle name="Normal 4 8 6 2 3 2" xfId="18719"/>
    <cellStyle name="Normal 4 8 6 2 4" xfId="11331"/>
    <cellStyle name="Normal 4 8 6 2 4 2" xfId="22047"/>
    <cellStyle name="Normal 4 8 6 2 5" xfId="15391"/>
    <cellStyle name="Normal 4 8 6 3" xfId="5500"/>
    <cellStyle name="Normal 4 8 6 3 2" xfId="8835"/>
    <cellStyle name="Normal 4 8 6 3 2 2" xfId="19551"/>
    <cellStyle name="Normal 4 8 6 3 3" xfId="12163"/>
    <cellStyle name="Normal 4 8 6 3 3 2" xfId="22879"/>
    <cellStyle name="Normal 4 8 6 3 4" xfId="16223"/>
    <cellStyle name="Normal 4 8 6 4" xfId="7171"/>
    <cellStyle name="Normal 4 8 6 4 2" xfId="17887"/>
    <cellStyle name="Normal 4 8 6 5" xfId="10499"/>
    <cellStyle name="Normal 4 8 6 5 2" xfId="21215"/>
    <cellStyle name="Normal 4 8 6 6" xfId="14559"/>
    <cellStyle name="Normal 4 8 7" xfId="4246"/>
    <cellStyle name="Normal 4 8 7 2" xfId="5916"/>
    <cellStyle name="Normal 4 8 7 2 2" xfId="9251"/>
    <cellStyle name="Normal 4 8 7 2 2 2" xfId="19967"/>
    <cellStyle name="Normal 4 8 7 2 3" xfId="12579"/>
    <cellStyle name="Normal 4 8 7 2 3 2" xfId="23295"/>
    <cellStyle name="Normal 4 8 7 2 4" xfId="16639"/>
    <cellStyle name="Normal 4 8 7 3" xfId="7587"/>
    <cellStyle name="Normal 4 8 7 3 2" xfId="18303"/>
    <cellStyle name="Normal 4 8 7 4" xfId="10915"/>
    <cellStyle name="Normal 4 8 7 4 2" xfId="21631"/>
    <cellStyle name="Normal 4 8 7 5" xfId="14975"/>
    <cellStyle name="Normal 4 8 8" xfId="5081"/>
    <cellStyle name="Normal 4 8 8 2" xfId="8419"/>
    <cellStyle name="Normal 4 8 8 2 2" xfId="19135"/>
    <cellStyle name="Normal 4 8 8 3" xfId="11747"/>
    <cellStyle name="Normal 4 8 8 3 2" xfId="22463"/>
    <cellStyle name="Normal 4 8 8 4" xfId="15807"/>
    <cellStyle name="Normal 4 8 9" xfId="6751"/>
    <cellStyle name="Normal 4 8 9 2" xfId="17471"/>
    <cellStyle name="Normal 4 9" xfId="1409"/>
    <cellStyle name="Normal 4 9 2" xfId="1410"/>
    <cellStyle name="Normal 4 9 2 2" xfId="3094"/>
    <cellStyle name="Normal 4 9 2 2 2" xfId="4041"/>
    <cellStyle name="Normal 4 9 2 2 2 2" xfId="4881"/>
    <cellStyle name="Normal 4 9 2 2 2 2 2" xfId="6549"/>
    <cellStyle name="Normal 4 9 2 2 2 2 2 2" xfId="9884"/>
    <cellStyle name="Normal 4 9 2 2 2 2 2 2 2" xfId="20600"/>
    <cellStyle name="Normal 4 9 2 2 2 2 2 3" xfId="13212"/>
    <cellStyle name="Normal 4 9 2 2 2 2 2 3 2" xfId="23928"/>
    <cellStyle name="Normal 4 9 2 2 2 2 2 4" xfId="17272"/>
    <cellStyle name="Normal 4 9 2 2 2 2 3" xfId="8220"/>
    <cellStyle name="Normal 4 9 2 2 2 2 3 2" xfId="18936"/>
    <cellStyle name="Normal 4 9 2 2 2 2 4" xfId="11548"/>
    <cellStyle name="Normal 4 9 2 2 2 2 4 2" xfId="22264"/>
    <cellStyle name="Normal 4 9 2 2 2 2 5" xfId="15608"/>
    <cellStyle name="Normal 4 9 2 2 2 3" xfId="5717"/>
    <cellStyle name="Normal 4 9 2 2 2 3 2" xfId="9052"/>
    <cellStyle name="Normal 4 9 2 2 2 3 2 2" xfId="19768"/>
    <cellStyle name="Normal 4 9 2 2 2 3 3" xfId="12380"/>
    <cellStyle name="Normal 4 9 2 2 2 3 3 2" xfId="23096"/>
    <cellStyle name="Normal 4 9 2 2 2 3 4" xfId="16440"/>
    <cellStyle name="Normal 4 9 2 2 2 4" xfId="7388"/>
    <cellStyle name="Normal 4 9 2 2 2 4 2" xfId="18104"/>
    <cellStyle name="Normal 4 9 2 2 2 5" xfId="10716"/>
    <cellStyle name="Normal 4 9 2 2 2 5 2" xfId="21432"/>
    <cellStyle name="Normal 4 9 2 2 2 6" xfId="14776"/>
    <cellStyle name="Normal 4 9 2 2 3" xfId="4465"/>
    <cellStyle name="Normal 4 9 2 2 3 2" xfId="6133"/>
    <cellStyle name="Normal 4 9 2 2 3 2 2" xfId="9468"/>
    <cellStyle name="Normal 4 9 2 2 3 2 2 2" xfId="20184"/>
    <cellStyle name="Normal 4 9 2 2 3 2 3" xfId="12796"/>
    <cellStyle name="Normal 4 9 2 2 3 2 3 2" xfId="23512"/>
    <cellStyle name="Normal 4 9 2 2 3 2 4" xfId="16856"/>
    <cellStyle name="Normal 4 9 2 2 3 3" xfId="7804"/>
    <cellStyle name="Normal 4 9 2 2 3 3 2" xfId="18520"/>
    <cellStyle name="Normal 4 9 2 2 3 4" xfId="11132"/>
    <cellStyle name="Normal 4 9 2 2 3 4 2" xfId="21848"/>
    <cellStyle name="Normal 4 9 2 2 3 5" xfId="15192"/>
    <cellStyle name="Normal 4 9 2 2 4" xfId="5301"/>
    <cellStyle name="Normal 4 9 2 2 4 2" xfId="8636"/>
    <cellStyle name="Normal 4 9 2 2 4 2 2" xfId="19352"/>
    <cellStyle name="Normal 4 9 2 2 4 3" xfId="11964"/>
    <cellStyle name="Normal 4 9 2 2 4 3 2" xfId="22680"/>
    <cellStyle name="Normal 4 9 2 2 4 4" xfId="16024"/>
    <cellStyle name="Normal 4 9 2 2 5" xfId="6971"/>
    <cellStyle name="Normal 4 9 2 2 5 2" xfId="17688"/>
    <cellStyle name="Normal 4 9 2 2 6" xfId="10300"/>
    <cellStyle name="Normal 4 9 2 2 6 2" xfId="21016"/>
    <cellStyle name="Normal 4 9 2 2 7" xfId="14359"/>
    <cellStyle name="Normal 4 9 2 3" xfId="3822"/>
    <cellStyle name="Normal 4 9 2 3 2" xfId="4673"/>
    <cellStyle name="Normal 4 9 2 3 2 2" xfId="6341"/>
    <cellStyle name="Normal 4 9 2 3 2 2 2" xfId="9676"/>
    <cellStyle name="Normal 4 9 2 3 2 2 2 2" xfId="20392"/>
    <cellStyle name="Normal 4 9 2 3 2 2 3" xfId="13004"/>
    <cellStyle name="Normal 4 9 2 3 2 2 3 2" xfId="23720"/>
    <cellStyle name="Normal 4 9 2 3 2 2 4" xfId="17064"/>
    <cellStyle name="Normal 4 9 2 3 2 3" xfId="8012"/>
    <cellStyle name="Normal 4 9 2 3 2 3 2" xfId="18728"/>
    <cellStyle name="Normal 4 9 2 3 2 4" xfId="11340"/>
    <cellStyle name="Normal 4 9 2 3 2 4 2" xfId="22056"/>
    <cellStyle name="Normal 4 9 2 3 2 5" xfId="15400"/>
    <cellStyle name="Normal 4 9 2 3 3" xfId="5509"/>
    <cellStyle name="Normal 4 9 2 3 3 2" xfId="8844"/>
    <cellStyle name="Normal 4 9 2 3 3 2 2" xfId="19560"/>
    <cellStyle name="Normal 4 9 2 3 3 3" xfId="12172"/>
    <cellStyle name="Normal 4 9 2 3 3 3 2" xfId="22888"/>
    <cellStyle name="Normal 4 9 2 3 3 4" xfId="16232"/>
    <cellStyle name="Normal 4 9 2 3 4" xfId="7180"/>
    <cellStyle name="Normal 4 9 2 3 4 2" xfId="17896"/>
    <cellStyle name="Normal 4 9 2 3 5" xfId="10508"/>
    <cellStyle name="Normal 4 9 2 3 5 2" xfId="21224"/>
    <cellStyle name="Normal 4 9 2 3 6" xfId="14568"/>
    <cellStyle name="Normal 4 9 2 4" xfId="4255"/>
    <cellStyle name="Normal 4 9 2 4 2" xfId="5925"/>
    <cellStyle name="Normal 4 9 2 4 2 2" xfId="9260"/>
    <cellStyle name="Normal 4 9 2 4 2 2 2" xfId="19976"/>
    <cellStyle name="Normal 4 9 2 4 2 3" xfId="12588"/>
    <cellStyle name="Normal 4 9 2 4 2 3 2" xfId="23304"/>
    <cellStyle name="Normal 4 9 2 4 2 4" xfId="16648"/>
    <cellStyle name="Normal 4 9 2 4 3" xfId="7596"/>
    <cellStyle name="Normal 4 9 2 4 3 2" xfId="18312"/>
    <cellStyle name="Normal 4 9 2 4 4" xfId="10924"/>
    <cellStyle name="Normal 4 9 2 4 4 2" xfId="21640"/>
    <cellStyle name="Normal 4 9 2 4 5" xfId="14984"/>
    <cellStyle name="Normal 4 9 2 5" xfId="5090"/>
    <cellStyle name="Normal 4 9 2 5 2" xfId="8428"/>
    <cellStyle name="Normal 4 9 2 5 2 2" xfId="19144"/>
    <cellStyle name="Normal 4 9 2 5 3" xfId="11756"/>
    <cellStyle name="Normal 4 9 2 5 3 2" xfId="22472"/>
    <cellStyle name="Normal 4 9 2 5 4" xfId="15816"/>
    <cellStyle name="Normal 4 9 2 6" xfId="6760"/>
    <cellStyle name="Normal 4 9 2 6 2" xfId="17480"/>
    <cellStyle name="Normal 4 9 2 7" xfId="10092"/>
    <cellStyle name="Normal 4 9 2 7 2" xfId="20808"/>
    <cellStyle name="Normal 4 9 2 8" xfId="14149"/>
    <cellStyle name="Normal 4 9 3" xfId="3093"/>
    <cellStyle name="Normal 4 9 3 2" xfId="4040"/>
    <cellStyle name="Normal 4 9 3 2 2" xfId="4880"/>
    <cellStyle name="Normal 4 9 3 2 2 2" xfId="6548"/>
    <cellStyle name="Normal 4 9 3 2 2 2 2" xfId="9883"/>
    <cellStyle name="Normal 4 9 3 2 2 2 2 2" xfId="20599"/>
    <cellStyle name="Normal 4 9 3 2 2 2 3" xfId="13211"/>
    <cellStyle name="Normal 4 9 3 2 2 2 3 2" xfId="23927"/>
    <cellStyle name="Normal 4 9 3 2 2 2 4" xfId="17271"/>
    <cellStyle name="Normal 4 9 3 2 2 3" xfId="8219"/>
    <cellStyle name="Normal 4 9 3 2 2 3 2" xfId="18935"/>
    <cellStyle name="Normal 4 9 3 2 2 4" xfId="11547"/>
    <cellStyle name="Normal 4 9 3 2 2 4 2" xfId="22263"/>
    <cellStyle name="Normal 4 9 3 2 2 5" xfId="15607"/>
    <cellStyle name="Normal 4 9 3 2 3" xfId="5716"/>
    <cellStyle name="Normal 4 9 3 2 3 2" xfId="9051"/>
    <cellStyle name="Normal 4 9 3 2 3 2 2" xfId="19767"/>
    <cellStyle name="Normal 4 9 3 2 3 3" xfId="12379"/>
    <cellStyle name="Normal 4 9 3 2 3 3 2" xfId="23095"/>
    <cellStyle name="Normal 4 9 3 2 3 4" xfId="16439"/>
    <cellStyle name="Normal 4 9 3 2 4" xfId="7387"/>
    <cellStyle name="Normal 4 9 3 2 4 2" xfId="18103"/>
    <cellStyle name="Normal 4 9 3 2 5" xfId="10715"/>
    <cellStyle name="Normal 4 9 3 2 5 2" xfId="21431"/>
    <cellStyle name="Normal 4 9 3 2 6" xfId="14775"/>
    <cellStyle name="Normal 4 9 3 3" xfId="4464"/>
    <cellStyle name="Normal 4 9 3 3 2" xfId="6132"/>
    <cellStyle name="Normal 4 9 3 3 2 2" xfId="9467"/>
    <cellStyle name="Normal 4 9 3 3 2 2 2" xfId="20183"/>
    <cellStyle name="Normal 4 9 3 3 2 3" xfId="12795"/>
    <cellStyle name="Normal 4 9 3 3 2 3 2" xfId="23511"/>
    <cellStyle name="Normal 4 9 3 3 2 4" xfId="16855"/>
    <cellStyle name="Normal 4 9 3 3 3" xfId="7803"/>
    <cellStyle name="Normal 4 9 3 3 3 2" xfId="18519"/>
    <cellStyle name="Normal 4 9 3 3 4" xfId="11131"/>
    <cellStyle name="Normal 4 9 3 3 4 2" xfId="21847"/>
    <cellStyle name="Normal 4 9 3 3 5" xfId="15191"/>
    <cellStyle name="Normal 4 9 3 4" xfId="5300"/>
    <cellStyle name="Normal 4 9 3 4 2" xfId="8635"/>
    <cellStyle name="Normal 4 9 3 4 2 2" xfId="19351"/>
    <cellStyle name="Normal 4 9 3 4 3" xfId="11963"/>
    <cellStyle name="Normal 4 9 3 4 3 2" xfId="22679"/>
    <cellStyle name="Normal 4 9 3 4 4" xfId="16023"/>
    <cellStyle name="Normal 4 9 3 5" xfId="6970"/>
    <cellStyle name="Normal 4 9 3 5 2" xfId="17687"/>
    <cellStyle name="Normal 4 9 3 6" xfId="10299"/>
    <cellStyle name="Normal 4 9 3 6 2" xfId="21015"/>
    <cellStyle name="Normal 4 9 3 7" xfId="14358"/>
    <cellStyle name="Normal 4 9 4" xfId="3821"/>
    <cellStyle name="Normal 4 9 4 2" xfId="4672"/>
    <cellStyle name="Normal 4 9 4 2 2" xfId="6340"/>
    <cellStyle name="Normal 4 9 4 2 2 2" xfId="9675"/>
    <cellStyle name="Normal 4 9 4 2 2 2 2" xfId="20391"/>
    <cellStyle name="Normal 4 9 4 2 2 3" xfId="13003"/>
    <cellStyle name="Normal 4 9 4 2 2 3 2" xfId="23719"/>
    <cellStyle name="Normal 4 9 4 2 2 4" xfId="17063"/>
    <cellStyle name="Normal 4 9 4 2 3" xfId="8011"/>
    <cellStyle name="Normal 4 9 4 2 3 2" xfId="18727"/>
    <cellStyle name="Normal 4 9 4 2 4" xfId="11339"/>
    <cellStyle name="Normal 4 9 4 2 4 2" xfId="22055"/>
    <cellStyle name="Normal 4 9 4 2 5" xfId="15399"/>
    <cellStyle name="Normal 4 9 4 3" xfId="5508"/>
    <cellStyle name="Normal 4 9 4 3 2" xfId="8843"/>
    <cellStyle name="Normal 4 9 4 3 2 2" xfId="19559"/>
    <cellStyle name="Normal 4 9 4 3 3" xfId="12171"/>
    <cellStyle name="Normal 4 9 4 3 3 2" xfId="22887"/>
    <cellStyle name="Normal 4 9 4 3 4" xfId="16231"/>
    <cellStyle name="Normal 4 9 4 4" xfId="7179"/>
    <cellStyle name="Normal 4 9 4 4 2" xfId="17895"/>
    <cellStyle name="Normal 4 9 4 5" xfId="10507"/>
    <cellStyle name="Normal 4 9 4 5 2" xfId="21223"/>
    <cellStyle name="Normal 4 9 4 6" xfId="14567"/>
    <cellStyle name="Normal 4 9 5" xfId="4254"/>
    <cellStyle name="Normal 4 9 5 2" xfId="5924"/>
    <cellStyle name="Normal 4 9 5 2 2" xfId="9259"/>
    <cellStyle name="Normal 4 9 5 2 2 2" xfId="19975"/>
    <cellStyle name="Normal 4 9 5 2 3" xfId="12587"/>
    <cellStyle name="Normal 4 9 5 2 3 2" xfId="23303"/>
    <cellStyle name="Normal 4 9 5 2 4" xfId="16647"/>
    <cellStyle name="Normal 4 9 5 3" xfId="7595"/>
    <cellStyle name="Normal 4 9 5 3 2" xfId="18311"/>
    <cellStyle name="Normal 4 9 5 4" xfId="10923"/>
    <cellStyle name="Normal 4 9 5 4 2" xfId="21639"/>
    <cellStyle name="Normal 4 9 5 5" xfId="14983"/>
    <cellStyle name="Normal 4 9 6" xfId="5089"/>
    <cellStyle name="Normal 4 9 6 2" xfId="8427"/>
    <cellStyle name="Normal 4 9 6 2 2" xfId="19143"/>
    <cellStyle name="Normal 4 9 6 3" xfId="11755"/>
    <cellStyle name="Normal 4 9 6 3 2" xfId="22471"/>
    <cellStyle name="Normal 4 9 6 4" xfId="15815"/>
    <cellStyle name="Normal 4 9 7" xfId="6759"/>
    <cellStyle name="Normal 4 9 7 2" xfId="17479"/>
    <cellStyle name="Normal 4 9 8" xfId="10091"/>
    <cellStyle name="Normal 4 9 8 2" xfId="20807"/>
    <cellStyle name="Normal 4 9 9" xfId="14148"/>
    <cellStyle name="Normal 40" xfId="1411"/>
    <cellStyle name="Normal 40 2" xfId="1412"/>
    <cellStyle name="Normal 40 2 2" xfId="3096"/>
    <cellStyle name="Normal 40 3" xfId="3095"/>
    <cellStyle name="Normal 41" xfId="1413"/>
    <cellStyle name="Normal 41 2" xfId="3097"/>
    <cellStyle name="Normal 42" xfId="1414"/>
    <cellStyle name="Normal 42 2" xfId="3098"/>
    <cellStyle name="Normal 43" xfId="1415"/>
    <cellStyle name="Normal 43 2" xfId="3099"/>
    <cellStyle name="Normal 44" xfId="1416"/>
    <cellStyle name="Normal 44 2" xfId="3100"/>
    <cellStyle name="Normal 45" xfId="1417"/>
    <cellStyle name="Normal 45 2" xfId="3101"/>
    <cellStyle name="Normal 46" xfId="1418"/>
    <cellStyle name="Normal 46 2" xfId="3102"/>
    <cellStyle name="Normal 47" xfId="1419"/>
    <cellStyle name="Normal 47 2" xfId="3103"/>
    <cellStyle name="Normal 48" xfId="1420"/>
    <cellStyle name="Normal 48 2" xfId="3104"/>
    <cellStyle name="Normal 49" xfId="1421"/>
    <cellStyle name="Normal 49 2" xfId="3105"/>
    <cellStyle name="Normal 5" xfId="1422"/>
    <cellStyle name="Normal 5 10" xfId="13852"/>
    <cellStyle name="Normal 5 2" xfId="1423"/>
    <cellStyle name="Normal 5 2 10" xfId="6761"/>
    <cellStyle name="Normal 5 2 10 2" xfId="17481"/>
    <cellStyle name="Normal 5 2 11" xfId="10093"/>
    <cellStyle name="Normal 5 2 11 2" xfId="20809"/>
    <cellStyle name="Normal 5 2 12" xfId="14150"/>
    <cellStyle name="Normal 5 2 2" xfId="1424"/>
    <cellStyle name="Normal 5 2 2 2" xfId="3108"/>
    <cellStyle name="Normal 5 2 3" xfId="1425"/>
    <cellStyle name="Normal 5 2 3 2" xfId="3109"/>
    <cellStyle name="Normal 5 2 4" xfId="1426"/>
    <cellStyle name="Normal 5 2 4 2" xfId="3110"/>
    <cellStyle name="Normal 5 2 5" xfId="1427"/>
    <cellStyle name="Normal 5 2 5 2" xfId="1428"/>
    <cellStyle name="Normal 5 2 5 2 2" xfId="3112"/>
    <cellStyle name="Normal 5 2 5 2 2 2" xfId="4044"/>
    <cellStyle name="Normal 5 2 5 2 2 2 2" xfId="4884"/>
    <cellStyle name="Normal 5 2 5 2 2 2 2 2" xfId="6552"/>
    <cellStyle name="Normal 5 2 5 2 2 2 2 2 2" xfId="9887"/>
    <cellStyle name="Normal 5 2 5 2 2 2 2 2 2 2" xfId="20603"/>
    <cellStyle name="Normal 5 2 5 2 2 2 2 2 3" xfId="13215"/>
    <cellStyle name="Normal 5 2 5 2 2 2 2 2 3 2" xfId="23931"/>
    <cellStyle name="Normal 5 2 5 2 2 2 2 2 4" xfId="17275"/>
    <cellStyle name="Normal 5 2 5 2 2 2 2 3" xfId="8223"/>
    <cellStyle name="Normal 5 2 5 2 2 2 2 3 2" xfId="18939"/>
    <cellStyle name="Normal 5 2 5 2 2 2 2 4" xfId="11551"/>
    <cellStyle name="Normal 5 2 5 2 2 2 2 4 2" xfId="22267"/>
    <cellStyle name="Normal 5 2 5 2 2 2 2 5" xfId="15611"/>
    <cellStyle name="Normal 5 2 5 2 2 2 3" xfId="5720"/>
    <cellStyle name="Normal 5 2 5 2 2 2 3 2" xfId="9055"/>
    <cellStyle name="Normal 5 2 5 2 2 2 3 2 2" xfId="19771"/>
    <cellStyle name="Normal 5 2 5 2 2 2 3 3" xfId="12383"/>
    <cellStyle name="Normal 5 2 5 2 2 2 3 3 2" xfId="23099"/>
    <cellStyle name="Normal 5 2 5 2 2 2 3 4" xfId="16443"/>
    <cellStyle name="Normal 5 2 5 2 2 2 4" xfId="7391"/>
    <cellStyle name="Normal 5 2 5 2 2 2 4 2" xfId="18107"/>
    <cellStyle name="Normal 5 2 5 2 2 2 5" xfId="10719"/>
    <cellStyle name="Normal 5 2 5 2 2 2 5 2" xfId="21435"/>
    <cellStyle name="Normal 5 2 5 2 2 2 6" xfId="14779"/>
    <cellStyle name="Normal 5 2 5 2 2 3" xfId="4468"/>
    <cellStyle name="Normal 5 2 5 2 2 3 2" xfId="6136"/>
    <cellStyle name="Normal 5 2 5 2 2 3 2 2" xfId="9471"/>
    <cellStyle name="Normal 5 2 5 2 2 3 2 2 2" xfId="20187"/>
    <cellStyle name="Normal 5 2 5 2 2 3 2 3" xfId="12799"/>
    <cellStyle name="Normal 5 2 5 2 2 3 2 3 2" xfId="23515"/>
    <cellStyle name="Normal 5 2 5 2 2 3 2 4" xfId="16859"/>
    <cellStyle name="Normal 5 2 5 2 2 3 3" xfId="7807"/>
    <cellStyle name="Normal 5 2 5 2 2 3 3 2" xfId="18523"/>
    <cellStyle name="Normal 5 2 5 2 2 3 4" xfId="11135"/>
    <cellStyle name="Normal 5 2 5 2 2 3 4 2" xfId="21851"/>
    <cellStyle name="Normal 5 2 5 2 2 3 5" xfId="15195"/>
    <cellStyle name="Normal 5 2 5 2 2 4" xfId="5304"/>
    <cellStyle name="Normal 5 2 5 2 2 4 2" xfId="8639"/>
    <cellStyle name="Normal 5 2 5 2 2 4 2 2" xfId="19355"/>
    <cellStyle name="Normal 5 2 5 2 2 4 3" xfId="11967"/>
    <cellStyle name="Normal 5 2 5 2 2 4 3 2" xfId="22683"/>
    <cellStyle name="Normal 5 2 5 2 2 4 4" xfId="16027"/>
    <cellStyle name="Normal 5 2 5 2 2 5" xfId="6974"/>
    <cellStyle name="Normal 5 2 5 2 2 5 2" xfId="17691"/>
    <cellStyle name="Normal 5 2 5 2 2 6" xfId="10303"/>
    <cellStyle name="Normal 5 2 5 2 2 6 2" xfId="21019"/>
    <cellStyle name="Normal 5 2 5 2 2 7" xfId="14362"/>
    <cellStyle name="Normal 5 2 5 2 3" xfId="3825"/>
    <cellStyle name="Normal 5 2 5 2 3 2" xfId="4676"/>
    <cellStyle name="Normal 5 2 5 2 3 2 2" xfId="6344"/>
    <cellStyle name="Normal 5 2 5 2 3 2 2 2" xfId="9679"/>
    <cellStyle name="Normal 5 2 5 2 3 2 2 2 2" xfId="20395"/>
    <cellStyle name="Normal 5 2 5 2 3 2 2 3" xfId="13007"/>
    <cellStyle name="Normal 5 2 5 2 3 2 2 3 2" xfId="23723"/>
    <cellStyle name="Normal 5 2 5 2 3 2 2 4" xfId="17067"/>
    <cellStyle name="Normal 5 2 5 2 3 2 3" xfId="8015"/>
    <cellStyle name="Normal 5 2 5 2 3 2 3 2" xfId="18731"/>
    <cellStyle name="Normal 5 2 5 2 3 2 4" xfId="11343"/>
    <cellStyle name="Normal 5 2 5 2 3 2 4 2" xfId="22059"/>
    <cellStyle name="Normal 5 2 5 2 3 2 5" xfId="15403"/>
    <cellStyle name="Normal 5 2 5 2 3 3" xfId="5512"/>
    <cellStyle name="Normal 5 2 5 2 3 3 2" xfId="8847"/>
    <cellStyle name="Normal 5 2 5 2 3 3 2 2" xfId="19563"/>
    <cellStyle name="Normal 5 2 5 2 3 3 3" xfId="12175"/>
    <cellStyle name="Normal 5 2 5 2 3 3 3 2" xfId="22891"/>
    <cellStyle name="Normal 5 2 5 2 3 3 4" xfId="16235"/>
    <cellStyle name="Normal 5 2 5 2 3 4" xfId="7183"/>
    <cellStyle name="Normal 5 2 5 2 3 4 2" xfId="17899"/>
    <cellStyle name="Normal 5 2 5 2 3 5" xfId="10511"/>
    <cellStyle name="Normal 5 2 5 2 3 5 2" xfId="21227"/>
    <cellStyle name="Normal 5 2 5 2 3 6" xfId="14571"/>
    <cellStyle name="Normal 5 2 5 2 4" xfId="4258"/>
    <cellStyle name="Normal 5 2 5 2 4 2" xfId="5928"/>
    <cellStyle name="Normal 5 2 5 2 4 2 2" xfId="9263"/>
    <cellStyle name="Normal 5 2 5 2 4 2 2 2" xfId="19979"/>
    <cellStyle name="Normal 5 2 5 2 4 2 3" xfId="12591"/>
    <cellStyle name="Normal 5 2 5 2 4 2 3 2" xfId="23307"/>
    <cellStyle name="Normal 5 2 5 2 4 2 4" xfId="16651"/>
    <cellStyle name="Normal 5 2 5 2 4 3" xfId="7599"/>
    <cellStyle name="Normal 5 2 5 2 4 3 2" xfId="18315"/>
    <cellStyle name="Normal 5 2 5 2 4 4" xfId="10927"/>
    <cellStyle name="Normal 5 2 5 2 4 4 2" xfId="21643"/>
    <cellStyle name="Normal 5 2 5 2 4 5" xfId="14987"/>
    <cellStyle name="Normal 5 2 5 2 5" xfId="5093"/>
    <cellStyle name="Normal 5 2 5 2 5 2" xfId="8431"/>
    <cellStyle name="Normal 5 2 5 2 5 2 2" xfId="19147"/>
    <cellStyle name="Normal 5 2 5 2 5 3" xfId="11759"/>
    <cellStyle name="Normal 5 2 5 2 5 3 2" xfId="22475"/>
    <cellStyle name="Normal 5 2 5 2 5 4" xfId="15819"/>
    <cellStyle name="Normal 5 2 5 2 6" xfId="6763"/>
    <cellStyle name="Normal 5 2 5 2 6 2" xfId="17483"/>
    <cellStyle name="Normal 5 2 5 2 7" xfId="10095"/>
    <cellStyle name="Normal 5 2 5 2 7 2" xfId="20811"/>
    <cellStyle name="Normal 5 2 5 2 8" xfId="14152"/>
    <cellStyle name="Normal 5 2 5 3" xfId="3111"/>
    <cellStyle name="Normal 5 2 5 3 2" xfId="4043"/>
    <cellStyle name="Normal 5 2 5 3 2 2" xfId="4883"/>
    <cellStyle name="Normal 5 2 5 3 2 2 2" xfId="6551"/>
    <cellStyle name="Normal 5 2 5 3 2 2 2 2" xfId="9886"/>
    <cellStyle name="Normal 5 2 5 3 2 2 2 2 2" xfId="20602"/>
    <cellStyle name="Normal 5 2 5 3 2 2 2 3" xfId="13214"/>
    <cellStyle name="Normal 5 2 5 3 2 2 2 3 2" xfId="23930"/>
    <cellStyle name="Normal 5 2 5 3 2 2 2 4" xfId="17274"/>
    <cellStyle name="Normal 5 2 5 3 2 2 3" xfId="8222"/>
    <cellStyle name="Normal 5 2 5 3 2 2 3 2" xfId="18938"/>
    <cellStyle name="Normal 5 2 5 3 2 2 4" xfId="11550"/>
    <cellStyle name="Normal 5 2 5 3 2 2 4 2" xfId="22266"/>
    <cellStyle name="Normal 5 2 5 3 2 2 5" xfId="15610"/>
    <cellStyle name="Normal 5 2 5 3 2 3" xfId="5719"/>
    <cellStyle name="Normal 5 2 5 3 2 3 2" xfId="9054"/>
    <cellStyle name="Normal 5 2 5 3 2 3 2 2" xfId="19770"/>
    <cellStyle name="Normal 5 2 5 3 2 3 3" xfId="12382"/>
    <cellStyle name="Normal 5 2 5 3 2 3 3 2" xfId="23098"/>
    <cellStyle name="Normal 5 2 5 3 2 3 4" xfId="16442"/>
    <cellStyle name="Normal 5 2 5 3 2 4" xfId="7390"/>
    <cellStyle name="Normal 5 2 5 3 2 4 2" xfId="18106"/>
    <cellStyle name="Normal 5 2 5 3 2 5" xfId="10718"/>
    <cellStyle name="Normal 5 2 5 3 2 5 2" xfId="21434"/>
    <cellStyle name="Normal 5 2 5 3 2 6" xfId="14778"/>
    <cellStyle name="Normal 5 2 5 3 3" xfId="4467"/>
    <cellStyle name="Normal 5 2 5 3 3 2" xfId="6135"/>
    <cellStyle name="Normal 5 2 5 3 3 2 2" xfId="9470"/>
    <cellStyle name="Normal 5 2 5 3 3 2 2 2" xfId="20186"/>
    <cellStyle name="Normal 5 2 5 3 3 2 3" xfId="12798"/>
    <cellStyle name="Normal 5 2 5 3 3 2 3 2" xfId="23514"/>
    <cellStyle name="Normal 5 2 5 3 3 2 4" xfId="16858"/>
    <cellStyle name="Normal 5 2 5 3 3 3" xfId="7806"/>
    <cellStyle name="Normal 5 2 5 3 3 3 2" xfId="18522"/>
    <cellStyle name="Normal 5 2 5 3 3 4" xfId="11134"/>
    <cellStyle name="Normal 5 2 5 3 3 4 2" xfId="21850"/>
    <cellStyle name="Normal 5 2 5 3 3 5" xfId="15194"/>
    <cellStyle name="Normal 5 2 5 3 4" xfId="5303"/>
    <cellStyle name="Normal 5 2 5 3 4 2" xfId="8638"/>
    <cellStyle name="Normal 5 2 5 3 4 2 2" xfId="19354"/>
    <cellStyle name="Normal 5 2 5 3 4 3" xfId="11966"/>
    <cellStyle name="Normal 5 2 5 3 4 3 2" xfId="22682"/>
    <cellStyle name="Normal 5 2 5 3 4 4" xfId="16026"/>
    <cellStyle name="Normal 5 2 5 3 5" xfId="6973"/>
    <cellStyle name="Normal 5 2 5 3 5 2" xfId="17690"/>
    <cellStyle name="Normal 5 2 5 3 6" xfId="10302"/>
    <cellStyle name="Normal 5 2 5 3 6 2" xfId="21018"/>
    <cellStyle name="Normal 5 2 5 3 7" xfId="14361"/>
    <cellStyle name="Normal 5 2 5 4" xfId="3824"/>
    <cellStyle name="Normal 5 2 5 4 2" xfId="4675"/>
    <cellStyle name="Normal 5 2 5 4 2 2" xfId="6343"/>
    <cellStyle name="Normal 5 2 5 4 2 2 2" xfId="9678"/>
    <cellStyle name="Normal 5 2 5 4 2 2 2 2" xfId="20394"/>
    <cellStyle name="Normal 5 2 5 4 2 2 3" xfId="13006"/>
    <cellStyle name="Normal 5 2 5 4 2 2 3 2" xfId="23722"/>
    <cellStyle name="Normal 5 2 5 4 2 2 4" xfId="17066"/>
    <cellStyle name="Normal 5 2 5 4 2 3" xfId="8014"/>
    <cellStyle name="Normal 5 2 5 4 2 3 2" xfId="18730"/>
    <cellStyle name="Normal 5 2 5 4 2 4" xfId="11342"/>
    <cellStyle name="Normal 5 2 5 4 2 4 2" xfId="22058"/>
    <cellStyle name="Normal 5 2 5 4 2 5" xfId="15402"/>
    <cellStyle name="Normal 5 2 5 4 3" xfId="5511"/>
    <cellStyle name="Normal 5 2 5 4 3 2" xfId="8846"/>
    <cellStyle name="Normal 5 2 5 4 3 2 2" xfId="19562"/>
    <cellStyle name="Normal 5 2 5 4 3 3" xfId="12174"/>
    <cellStyle name="Normal 5 2 5 4 3 3 2" xfId="22890"/>
    <cellStyle name="Normal 5 2 5 4 3 4" xfId="16234"/>
    <cellStyle name="Normal 5 2 5 4 4" xfId="7182"/>
    <cellStyle name="Normal 5 2 5 4 4 2" xfId="17898"/>
    <cellStyle name="Normal 5 2 5 4 5" xfId="10510"/>
    <cellStyle name="Normal 5 2 5 4 5 2" xfId="21226"/>
    <cellStyle name="Normal 5 2 5 4 6" xfId="14570"/>
    <cellStyle name="Normal 5 2 5 5" xfId="4257"/>
    <cellStyle name="Normal 5 2 5 5 2" xfId="5927"/>
    <cellStyle name="Normal 5 2 5 5 2 2" xfId="9262"/>
    <cellStyle name="Normal 5 2 5 5 2 2 2" xfId="19978"/>
    <cellStyle name="Normal 5 2 5 5 2 3" xfId="12590"/>
    <cellStyle name="Normal 5 2 5 5 2 3 2" xfId="23306"/>
    <cellStyle name="Normal 5 2 5 5 2 4" xfId="16650"/>
    <cellStyle name="Normal 5 2 5 5 3" xfId="7598"/>
    <cellStyle name="Normal 5 2 5 5 3 2" xfId="18314"/>
    <cellStyle name="Normal 5 2 5 5 4" xfId="10926"/>
    <cellStyle name="Normal 5 2 5 5 4 2" xfId="21642"/>
    <cellStyle name="Normal 5 2 5 5 5" xfId="14986"/>
    <cellStyle name="Normal 5 2 5 6" xfId="5092"/>
    <cellStyle name="Normal 5 2 5 6 2" xfId="8430"/>
    <cellStyle name="Normal 5 2 5 6 2 2" xfId="19146"/>
    <cellStyle name="Normal 5 2 5 6 3" xfId="11758"/>
    <cellStyle name="Normal 5 2 5 6 3 2" xfId="22474"/>
    <cellStyle name="Normal 5 2 5 6 4" xfId="15818"/>
    <cellStyle name="Normal 5 2 5 7" xfId="6762"/>
    <cellStyle name="Normal 5 2 5 7 2" xfId="17482"/>
    <cellStyle name="Normal 5 2 5 8" xfId="10094"/>
    <cellStyle name="Normal 5 2 5 8 2" xfId="20810"/>
    <cellStyle name="Normal 5 2 5 9" xfId="14151"/>
    <cellStyle name="Normal 5 2 6" xfId="3107"/>
    <cellStyle name="Normal 5 2 6 2" xfId="4042"/>
    <cellStyle name="Normal 5 2 6 2 2" xfId="4882"/>
    <cellStyle name="Normal 5 2 6 2 2 2" xfId="6550"/>
    <cellStyle name="Normal 5 2 6 2 2 2 2" xfId="9885"/>
    <cellStyle name="Normal 5 2 6 2 2 2 2 2" xfId="20601"/>
    <cellStyle name="Normal 5 2 6 2 2 2 3" xfId="13213"/>
    <cellStyle name="Normal 5 2 6 2 2 2 3 2" xfId="23929"/>
    <cellStyle name="Normal 5 2 6 2 2 2 4" xfId="17273"/>
    <cellStyle name="Normal 5 2 6 2 2 3" xfId="8221"/>
    <cellStyle name="Normal 5 2 6 2 2 3 2" xfId="18937"/>
    <cellStyle name="Normal 5 2 6 2 2 4" xfId="11549"/>
    <cellStyle name="Normal 5 2 6 2 2 4 2" xfId="22265"/>
    <cellStyle name="Normal 5 2 6 2 2 5" xfId="15609"/>
    <cellStyle name="Normal 5 2 6 2 3" xfId="5718"/>
    <cellStyle name="Normal 5 2 6 2 3 2" xfId="9053"/>
    <cellStyle name="Normal 5 2 6 2 3 2 2" xfId="19769"/>
    <cellStyle name="Normal 5 2 6 2 3 3" xfId="12381"/>
    <cellStyle name="Normal 5 2 6 2 3 3 2" xfId="23097"/>
    <cellStyle name="Normal 5 2 6 2 3 4" xfId="16441"/>
    <cellStyle name="Normal 5 2 6 2 4" xfId="7389"/>
    <cellStyle name="Normal 5 2 6 2 4 2" xfId="18105"/>
    <cellStyle name="Normal 5 2 6 2 5" xfId="10717"/>
    <cellStyle name="Normal 5 2 6 2 5 2" xfId="21433"/>
    <cellStyle name="Normal 5 2 6 2 6" xfId="14777"/>
    <cellStyle name="Normal 5 2 6 3" xfId="4466"/>
    <cellStyle name="Normal 5 2 6 3 2" xfId="6134"/>
    <cellStyle name="Normal 5 2 6 3 2 2" xfId="9469"/>
    <cellStyle name="Normal 5 2 6 3 2 2 2" xfId="20185"/>
    <cellStyle name="Normal 5 2 6 3 2 3" xfId="12797"/>
    <cellStyle name="Normal 5 2 6 3 2 3 2" xfId="23513"/>
    <cellStyle name="Normal 5 2 6 3 2 4" xfId="16857"/>
    <cellStyle name="Normal 5 2 6 3 3" xfId="7805"/>
    <cellStyle name="Normal 5 2 6 3 3 2" xfId="18521"/>
    <cellStyle name="Normal 5 2 6 3 4" xfId="11133"/>
    <cellStyle name="Normal 5 2 6 3 4 2" xfId="21849"/>
    <cellStyle name="Normal 5 2 6 3 5" xfId="15193"/>
    <cellStyle name="Normal 5 2 6 4" xfId="5302"/>
    <cellStyle name="Normal 5 2 6 4 2" xfId="8637"/>
    <cellStyle name="Normal 5 2 6 4 2 2" xfId="19353"/>
    <cellStyle name="Normal 5 2 6 4 3" xfId="11965"/>
    <cellStyle name="Normal 5 2 6 4 3 2" xfId="22681"/>
    <cellStyle name="Normal 5 2 6 4 4" xfId="16025"/>
    <cellStyle name="Normal 5 2 6 5" xfId="6972"/>
    <cellStyle name="Normal 5 2 6 5 2" xfId="17689"/>
    <cellStyle name="Normal 5 2 6 6" xfId="10301"/>
    <cellStyle name="Normal 5 2 6 6 2" xfId="21017"/>
    <cellStyle name="Normal 5 2 6 7" xfId="14360"/>
    <cellStyle name="Normal 5 2 7" xfId="3823"/>
    <cellStyle name="Normal 5 2 7 2" xfId="4674"/>
    <cellStyle name="Normal 5 2 7 2 2" xfId="6342"/>
    <cellStyle name="Normal 5 2 7 2 2 2" xfId="9677"/>
    <cellStyle name="Normal 5 2 7 2 2 2 2" xfId="20393"/>
    <cellStyle name="Normal 5 2 7 2 2 3" xfId="13005"/>
    <cellStyle name="Normal 5 2 7 2 2 3 2" xfId="23721"/>
    <cellStyle name="Normal 5 2 7 2 2 4" xfId="17065"/>
    <cellStyle name="Normal 5 2 7 2 3" xfId="8013"/>
    <cellStyle name="Normal 5 2 7 2 3 2" xfId="18729"/>
    <cellStyle name="Normal 5 2 7 2 4" xfId="11341"/>
    <cellStyle name="Normal 5 2 7 2 4 2" xfId="22057"/>
    <cellStyle name="Normal 5 2 7 2 5" xfId="15401"/>
    <cellStyle name="Normal 5 2 7 3" xfId="5510"/>
    <cellStyle name="Normal 5 2 7 3 2" xfId="8845"/>
    <cellStyle name="Normal 5 2 7 3 2 2" xfId="19561"/>
    <cellStyle name="Normal 5 2 7 3 3" xfId="12173"/>
    <cellStyle name="Normal 5 2 7 3 3 2" xfId="22889"/>
    <cellStyle name="Normal 5 2 7 3 4" xfId="16233"/>
    <cellStyle name="Normal 5 2 7 4" xfId="7181"/>
    <cellStyle name="Normal 5 2 7 4 2" xfId="17897"/>
    <cellStyle name="Normal 5 2 7 5" xfId="10509"/>
    <cellStyle name="Normal 5 2 7 5 2" xfId="21225"/>
    <cellStyle name="Normal 5 2 7 6" xfId="14569"/>
    <cellStyle name="Normal 5 2 8" xfId="4256"/>
    <cellStyle name="Normal 5 2 8 2" xfId="5926"/>
    <cellStyle name="Normal 5 2 8 2 2" xfId="9261"/>
    <cellStyle name="Normal 5 2 8 2 2 2" xfId="19977"/>
    <cellStyle name="Normal 5 2 8 2 3" xfId="12589"/>
    <cellStyle name="Normal 5 2 8 2 3 2" xfId="23305"/>
    <cellStyle name="Normal 5 2 8 2 4" xfId="16649"/>
    <cellStyle name="Normal 5 2 8 3" xfId="7597"/>
    <cellStyle name="Normal 5 2 8 3 2" xfId="18313"/>
    <cellStyle name="Normal 5 2 8 4" xfId="10925"/>
    <cellStyle name="Normal 5 2 8 4 2" xfId="21641"/>
    <cellStyle name="Normal 5 2 8 5" xfId="14985"/>
    <cellStyle name="Normal 5 2 9" xfId="5091"/>
    <cellStyle name="Normal 5 2 9 2" xfId="8429"/>
    <cellStyle name="Normal 5 2 9 2 2" xfId="19145"/>
    <cellStyle name="Normal 5 2 9 3" xfId="11757"/>
    <cellStyle name="Normal 5 2 9 3 2" xfId="22473"/>
    <cellStyle name="Normal 5 2 9 4" xfId="15817"/>
    <cellStyle name="Normal 5 3" xfId="1429"/>
    <cellStyle name="Normal 5 3 2" xfId="1430"/>
    <cellStyle name="Normal 5 3 2 2" xfId="3114"/>
    <cellStyle name="Normal 5 3 3" xfId="3113"/>
    <cellStyle name="Normal 5 4" xfId="1431"/>
    <cellStyle name="Normal 5 4 2" xfId="3115"/>
    <cellStyle name="Normal 5 5" xfId="1432"/>
    <cellStyle name="Normal 5 5 2" xfId="3116"/>
    <cellStyle name="Normal 5 6" xfId="1433"/>
    <cellStyle name="Normal 5 6 10" xfId="6764"/>
    <cellStyle name="Normal 5 6 10 2" xfId="17484"/>
    <cellStyle name="Normal 5 6 11" xfId="10096"/>
    <cellStyle name="Normal 5 6 11 2" xfId="20812"/>
    <cellStyle name="Normal 5 6 12" xfId="14153"/>
    <cellStyle name="Normal 5 6 2" xfId="1434"/>
    <cellStyle name="Normal 5 6 2 10" xfId="10097"/>
    <cellStyle name="Normal 5 6 2 10 2" xfId="20813"/>
    <cellStyle name="Normal 5 6 2 11" xfId="14154"/>
    <cellStyle name="Normal 5 6 2 2" xfId="1435"/>
    <cellStyle name="Normal 5 6 2 2 10" xfId="14155"/>
    <cellStyle name="Normal 5 6 2 2 2" xfId="1436"/>
    <cellStyle name="Normal 5 6 2 2 2 2" xfId="1437"/>
    <cellStyle name="Normal 5 6 2 2 2 2 2" xfId="3121"/>
    <cellStyle name="Normal 5 6 2 2 2 2 2 2" xfId="4049"/>
    <cellStyle name="Normal 5 6 2 2 2 2 2 2 2" xfId="4889"/>
    <cellStyle name="Normal 5 6 2 2 2 2 2 2 2 2" xfId="6557"/>
    <cellStyle name="Normal 5 6 2 2 2 2 2 2 2 2 2" xfId="9892"/>
    <cellStyle name="Normal 5 6 2 2 2 2 2 2 2 2 2 2" xfId="20608"/>
    <cellStyle name="Normal 5 6 2 2 2 2 2 2 2 2 3" xfId="13220"/>
    <cellStyle name="Normal 5 6 2 2 2 2 2 2 2 2 3 2" xfId="23936"/>
    <cellStyle name="Normal 5 6 2 2 2 2 2 2 2 2 4" xfId="17280"/>
    <cellStyle name="Normal 5 6 2 2 2 2 2 2 2 3" xfId="8228"/>
    <cellStyle name="Normal 5 6 2 2 2 2 2 2 2 3 2" xfId="18944"/>
    <cellStyle name="Normal 5 6 2 2 2 2 2 2 2 4" xfId="11556"/>
    <cellStyle name="Normal 5 6 2 2 2 2 2 2 2 4 2" xfId="22272"/>
    <cellStyle name="Normal 5 6 2 2 2 2 2 2 2 5" xfId="15616"/>
    <cellStyle name="Normal 5 6 2 2 2 2 2 2 3" xfId="5725"/>
    <cellStyle name="Normal 5 6 2 2 2 2 2 2 3 2" xfId="9060"/>
    <cellStyle name="Normal 5 6 2 2 2 2 2 2 3 2 2" xfId="19776"/>
    <cellStyle name="Normal 5 6 2 2 2 2 2 2 3 3" xfId="12388"/>
    <cellStyle name="Normal 5 6 2 2 2 2 2 2 3 3 2" xfId="23104"/>
    <cellStyle name="Normal 5 6 2 2 2 2 2 2 3 4" xfId="16448"/>
    <cellStyle name="Normal 5 6 2 2 2 2 2 2 4" xfId="7396"/>
    <cellStyle name="Normal 5 6 2 2 2 2 2 2 4 2" xfId="18112"/>
    <cellStyle name="Normal 5 6 2 2 2 2 2 2 5" xfId="10724"/>
    <cellStyle name="Normal 5 6 2 2 2 2 2 2 5 2" xfId="21440"/>
    <cellStyle name="Normal 5 6 2 2 2 2 2 2 6" xfId="14784"/>
    <cellStyle name="Normal 5 6 2 2 2 2 2 3" xfId="4473"/>
    <cellStyle name="Normal 5 6 2 2 2 2 2 3 2" xfId="6141"/>
    <cellStyle name="Normal 5 6 2 2 2 2 2 3 2 2" xfId="9476"/>
    <cellStyle name="Normal 5 6 2 2 2 2 2 3 2 2 2" xfId="20192"/>
    <cellStyle name="Normal 5 6 2 2 2 2 2 3 2 3" xfId="12804"/>
    <cellStyle name="Normal 5 6 2 2 2 2 2 3 2 3 2" xfId="23520"/>
    <cellStyle name="Normal 5 6 2 2 2 2 2 3 2 4" xfId="16864"/>
    <cellStyle name="Normal 5 6 2 2 2 2 2 3 3" xfId="7812"/>
    <cellStyle name="Normal 5 6 2 2 2 2 2 3 3 2" xfId="18528"/>
    <cellStyle name="Normal 5 6 2 2 2 2 2 3 4" xfId="11140"/>
    <cellStyle name="Normal 5 6 2 2 2 2 2 3 4 2" xfId="21856"/>
    <cellStyle name="Normal 5 6 2 2 2 2 2 3 5" xfId="15200"/>
    <cellStyle name="Normal 5 6 2 2 2 2 2 4" xfId="5309"/>
    <cellStyle name="Normal 5 6 2 2 2 2 2 4 2" xfId="8644"/>
    <cellStyle name="Normal 5 6 2 2 2 2 2 4 2 2" xfId="19360"/>
    <cellStyle name="Normal 5 6 2 2 2 2 2 4 3" xfId="11972"/>
    <cellStyle name="Normal 5 6 2 2 2 2 2 4 3 2" xfId="22688"/>
    <cellStyle name="Normal 5 6 2 2 2 2 2 4 4" xfId="16032"/>
    <cellStyle name="Normal 5 6 2 2 2 2 2 5" xfId="6979"/>
    <cellStyle name="Normal 5 6 2 2 2 2 2 5 2" xfId="17696"/>
    <cellStyle name="Normal 5 6 2 2 2 2 2 6" xfId="10308"/>
    <cellStyle name="Normal 5 6 2 2 2 2 2 6 2" xfId="21024"/>
    <cellStyle name="Normal 5 6 2 2 2 2 2 7" xfId="14367"/>
    <cellStyle name="Normal 5 6 2 2 2 2 3" xfId="3830"/>
    <cellStyle name="Normal 5 6 2 2 2 2 3 2" xfId="4681"/>
    <cellStyle name="Normal 5 6 2 2 2 2 3 2 2" xfId="6349"/>
    <cellStyle name="Normal 5 6 2 2 2 2 3 2 2 2" xfId="9684"/>
    <cellStyle name="Normal 5 6 2 2 2 2 3 2 2 2 2" xfId="20400"/>
    <cellStyle name="Normal 5 6 2 2 2 2 3 2 2 3" xfId="13012"/>
    <cellStyle name="Normal 5 6 2 2 2 2 3 2 2 3 2" xfId="23728"/>
    <cellStyle name="Normal 5 6 2 2 2 2 3 2 2 4" xfId="17072"/>
    <cellStyle name="Normal 5 6 2 2 2 2 3 2 3" xfId="8020"/>
    <cellStyle name="Normal 5 6 2 2 2 2 3 2 3 2" xfId="18736"/>
    <cellStyle name="Normal 5 6 2 2 2 2 3 2 4" xfId="11348"/>
    <cellStyle name="Normal 5 6 2 2 2 2 3 2 4 2" xfId="22064"/>
    <cellStyle name="Normal 5 6 2 2 2 2 3 2 5" xfId="15408"/>
    <cellStyle name="Normal 5 6 2 2 2 2 3 3" xfId="5517"/>
    <cellStyle name="Normal 5 6 2 2 2 2 3 3 2" xfId="8852"/>
    <cellStyle name="Normal 5 6 2 2 2 2 3 3 2 2" xfId="19568"/>
    <cellStyle name="Normal 5 6 2 2 2 2 3 3 3" xfId="12180"/>
    <cellStyle name="Normal 5 6 2 2 2 2 3 3 3 2" xfId="22896"/>
    <cellStyle name="Normal 5 6 2 2 2 2 3 3 4" xfId="16240"/>
    <cellStyle name="Normal 5 6 2 2 2 2 3 4" xfId="7188"/>
    <cellStyle name="Normal 5 6 2 2 2 2 3 4 2" xfId="17904"/>
    <cellStyle name="Normal 5 6 2 2 2 2 3 5" xfId="10516"/>
    <cellStyle name="Normal 5 6 2 2 2 2 3 5 2" xfId="21232"/>
    <cellStyle name="Normal 5 6 2 2 2 2 3 6" xfId="14576"/>
    <cellStyle name="Normal 5 6 2 2 2 2 4" xfId="4263"/>
    <cellStyle name="Normal 5 6 2 2 2 2 4 2" xfId="5933"/>
    <cellStyle name="Normal 5 6 2 2 2 2 4 2 2" xfId="9268"/>
    <cellStyle name="Normal 5 6 2 2 2 2 4 2 2 2" xfId="19984"/>
    <cellStyle name="Normal 5 6 2 2 2 2 4 2 3" xfId="12596"/>
    <cellStyle name="Normal 5 6 2 2 2 2 4 2 3 2" xfId="23312"/>
    <cellStyle name="Normal 5 6 2 2 2 2 4 2 4" xfId="16656"/>
    <cellStyle name="Normal 5 6 2 2 2 2 4 3" xfId="7604"/>
    <cellStyle name="Normal 5 6 2 2 2 2 4 3 2" xfId="18320"/>
    <cellStyle name="Normal 5 6 2 2 2 2 4 4" xfId="10932"/>
    <cellStyle name="Normal 5 6 2 2 2 2 4 4 2" xfId="21648"/>
    <cellStyle name="Normal 5 6 2 2 2 2 4 5" xfId="14992"/>
    <cellStyle name="Normal 5 6 2 2 2 2 5" xfId="5098"/>
    <cellStyle name="Normal 5 6 2 2 2 2 5 2" xfId="8436"/>
    <cellStyle name="Normal 5 6 2 2 2 2 5 2 2" xfId="19152"/>
    <cellStyle name="Normal 5 6 2 2 2 2 5 3" xfId="11764"/>
    <cellStyle name="Normal 5 6 2 2 2 2 5 3 2" xfId="22480"/>
    <cellStyle name="Normal 5 6 2 2 2 2 5 4" xfId="15824"/>
    <cellStyle name="Normal 5 6 2 2 2 2 6" xfId="6768"/>
    <cellStyle name="Normal 5 6 2 2 2 2 6 2" xfId="17488"/>
    <cellStyle name="Normal 5 6 2 2 2 2 7" xfId="10100"/>
    <cellStyle name="Normal 5 6 2 2 2 2 7 2" xfId="20816"/>
    <cellStyle name="Normal 5 6 2 2 2 2 8" xfId="14157"/>
    <cellStyle name="Normal 5 6 2 2 2 3" xfId="3120"/>
    <cellStyle name="Normal 5 6 2 2 2 3 2" xfId="4048"/>
    <cellStyle name="Normal 5 6 2 2 2 3 2 2" xfId="4888"/>
    <cellStyle name="Normal 5 6 2 2 2 3 2 2 2" xfId="6556"/>
    <cellStyle name="Normal 5 6 2 2 2 3 2 2 2 2" xfId="9891"/>
    <cellStyle name="Normal 5 6 2 2 2 3 2 2 2 2 2" xfId="20607"/>
    <cellStyle name="Normal 5 6 2 2 2 3 2 2 2 3" xfId="13219"/>
    <cellStyle name="Normal 5 6 2 2 2 3 2 2 2 3 2" xfId="23935"/>
    <cellStyle name="Normal 5 6 2 2 2 3 2 2 2 4" xfId="17279"/>
    <cellStyle name="Normal 5 6 2 2 2 3 2 2 3" xfId="8227"/>
    <cellStyle name="Normal 5 6 2 2 2 3 2 2 3 2" xfId="18943"/>
    <cellStyle name="Normal 5 6 2 2 2 3 2 2 4" xfId="11555"/>
    <cellStyle name="Normal 5 6 2 2 2 3 2 2 4 2" xfId="22271"/>
    <cellStyle name="Normal 5 6 2 2 2 3 2 2 5" xfId="15615"/>
    <cellStyle name="Normal 5 6 2 2 2 3 2 3" xfId="5724"/>
    <cellStyle name="Normal 5 6 2 2 2 3 2 3 2" xfId="9059"/>
    <cellStyle name="Normal 5 6 2 2 2 3 2 3 2 2" xfId="19775"/>
    <cellStyle name="Normal 5 6 2 2 2 3 2 3 3" xfId="12387"/>
    <cellStyle name="Normal 5 6 2 2 2 3 2 3 3 2" xfId="23103"/>
    <cellStyle name="Normal 5 6 2 2 2 3 2 3 4" xfId="16447"/>
    <cellStyle name="Normal 5 6 2 2 2 3 2 4" xfId="7395"/>
    <cellStyle name="Normal 5 6 2 2 2 3 2 4 2" xfId="18111"/>
    <cellStyle name="Normal 5 6 2 2 2 3 2 5" xfId="10723"/>
    <cellStyle name="Normal 5 6 2 2 2 3 2 5 2" xfId="21439"/>
    <cellStyle name="Normal 5 6 2 2 2 3 2 6" xfId="14783"/>
    <cellStyle name="Normal 5 6 2 2 2 3 3" xfId="4472"/>
    <cellStyle name="Normal 5 6 2 2 2 3 3 2" xfId="6140"/>
    <cellStyle name="Normal 5 6 2 2 2 3 3 2 2" xfId="9475"/>
    <cellStyle name="Normal 5 6 2 2 2 3 3 2 2 2" xfId="20191"/>
    <cellStyle name="Normal 5 6 2 2 2 3 3 2 3" xfId="12803"/>
    <cellStyle name="Normal 5 6 2 2 2 3 3 2 3 2" xfId="23519"/>
    <cellStyle name="Normal 5 6 2 2 2 3 3 2 4" xfId="16863"/>
    <cellStyle name="Normal 5 6 2 2 2 3 3 3" xfId="7811"/>
    <cellStyle name="Normal 5 6 2 2 2 3 3 3 2" xfId="18527"/>
    <cellStyle name="Normal 5 6 2 2 2 3 3 4" xfId="11139"/>
    <cellStyle name="Normal 5 6 2 2 2 3 3 4 2" xfId="21855"/>
    <cellStyle name="Normal 5 6 2 2 2 3 3 5" xfId="15199"/>
    <cellStyle name="Normal 5 6 2 2 2 3 4" xfId="5308"/>
    <cellStyle name="Normal 5 6 2 2 2 3 4 2" xfId="8643"/>
    <cellStyle name="Normal 5 6 2 2 2 3 4 2 2" xfId="19359"/>
    <cellStyle name="Normal 5 6 2 2 2 3 4 3" xfId="11971"/>
    <cellStyle name="Normal 5 6 2 2 2 3 4 3 2" xfId="22687"/>
    <cellStyle name="Normal 5 6 2 2 2 3 4 4" xfId="16031"/>
    <cellStyle name="Normal 5 6 2 2 2 3 5" xfId="6978"/>
    <cellStyle name="Normal 5 6 2 2 2 3 5 2" xfId="17695"/>
    <cellStyle name="Normal 5 6 2 2 2 3 6" xfId="10307"/>
    <cellStyle name="Normal 5 6 2 2 2 3 6 2" xfId="21023"/>
    <cellStyle name="Normal 5 6 2 2 2 3 7" xfId="14366"/>
    <cellStyle name="Normal 5 6 2 2 2 4" xfId="3829"/>
    <cellStyle name="Normal 5 6 2 2 2 4 2" xfId="4680"/>
    <cellStyle name="Normal 5 6 2 2 2 4 2 2" xfId="6348"/>
    <cellStyle name="Normal 5 6 2 2 2 4 2 2 2" xfId="9683"/>
    <cellStyle name="Normal 5 6 2 2 2 4 2 2 2 2" xfId="20399"/>
    <cellStyle name="Normal 5 6 2 2 2 4 2 2 3" xfId="13011"/>
    <cellStyle name="Normal 5 6 2 2 2 4 2 2 3 2" xfId="23727"/>
    <cellStyle name="Normal 5 6 2 2 2 4 2 2 4" xfId="17071"/>
    <cellStyle name="Normal 5 6 2 2 2 4 2 3" xfId="8019"/>
    <cellStyle name="Normal 5 6 2 2 2 4 2 3 2" xfId="18735"/>
    <cellStyle name="Normal 5 6 2 2 2 4 2 4" xfId="11347"/>
    <cellStyle name="Normal 5 6 2 2 2 4 2 4 2" xfId="22063"/>
    <cellStyle name="Normal 5 6 2 2 2 4 2 5" xfId="15407"/>
    <cellStyle name="Normal 5 6 2 2 2 4 3" xfId="5516"/>
    <cellStyle name="Normal 5 6 2 2 2 4 3 2" xfId="8851"/>
    <cellStyle name="Normal 5 6 2 2 2 4 3 2 2" xfId="19567"/>
    <cellStyle name="Normal 5 6 2 2 2 4 3 3" xfId="12179"/>
    <cellStyle name="Normal 5 6 2 2 2 4 3 3 2" xfId="22895"/>
    <cellStyle name="Normal 5 6 2 2 2 4 3 4" xfId="16239"/>
    <cellStyle name="Normal 5 6 2 2 2 4 4" xfId="7187"/>
    <cellStyle name="Normal 5 6 2 2 2 4 4 2" xfId="17903"/>
    <cellStyle name="Normal 5 6 2 2 2 4 5" xfId="10515"/>
    <cellStyle name="Normal 5 6 2 2 2 4 5 2" xfId="21231"/>
    <cellStyle name="Normal 5 6 2 2 2 4 6" xfId="14575"/>
    <cellStyle name="Normal 5 6 2 2 2 5" xfId="4262"/>
    <cellStyle name="Normal 5 6 2 2 2 5 2" xfId="5932"/>
    <cellStyle name="Normal 5 6 2 2 2 5 2 2" xfId="9267"/>
    <cellStyle name="Normal 5 6 2 2 2 5 2 2 2" xfId="19983"/>
    <cellStyle name="Normal 5 6 2 2 2 5 2 3" xfId="12595"/>
    <cellStyle name="Normal 5 6 2 2 2 5 2 3 2" xfId="23311"/>
    <cellStyle name="Normal 5 6 2 2 2 5 2 4" xfId="16655"/>
    <cellStyle name="Normal 5 6 2 2 2 5 3" xfId="7603"/>
    <cellStyle name="Normal 5 6 2 2 2 5 3 2" xfId="18319"/>
    <cellStyle name="Normal 5 6 2 2 2 5 4" xfId="10931"/>
    <cellStyle name="Normal 5 6 2 2 2 5 4 2" xfId="21647"/>
    <cellStyle name="Normal 5 6 2 2 2 5 5" xfId="14991"/>
    <cellStyle name="Normal 5 6 2 2 2 6" xfId="5097"/>
    <cellStyle name="Normal 5 6 2 2 2 6 2" xfId="8435"/>
    <cellStyle name="Normal 5 6 2 2 2 6 2 2" xfId="19151"/>
    <cellStyle name="Normal 5 6 2 2 2 6 3" xfId="11763"/>
    <cellStyle name="Normal 5 6 2 2 2 6 3 2" xfId="22479"/>
    <cellStyle name="Normal 5 6 2 2 2 6 4" xfId="15823"/>
    <cellStyle name="Normal 5 6 2 2 2 7" xfId="6767"/>
    <cellStyle name="Normal 5 6 2 2 2 7 2" xfId="17487"/>
    <cellStyle name="Normal 5 6 2 2 2 8" xfId="10099"/>
    <cellStyle name="Normal 5 6 2 2 2 8 2" xfId="20815"/>
    <cellStyle name="Normal 5 6 2 2 2 9" xfId="14156"/>
    <cellStyle name="Normal 5 6 2 2 3" xfId="1438"/>
    <cellStyle name="Normal 5 6 2 2 3 2" xfId="3122"/>
    <cellStyle name="Normal 5 6 2 2 3 2 2" xfId="4050"/>
    <cellStyle name="Normal 5 6 2 2 3 2 2 2" xfId="4890"/>
    <cellStyle name="Normal 5 6 2 2 3 2 2 2 2" xfId="6558"/>
    <cellStyle name="Normal 5 6 2 2 3 2 2 2 2 2" xfId="9893"/>
    <cellStyle name="Normal 5 6 2 2 3 2 2 2 2 2 2" xfId="20609"/>
    <cellStyle name="Normal 5 6 2 2 3 2 2 2 2 3" xfId="13221"/>
    <cellStyle name="Normal 5 6 2 2 3 2 2 2 2 3 2" xfId="23937"/>
    <cellStyle name="Normal 5 6 2 2 3 2 2 2 2 4" xfId="17281"/>
    <cellStyle name="Normal 5 6 2 2 3 2 2 2 3" xfId="8229"/>
    <cellStyle name="Normal 5 6 2 2 3 2 2 2 3 2" xfId="18945"/>
    <cellStyle name="Normal 5 6 2 2 3 2 2 2 4" xfId="11557"/>
    <cellStyle name="Normal 5 6 2 2 3 2 2 2 4 2" xfId="22273"/>
    <cellStyle name="Normal 5 6 2 2 3 2 2 2 5" xfId="15617"/>
    <cellStyle name="Normal 5 6 2 2 3 2 2 3" xfId="5726"/>
    <cellStyle name="Normal 5 6 2 2 3 2 2 3 2" xfId="9061"/>
    <cellStyle name="Normal 5 6 2 2 3 2 2 3 2 2" xfId="19777"/>
    <cellStyle name="Normal 5 6 2 2 3 2 2 3 3" xfId="12389"/>
    <cellStyle name="Normal 5 6 2 2 3 2 2 3 3 2" xfId="23105"/>
    <cellStyle name="Normal 5 6 2 2 3 2 2 3 4" xfId="16449"/>
    <cellStyle name="Normal 5 6 2 2 3 2 2 4" xfId="7397"/>
    <cellStyle name="Normal 5 6 2 2 3 2 2 4 2" xfId="18113"/>
    <cellStyle name="Normal 5 6 2 2 3 2 2 5" xfId="10725"/>
    <cellStyle name="Normal 5 6 2 2 3 2 2 5 2" xfId="21441"/>
    <cellStyle name="Normal 5 6 2 2 3 2 2 6" xfId="14785"/>
    <cellStyle name="Normal 5 6 2 2 3 2 3" xfId="4474"/>
    <cellStyle name="Normal 5 6 2 2 3 2 3 2" xfId="6142"/>
    <cellStyle name="Normal 5 6 2 2 3 2 3 2 2" xfId="9477"/>
    <cellStyle name="Normal 5 6 2 2 3 2 3 2 2 2" xfId="20193"/>
    <cellStyle name="Normal 5 6 2 2 3 2 3 2 3" xfId="12805"/>
    <cellStyle name="Normal 5 6 2 2 3 2 3 2 3 2" xfId="23521"/>
    <cellStyle name="Normal 5 6 2 2 3 2 3 2 4" xfId="16865"/>
    <cellStyle name="Normal 5 6 2 2 3 2 3 3" xfId="7813"/>
    <cellStyle name="Normal 5 6 2 2 3 2 3 3 2" xfId="18529"/>
    <cellStyle name="Normal 5 6 2 2 3 2 3 4" xfId="11141"/>
    <cellStyle name="Normal 5 6 2 2 3 2 3 4 2" xfId="21857"/>
    <cellStyle name="Normal 5 6 2 2 3 2 3 5" xfId="15201"/>
    <cellStyle name="Normal 5 6 2 2 3 2 4" xfId="5310"/>
    <cellStyle name="Normal 5 6 2 2 3 2 4 2" xfId="8645"/>
    <cellStyle name="Normal 5 6 2 2 3 2 4 2 2" xfId="19361"/>
    <cellStyle name="Normal 5 6 2 2 3 2 4 3" xfId="11973"/>
    <cellStyle name="Normal 5 6 2 2 3 2 4 3 2" xfId="22689"/>
    <cellStyle name="Normal 5 6 2 2 3 2 4 4" xfId="16033"/>
    <cellStyle name="Normal 5 6 2 2 3 2 5" xfId="6980"/>
    <cellStyle name="Normal 5 6 2 2 3 2 5 2" xfId="17697"/>
    <cellStyle name="Normal 5 6 2 2 3 2 6" xfId="10309"/>
    <cellStyle name="Normal 5 6 2 2 3 2 6 2" xfId="21025"/>
    <cellStyle name="Normal 5 6 2 2 3 2 7" xfId="14368"/>
    <cellStyle name="Normal 5 6 2 2 3 3" xfId="3831"/>
    <cellStyle name="Normal 5 6 2 2 3 3 2" xfId="4682"/>
    <cellStyle name="Normal 5 6 2 2 3 3 2 2" xfId="6350"/>
    <cellStyle name="Normal 5 6 2 2 3 3 2 2 2" xfId="9685"/>
    <cellStyle name="Normal 5 6 2 2 3 3 2 2 2 2" xfId="20401"/>
    <cellStyle name="Normal 5 6 2 2 3 3 2 2 3" xfId="13013"/>
    <cellStyle name="Normal 5 6 2 2 3 3 2 2 3 2" xfId="23729"/>
    <cellStyle name="Normal 5 6 2 2 3 3 2 2 4" xfId="17073"/>
    <cellStyle name="Normal 5 6 2 2 3 3 2 3" xfId="8021"/>
    <cellStyle name="Normal 5 6 2 2 3 3 2 3 2" xfId="18737"/>
    <cellStyle name="Normal 5 6 2 2 3 3 2 4" xfId="11349"/>
    <cellStyle name="Normal 5 6 2 2 3 3 2 4 2" xfId="22065"/>
    <cellStyle name="Normal 5 6 2 2 3 3 2 5" xfId="15409"/>
    <cellStyle name="Normal 5 6 2 2 3 3 3" xfId="5518"/>
    <cellStyle name="Normal 5 6 2 2 3 3 3 2" xfId="8853"/>
    <cellStyle name="Normal 5 6 2 2 3 3 3 2 2" xfId="19569"/>
    <cellStyle name="Normal 5 6 2 2 3 3 3 3" xfId="12181"/>
    <cellStyle name="Normal 5 6 2 2 3 3 3 3 2" xfId="22897"/>
    <cellStyle name="Normal 5 6 2 2 3 3 3 4" xfId="16241"/>
    <cellStyle name="Normal 5 6 2 2 3 3 4" xfId="7189"/>
    <cellStyle name="Normal 5 6 2 2 3 3 4 2" xfId="17905"/>
    <cellStyle name="Normal 5 6 2 2 3 3 5" xfId="10517"/>
    <cellStyle name="Normal 5 6 2 2 3 3 5 2" xfId="21233"/>
    <cellStyle name="Normal 5 6 2 2 3 3 6" xfId="14577"/>
    <cellStyle name="Normal 5 6 2 2 3 4" xfId="4264"/>
    <cellStyle name="Normal 5 6 2 2 3 4 2" xfId="5934"/>
    <cellStyle name="Normal 5 6 2 2 3 4 2 2" xfId="9269"/>
    <cellStyle name="Normal 5 6 2 2 3 4 2 2 2" xfId="19985"/>
    <cellStyle name="Normal 5 6 2 2 3 4 2 3" xfId="12597"/>
    <cellStyle name="Normal 5 6 2 2 3 4 2 3 2" xfId="23313"/>
    <cellStyle name="Normal 5 6 2 2 3 4 2 4" xfId="16657"/>
    <cellStyle name="Normal 5 6 2 2 3 4 3" xfId="7605"/>
    <cellStyle name="Normal 5 6 2 2 3 4 3 2" xfId="18321"/>
    <cellStyle name="Normal 5 6 2 2 3 4 4" xfId="10933"/>
    <cellStyle name="Normal 5 6 2 2 3 4 4 2" xfId="21649"/>
    <cellStyle name="Normal 5 6 2 2 3 4 5" xfId="14993"/>
    <cellStyle name="Normal 5 6 2 2 3 5" xfId="5099"/>
    <cellStyle name="Normal 5 6 2 2 3 5 2" xfId="8437"/>
    <cellStyle name="Normal 5 6 2 2 3 5 2 2" xfId="19153"/>
    <cellStyle name="Normal 5 6 2 2 3 5 3" xfId="11765"/>
    <cellStyle name="Normal 5 6 2 2 3 5 3 2" xfId="22481"/>
    <cellStyle name="Normal 5 6 2 2 3 5 4" xfId="15825"/>
    <cellStyle name="Normal 5 6 2 2 3 6" xfId="6769"/>
    <cellStyle name="Normal 5 6 2 2 3 6 2" xfId="17489"/>
    <cellStyle name="Normal 5 6 2 2 3 7" xfId="10101"/>
    <cellStyle name="Normal 5 6 2 2 3 7 2" xfId="20817"/>
    <cellStyle name="Normal 5 6 2 2 3 8" xfId="14158"/>
    <cellStyle name="Normal 5 6 2 2 4" xfId="3119"/>
    <cellStyle name="Normal 5 6 2 2 4 2" xfId="4047"/>
    <cellStyle name="Normal 5 6 2 2 4 2 2" xfId="4887"/>
    <cellStyle name="Normal 5 6 2 2 4 2 2 2" xfId="6555"/>
    <cellStyle name="Normal 5 6 2 2 4 2 2 2 2" xfId="9890"/>
    <cellStyle name="Normal 5 6 2 2 4 2 2 2 2 2" xfId="20606"/>
    <cellStyle name="Normal 5 6 2 2 4 2 2 2 3" xfId="13218"/>
    <cellStyle name="Normal 5 6 2 2 4 2 2 2 3 2" xfId="23934"/>
    <cellStyle name="Normal 5 6 2 2 4 2 2 2 4" xfId="17278"/>
    <cellStyle name="Normal 5 6 2 2 4 2 2 3" xfId="8226"/>
    <cellStyle name="Normal 5 6 2 2 4 2 2 3 2" xfId="18942"/>
    <cellStyle name="Normal 5 6 2 2 4 2 2 4" xfId="11554"/>
    <cellStyle name="Normal 5 6 2 2 4 2 2 4 2" xfId="22270"/>
    <cellStyle name="Normal 5 6 2 2 4 2 2 5" xfId="15614"/>
    <cellStyle name="Normal 5 6 2 2 4 2 3" xfId="5723"/>
    <cellStyle name="Normal 5 6 2 2 4 2 3 2" xfId="9058"/>
    <cellStyle name="Normal 5 6 2 2 4 2 3 2 2" xfId="19774"/>
    <cellStyle name="Normal 5 6 2 2 4 2 3 3" xfId="12386"/>
    <cellStyle name="Normal 5 6 2 2 4 2 3 3 2" xfId="23102"/>
    <cellStyle name="Normal 5 6 2 2 4 2 3 4" xfId="16446"/>
    <cellStyle name="Normal 5 6 2 2 4 2 4" xfId="7394"/>
    <cellStyle name="Normal 5 6 2 2 4 2 4 2" xfId="18110"/>
    <cellStyle name="Normal 5 6 2 2 4 2 5" xfId="10722"/>
    <cellStyle name="Normal 5 6 2 2 4 2 5 2" xfId="21438"/>
    <cellStyle name="Normal 5 6 2 2 4 2 6" xfId="14782"/>
    <cellStyle name="Normal 5 6 2 2 4 3" xfId="4471"/>
    <cellStyle name="Normal 5 6 2 2 4 3 2" xfId="6139"/>
    <cellStyle name="Normal 5 6 2 2 4 3 2 2" xfId="9474"/>
    <cellStyle name="Normal 5 6 2 2 4 3 2 2 2" xfId="20190"/>
    <cellStyle name="Normal 5 6 2 2 4 3 2 3" xfId="12802"/>
    <cellStyle name="Normal 5 6 2 2 4 3 2 3 2" xfId="23518"/>
    <cellStyle name="Normal 5 6 2 2 4 3 2 4" xfId="16862"/>
    <cellStyle name="Normal 5 6 2 2 4 3 3" xfId="7810"/>
    <cellStyle name="Normal 5 6 2 2 4 3 3 2" xfId="18526"/>
    <cellStyle name="Normal 5 6 2 2 4 3 4" xfId="11138"/>
    <cellStyle name="Normal 5 6 2 2 4 3 4 2" xfId="21854"/>
    <cellStyle name="Normal 5 6 2 2 4 3 5" xfId="15198"/>
    <cellStyle name="Normal 5 6 2 2 4 4" xfId="5307"/>
    <cellStyle name="Normal 5 6 2 2 4 4 2" xfId="8642"/>
    <cellStyle name="Normal 5 6 2 2 4 4 2 2" xfId="19358"/>
    <cellStyle name="Normal 5 6 2 2 4 4 3" xfId="11970"/>
    <cellStyle name="Normal 5 6 2 2 4 4 3 2" xfId="22686"/>
    <cellStyle name="Normal 5 6 2 2 4 4 4" xfId="16030"/>
    <cellStyle name="Normal 5 6 2 2 4 5" xfId="6977"/>
    <cellStyle name="Normal 5 6 2 2 4 5 2" xfId="17694"/>
    <cellStyle name="Normal 5 6 2 2 4 6" xfId="10306"/>
    <cellStyle name="Normal 5 6 2 2 4 6 2" xfId="21022"/>
    <cellStyle name="Normal 5 6 2 2 4 7" xfId="14365"/>
    <cellStyle name="Normal 5 6 2 2 5" xfId="3828"/>
    <cellStyle name="Normal 5 6 2 2 5 2" xfId="4679"/>
    <cellStyle name="Normal 5 6 2 2 5 2 2" xfId="6347"/>
    <cellStyle name="Normal 5 6 2 2 5 2 2 2" xfId="9682"/>
    <cellStyle name="Normal 5 6 2 2 5 2 2 2 2" xfId="20398"/>
    <cellStyle name="Normal 5 6 2 2 5 2 2 3" xfId="13010"/>
    <cellStyle name="Normal 5 6 2 2 5 2 2 3 2" xfId="23726"/>
    <cellStyle name="Normal 5 6 2 2 5 2 2 4" xfId="17070"/>
    <cellStyle name="Normal 5 6 2 2 5 2 3" xfId="8018"/>
    <cellStyle name="Normal 5 6 2 2 5 2 3 2" xfId="18734"/>
    <cellStyle name="Normal 5 6 2 2 5 2 4" xfId="11346"/>
    <cellStyle name="Normal 5 6 2 2 5 2 4 2" xfId="22062"/>
    <cellStyle name="Normal 5 6 2 2 5 2 5" xfId="15406"/>
    <cellStyle name="Normal 5 6 2 2 5 3" xfId="5515"/>
    <cellStyle name="Normal 5 6 2 2 5 3 2" xfId="8850"/>
    <cellStyle name="Normal 5 6 2 2 5 3 2 2" xfId="19566"/>
    <cellStyle name="Normal 5 6 2 2 5 3 3" xfId="12178"/>
    <cellStyle name="Normal 5 6 2 2 5 3 3 2" xfId="22894"/>
    <cellStyle name="Normal 5 6 2 2 5 3 4" xfId="16238"/>
    <cellStyle name="Normal 5 6 2 2 5 4" xfId="7186"/>
    <cellStyle name="Normal 5 6 2 2 5 4 2" xfId="17902"/>
    <cellStyle name="Normal 5 6 2 2 5 5" xfId="10514"/>
    <cellStyle name="Normal 5 6 2 2 5 5 2" xfId="21230"/>
    <cellStyle name="Normal 5 6 2 2 5 6" xfId="14574"/>
    <cellStyle name="Normal 5 6 2 2 6" xfId="4261"/>
    <cellStyle name="Normal 5 6 2 2 6 2" xfId="5931"/>
    <cellStyle name="Normal 5 6 2 2 6 2 2" xfId="9266"/>
    <cellStyle name="Normal 5 6 2 2 6 2 2 2" xfId="19982"/>
    <cellStyle name="Normal 5 6 2 2 6 2 3" xfId="12594"/>
    <cellStyle name="Normal 5 6 2 2 6 2 3 2" xfId="23310"/>
    <cellStyle name="Normal 5 6 2 2 6 2 4" xfId="16654"/>
    <cellStyle name="Normal 5 6 2 2 6 3" xfId="7602"/>
    <cellStyle name="Normal 5 6 2 2 6 3 2" xfId="18318"/>
    <cellStyle name="Normal 5 6 2 2 6 4" xfId="10930"/>
    <cellStyle name="Normal 5 6 2 2 6 4 2" xfId="21646"/>
    <cellStyle name="Normal 5 6 2 2 6 5" xfId="14990"/>
    <cellStyle name="Normal 5 6 2 2 7" xfId="5096"/>
    <cellStyle name="Normal 5 6 2 2 7 2" xfId="8434"/>
    <cellStyle name="Normal 5 6 2 2 7 2 2" xfId="19150"/>
    <cellStyle name="Normal 5 6 2 2 7 3" xfId="11762"/>
    <cellStyle name="Normal 5 6 2 2 7 3 2" xfId="22478"/>
    <cellStyle name="Normal 5 6 2 2 7 4" xfId="15822"/>
    <cellStyle name="Normal 5 6 2 2 8" xfId="6766"/>
    <cellStyle name="Normal 5 6 2 2 8 2" xfId="17486"/>
    <cellStyle name="Normal 5 6 2 2 9" xfId="10098"/>
    <cellStyle name="Normal 5 6 2 2 9 2" xfId="20814"/>
    <cellStyle name="Normal 5 6 2 3" xfId="1439"/>
    <cellStyle name="Normal 5 6 2 3 2" xfId="1440"/>
    <cellStyle name="Normal 5 6 2 3 2 2" xfId="3124"/>
    <cellStyle name="Normal 5 6 2 3 2 2 2" xfId="4052"/>
    <cellStyle name="Normal 5 6 2 3 2 2 2 2" xfId="4892"/>
    <cellStyle name="Normal 5 6 2 3 2 2 2 2 2" xfId="6560"/>
    <cellStyle name="Normal 5 6 2 3 2 2 2 2 2 2" xfId="9895"/>
    <cellStyle name="Normal 5 6 2 3 2 2 2 2 2 2 2" xfId="20611"/>
    <cellStyle name="Normal 5 6 2 3 2 2 2 2 2 3" xfId="13223"/>
    <cellStyle name="Normal 5 6 2 3 2 2 2 2 2 3 2" xfId="23939"/>
    <cellStyle name="Normal 5 6 2 3 2 2 2 2 2 4" xfId="17283"/>
    <cellStyle name="Normal 5 6 2 3 2 2 2 2 3" xfId="8231"/>
    <cellStyle name="Normal 5 6 2 3 2 2 2 2 3 2" xfId="18947"/>
    <cellStyle name="Normal 5 6 2 3 2 2 2 2 4" xfId="11559"/>
    <cellStyle name="Normal 5 6 2 3 2 2 2 2 4 2" xfId="22275"/>
    <cellStyle name="Normal 5 6 2 3 2 2 2 2 5" xfId="15619"/>
    <cellStyle name="Normal 5 6 2 3 2 2 2 3" xfId="5728"/>
    <cellStyle name="Normal 5 6 2 3 2 2 2 3 2" xfId="9063"/>
    <cellStyle name="Normal 5 6 2 3 2 2 2 3 2 2" xfId="19779"/>
    <cellStyle name="Normal 5 6 2 3 2 2 2 3 3" xfId="12391"/>
    <cellStyle name="Normal 5 6 2 3 2 2 2 3 3 2" xfId="23107"/>
    <cellStyle name="Normal 5 6 2 3 2 2 2 3 4" xfId="16451"/>
    <cellStyle name="Normal 5 6 2 3 2 2 2 4" xfId="7399"/>
    <cellStyle name="Normal 5 6 2 3 2 2 2 4 2" xfId="18115"/>
    <cellStyle name="Normal 5 6 2 3 2 2 2 5" xfId="10727"/>
    <cellStyle name="Normal 5 6 2 3 2 2 2 5 2" xfId="21443"/>
    <cellStyle name="Normal 5 6 2 3 2 2 2 6" xfId="14787"/>
    <cellStyle name="Normal 5 6 2 3 2 2 3" xfId="4476"/>
    <cellStyle name="Normal 5 6 2 3 2 2 3 2" xfId="6144"/>
    <cellStyle name="Normal 5 6 2 3 2 2 3 2 2" xfId="9479"/>
    <cellStyle name="Normal 5 6 2 3 2 2 3 2 2 2" xfId="20195"/>
    <cellStyle name="Normal 5 6 2 3 2 2 3 2 3" xfId="12807"/>
    <cellStyle name="Normal 5 6 2 3 2 2 3 2 3 2" xfId="23523"/>
    <cellStyle name="Normal 5 6 2 3 2 2 3 2 4" xfId="16867"/>
    <cellStyle name="Normal 5 6 2 3 2 2 3 3" xfId="7815"/>
    <cellStyle name="Normal 5 6 2 3 2 2 3 3 2" xfId="18531"/>
    <cellStyle name="Normal 5 6 2 3 2 2 3 4" xfId="11143"/>
    <cellStyle name="Normal 5 6 2 3 2 2 3 4 2" xfId="21859"/>
    <cellStyle name="Normal 5 6 2 3 2 2 3 5" xfId="15203"/>
    <cellStyle name="Normal 5 6 2 3 2 2 4" xfId="5312"/>
    <cellStyle name="Normal 5 6 2 3 2 2 4 2" xfId="8647"/>
    <cellStyle name="Normal 5 6 2 3 2 2 4 2 2" xfId="19363"/>
    <cellStyle name="Normal 5 6 2 3 2 2 4 3" xfId="11975"/>
    <cellStyle name="Normal 5 6 2 3 2 2 4 3 2" xfId="22691"/>
    <cellStyle name="Normal 5 6 2 3 2 2 4 4" xfId="16035"/>
    <cellStyle name="Normal 5 6 2 3 2 2 5" xfId="6982"/>
    <cellStyle name="Normal 5 6 2 3 2 2 5 2" xfId="17699"/>
    <cellStyle name="Normal 5 6 2 3 2 2 6" xfId="10311"/>
    <cellStyle name="Normal 5 6 2 3 2 2 6 2" xfId="21027"/>
    <cellStyle name="Normal 5 6 2 3 2 2 7" xfId="14370"/>
    <cellStyle name="Normal 5 6 2 3 2 3" xfId="3833"/>
    <cellStyle name="Normal 5 6 2 3 2 3 2" xfId="4684"/>
    <cellStyle name="Normal 5 6 2 3 2 3 2 2" xfId="6352"/>
    <cellStyle name="Normal 5 6 2 3 2 3 2 2 2" xfId="9687"/>
    <cellStyle name="Normal 5 6 2 3 2 3 2 2 2 2" xfId="20403"/>
    <cellStyle name="Normal 5 6 2 3 2 3 2 2 3" xfId="13015"/>
    <cellStyle name="Normal 5 6 2 3 2 3 2 2 3 2" xfId="23731"/>
    <cellStyle name="Normal 5 6 2 3 2 3 2 2 4" xfId="17075"/>
    <cellStyle name="Normal 5 6 2 3 2 3 2 3" xfId="8023"/>
    <cellStyle name="Normal 5 6 2 3 2 3 2 3 2" xfId="18739"/>
    <cellStyle name="Normal 5 6 2 3 2 3 2 4" xfId="11351"/>
    <cellStyle name="Normal 5 6 2 3 2 3 2 4 2" xfId="22067"/>
    <cellStyle name="Normal 5 6 2 3 2 3 2 5" xfId="15411"/>
    <cellStyle name="Normal 5 6 2 3 2 3 3" xfId="5520"/>
    <cellStyle name="Normal 5 6 2 3 2 3 3 2" xfId="8855"/>
    <cellStyle name="Normal 5 6 2 3 2 3 3 2 2" xfId="19571"/>
    <cellStyle name="Normal 5 6 2 3 2 3 3 3" xfId="12183"/>
    <cellStyle name="Normal 5 6 2 3 2 3 3 3 2" xfId="22899"/>
    <cellStyle name="Normal 5 6 2 3 2 3 3 4" xfId="16243"/>
    <cellStyle name="Normal 5 6 2 3 2 3 4" xfId="7191"/>
    <cellStyle name="Normal 5 6 2 3 2 3 4 2" xfId="17907"/>
    <cellStyle name="Normal 5 6 2 3 2 3 5" xfId="10519"/>
    <cellStyle name="Normal 5 6 2 3 2 3 5 2" xfId="21235"/>
    <cellStyle name="Normal 5 6 2 3 2 3 6" xfId="14579"/>
    <cellStyle name="Normal 5 6 2 3 2 4" xfId="4266"/>
    <cellStyle name="Normal 5 6 2 3 2 4 2" xfId="5936"/>
    <cellStyle name="Normal 5 6 2 3 2 4 2 2" xfId="9271"/>
    <cellStyle name="Normal 5 6 2 3 2 4 2 2 2" xfId="19987"/>
    <cellStyle name="Normal 5 6 2 3 2 4 2 3" xfId="12599"/>
    <cellStyle name="Normal 5 6 2 3 2 4 2 3 2" xfId="23315"/>
    <cellStyle name="Normal 5 6 2 3 2 4 2 4" xfId="16659"/>
    <cellStyle name="Normal 5 6 2 3 2 4 3" xfId="7607"/>
    <cellStyle name="Normal 5 6 2 3 2 4 3 2" xfId="18323"/>
    <cellStyle name="Normal 5 6 2 3 2 4 4" xfId="10935"/>
    <cellStyle name="Normal 5 6 2 3 2 4 4 2" xfId="21651"/>
    <cellStyle name="Normal 5 6 2 3 2 4 5" xfId="14995"/>
    <cellStyle name="Normal 5 6 2 3 2 5" xfId="5101"/>
    <cellStyle name="Normal 5 6 2 3 2 5 2" xfId="8439"/>
    <cellStyle name="Normal 5 6 2 3 2 5 2 2" xfId="19155"/>
    <cellStyle name="Normal 5 6 2 3 2 5 3" xfId="11767"/>
    <cellStyle name="Normal 5 6 2 3 2 5 3 2" xfId="22483"/>
    <cellStyle name="Normal 5 6 2 3 2 5 4" xfId="15827"/>
    <cellStyle name="Normal 5 6 2 3 2 6" xfId="6771"/>
    <cellStyle name="Normal 5 6 2 3 2 6 2" xfId="17491"/>
    <cellStyle name="Normal 5 6 2 3 2 7" xfId="10103"/>
    <cellStyle name="Normal 5 6 2 3 2 7 2" xfId="20819"/>
    <cellStyle name="Normal 5 6 2 3 2 8" xfId="14160"/>
    <cellStyle name="Normal 5 6 2 3 3" xfId="3123"/>
    <cellStyle name="Normal 5 6 2 3 3 2" xfId="4051"/>
    <cellStyle name="Normal 5 6 2 3 3 2 2" xfId="4891"/>
    <cellStyle name="Normal 5 6 2 3 3 2 2 2" xfId="6559"/>
    <cellStyle name="Normal 5 6 2 3 3 2 2 2 2" xfId="9894"/>
    <cellStyle name="Normal 5 6 2 3 3 2 2 2 2 2" xfId="20610"/>
    <cellStyle name="Normal 5 6 2 3 3 2 2 2 3" xfId="13222"/>
    <cellStyle name="Normal 5 6 2 3 3 2 2 2 3 2" xfId="23938"/>
    <cellStyle name="Normal 5 6 2 3 3 2 2 2 4" xfId="17282"/>
    <cellStyle name="Normal 5 6 2 3 3 2 2 3" xfId="8230"/>
    <cellStyle name="Normal 5 6 2 3 3 2 2 3 2" xfId="18946"/>
    <cellStyle name="Normal 5 6 2 3 3 2 2 4" xfId="11558"/>
    <cellStyle name="Normal 5 6 2 3 3 2 2 4 2" xfId="22274"/>
    <cellStyle name="Normal 5 6 2 3 3 2 2 5" xfId="15618"/>
    <cellStyle name="Normal 5 6 2 3 3 2 3" xfId="5727"/>
    <cellStyle name="Normal 5 6 2 3 3 2 3 2" xfId="9062"/>
    <cellStyle name="Normal 5 6 2 3 3 2 3 2 2" xfId="19778"/>
    <cellStyle name="Normal 5 6 2 3 3 2 3 3" xfId="12390"/>
    <cellStyle name="Normal 5 6 2 3 3 2 3 3 2" xfId="23106"/>
    <cellStyle name="Normal 5 6 2 3 3 2 3 4" xfId="16450"/>
    <cellStyle name="Normal 5 6 2 3 3 2 4" xfId="7398"/>
    <cellStyle name="Normal 5 6 2 3 3 2 4 2" xfId="18114"/>
    <cellStyle name="Normal 5 6 2 3 3 2 5" xfId="10726"/>
    <cellStyle name="Normal 5 6 2 3 3 2 5 2" xfId="21442"/>
    <cellStyle name="Normal 5 6 2 3 3 2 6" xfId="14786"/>
    <cellStyle name="Normal 5 6 2 3 3 3" xfId="4475"/>
    <cellStyle name="Normal 5 6 2 3 3 3 2" xfId="6143"/>
    <cellStyle name="Normal 5 6 2 3 3 3 2 2" xfId="9478"/>
    <cellStyle name="Normal 5 6 2 3 3 3 2 2 2" xfId="20194"/>
    <cellStyle name="Normal 5 6 2 3 3 3 2 3" xfId="12806"/>
    <cellStyle name="Normal 5 6 2 3 3 3 2 3 2" xfId="23522"/>
    <cellStyle name="Normal 5 6 2 3 3 3 2 4" xfId="16866"/>
    <cellStyle name="Normal 5 6 2 3 3 3 3" xfId="7814"/>
    <cellStyle name="Normal 5 6 2 3 3 3 3 2" xfId="18530"/>
    <cellStyle name="Normal 5 6 2 3 3 3 4" xfId="11142"/>
    <cellStyle name="Normal 5 6 2 3 3 3 4 2" xfId="21858"/>
    <cellStyle name="Normal 5 6 2 3 3 3 5" xfId="15202"/>
    <cellStyle name="Normal 5 6 2 3 3 4" xfId="5311"/>
    <cellStyle name="Normal 5 6 2 3 3 4 2" xfId="8646"/>
    <cellStyle name="Normal 5 6 2 3 3 4 2 2" xfId="19362"/>
    <cellStyle name="Normal 5 6 2 3 3 4 3" xfId="11974"/>
    <cellStyle name="Normal 5 6 2 3 3 4 3 2" xfId="22690"/>
    <cellStyle name="Normal 5 6 2 3 3 4 4" xfId="16034"/>
    <cellStyle name="Normal 5 6 2 3 3 5" xfId="6981"/>
    <cellStyle name="Normal 5 6 2 3 3 5 2" xfId="17698"/>
    <cellStyle name="Normal 5 6 2 3 3 6" xfId="10310"/>
    <cellStyle name="Normal 5 6 2 3 3 6 2" xfId="21026"/>
    <cellStyle name="Normal 5 6 2 3 3 7" xfId="14369"/>
    <cellStyle name="Normal 5 6 2 3 4" xfId="3832"/>
    <cellStyle name="Normal 5 6 2 3 4 2" xfId="4683"/>
    <cellStyle name="Normal 5 6 2 3 4 2 2" xfId="6351"/>
    <cellStyle name="Normal 5 6 2 3 4 2 2 2" xfId="9686"/>
    <cellStyle name="Normal 5 6 2 3 4 2 2 2 2" xfId="20402"/>
    <cellStyle name="Normal 5 6 2 3 4 2 2 3" xfId="13014"/>
    <cellStyle name="Normal 5 6 2 3 4 2 2 3 2" xfId="23730"/>
    <cellStyle name="Normal 5 6 2 3 4 2 2 4" xfId="17074"/>
    <cellStyle name="Normal 5 6 2 3 4 2 3" xfId="8022"/>
    <cellStyle name="Normal 5 6 2 3 4 2 3 2" xfId="18738"/>
    <cellStyle name="Normal 5 6 2 3 4 2 4" xfId="11350"/>
    <cellStyle name="Normal 5 6 2 3 4 2 4 2" xfId="22066"/>
    <cellStyle name="Normal 5 6 2 3 4 2 5" xfId="15410"/>
    <cellStyle name="Normal 5 6 2 3 4 3" xfId="5519"/>
    <cellStyle name="Normal 5 6 2 3 4 3 2" xfId="8854"/>
    <cellStyle name="Normal 5 6 2 3 4 3 2 2" xfId="19570"/>
    <cellStyle name="Normal 5 6 2 3 4 3 3" xfId="12182"/>
    <cellStyle name="Normal 5 6 2 3 4 3 3 2" xfId="22898"/>
    <cellStyle name="Normal 5 6 2 3 4 3 4" xfId="16242"/>
    <cellStyle name="Normal 5 6 2 3 4 4" xfId="7190"/>
    <cellStyle name="Normal 5 6 2 3 4 4 2" xfId="17906"/>
    <cellStyle name="Normal 5 6 2 3 4 5" xfId="10518"/>
    <cellStyle name="Normal 5 6 2 3 4 5 2" xfId="21234"/>
    <cellStyle name="Normal 5 6 2 3 4 6" xfId="14578"/>
    <cellStyle name="Normal 5 6 2 3 5" xfId="4265"/>
    <cellStyle name="Normal 5 6 2 3 5 2" xfId="5935"/>
    <cellStyle name="Normal 5 6 2 3 5 2 2" xfId="9270"/>
    <cellStyle name="Normal 5 6 2 3 5 2 2 2" xfId="19986"/>
    <cellStyle name="Normal 5 6 2 3 5 2 3" xfId="12598"/>
    <cellStyle name="Normal 5 6 2 3 5 2 3 2" xfId="23314"/>
    <cellStyle name="Normal 5 6 2 3 5 2 4" xfId="16658"/>
    <cellStyle name="Normal 5 6 2 3 5 3" xfId="7606"/>
    <cellStyle name="Normal 5 6 2 3 5 3 2" xfId="18322"/>
    <cellStyle name="Normal 5 6 2 3 5 4" xfId="10934"/>
    <cellStyle name="Normal 5 6 2 3 5 4 2" xfId="21650"/>
    <cellStyle name="Normal 5 6 2 3 5 5" xfId="14994"/>
    <cellStyle name="Normal 5 6 2 3 6" xfId="5100"/>
    <cellStyle name="Normal 5 6 2 3 6 2" xfId="8438"/>
    <cellStyle name="Normal 5 6 2 3 6 2 2" xfId="19154"/>
    <cellStyle name="Normal 5 6 2 3 6 3" xfId="11766"/>
    <cellStyle name="Normal 5 6 2 3 6 3 2" xfId="22482"/>
    <cellStyle name="Normal 5 6 2 3 6 4" xfId="15826"/>
    <cellStyle name="Normal 5 6 2 3 7" xfId="6770"/>
    <cellStyle name="Normal 5 6 2 3 7 2" xfId="17490"/>
    <cellStyle name="Normal 5 6 2 3 8" xfId="10102"/>
    <cellStyle name="Normal 5 6 2 3 8 2" xfId="20818"/>
    <cellStyle name="Normal 5 6 2 3 9" xfId="14159"/>
    <cellStyle name="Normal 5 6 2 4" xfId="1441"/>
    <cellStyle name="Normal 5 6 2 4 2" xfId="3125"/>
    <cellStyle name="Normal 5 6 2 4 2 2" xfId="4053"/>
    <cellStyle name="Normal 5 6 2 4 2 2 2" xfId="4893"/>
    <cellStyle name="Normal 5 6 2 4 2 2 2 2" xfId="6561"/>
    <cellStyle name="Normal 5 6 2 4 2 2 2 2 2" xfId="9896"/>
    <cellStyle name="Normal 5 6 2 4 2 2 2 2 2 2" xfId="20612"/>
    <cellStyle name="Normal 5 6 2 4 2 2 2 2 3" xfId="13224"/>
    <cellStyle name="Normal 5 6 2 4 2 2 2 2 3 2" xfId="23940"/>
    <cellStyle name="Normal 5 6 2 4 2 2 2 2 4" xfId="17284"/>
    <cellStyle name="Normal 5 6 2 4 2 2 2 3" xfId="8232"/>
    <cellStyle name="Normal 5 6 2 4 2 2 2 3 2" xfId="18948"/>
    <cellStyle name="Normal 5 6 2 4 2 2 2 4" xfId="11560"/>
    <cellStyle name="Normal 5 6 2 4 2 2 2 4 2" xfId="22276"/>
    <cellStyle name="Normal 5 6 2 4 2 2 2 5" xfId="15620"/>
    <cellStyle name="Normal 5 6 2 4 2 2 3" xfId="5729"/>
    <cellStyle name="Normal 5 6 2 4 2 2 3 2" xfId="9064"/>
    <cellStyle name="Normal 5 6 2 4 2 2 3 2 2" xfId="19780"/>
    <cellStyle name="Normal 5 6 2 4 2 2 3 3" xfId="12392"/>
    <cellStyle name="Normal 5 6 2 4 2 2 3 3 2" xfId="23108"/>
    <cellStyle name="Normal 5 6 2 4 2 2 3 4" xfId="16452"/>
    <cellStyle name="Normal 5 6 2 4 2 2 4" xfId="7400"/>
    <cellStyle name="Normal 5 6 2 4 2 2 4 2" xfId="18116"/>
    <cellStyle name="Normal 5 6 2 4 2 2 5" xfId="10728"/>
    <cellStyle name="Normal 5 6 2 4 2 2 5 2" xfId="21444"/>
    <cellStyle name="Normal 5 6 2 4 2 2 6" xfId="14788"/>
    <cellStyle name="Normal 5 6 2 4 2 3" xfId="4477"/>
    <cellStyle name="Normal 5 6 2 4 2 3 2" xfId="6145"/>
    <cellStyle name="Normal 5 6 2 4 2 3 2 2" xfId="9480"/>
    <cellStyle name="Normal 5 6 2 4 2 3 2 2 2" xfId="20196"/>
    <cellStyle name="Normal 5 6 2 4 2 3 2 3" xfId="12808"/>
    <cellStyle name="Normal 5 6 2 4 2 3 2 3 2" xfId="23524"/>
    <cellStyle name="Normal 5 6 2 4 2 3 2 4" xfId="16868"/>
    <cellStyle name="Normal 5 6 2 4 2 3 3" xfId="7816"/>
    <cellStyle name="Normal 5 6 2 4 2 3 3 2" xfId="18532"/>
    <cellStyle name="Normal 5 6 2 4 2 3 4" xfId="11144"/>
    <cellStyle name="Normal 5 6 2 4 2 3 4 2" xfId="21860"/>
    <cellStyle name="Normal 5 6 2 4 2 3 5" xfId="15204"/>
    <cellStyle name="Normal 5 6 2 4 2 4" xfId="5313"/>
    <cellStyle name="Normal 5 6 2 4 2 4 2" xfId="8648"/>
    <cellStyle name="Normal 5 6 2 4 2 4 2 2" xfId="19364"/>
    <cellStyle name="Normal 5 6 2 4 2 4 3" xfId="11976"/>
    <cellStyle name="Normal 5 6 2 4 2 4 3 2" xfId="22692"/>
    <cellStyle name="Normal 5 6 2 4 2 4 4" xfId="16036"/>
    <cellStyle name="Normal 5 6 2 4 2 5" xfId="6983"/>
    <cellStyle name="Normal 5 6 2 4 2 5 2" xfId="17700"/>
    <cellStyle name="Normal 5 6 2 4 2 6" xfId="10312"/>
    <cellStyle name="Normal 5 6 2 4 2 6 2" xfId="21028"/>
    <cellStyle name="Normal 5 6 2 4 2 7" xfId="14371"/>
    <cellStyle name="Normal 5 6 2 4 3" xfId="3834"/>
    <cellStyle name="Normal 5 6 2 4 3 2" xfId="4685"/>
    <cellStyle name="Normal 5 6 2 4 3 2 2" xfId="6353"/>
    <cellStyle name="Normal 5 6 2 4 3 2 2 2" xfId="9688"/>
    <cellStyle name="Normal 5 6 2 4 3 2 2 2 2" xfId="20404"/>
    <cellStyle name="Normal 5 6 2 4 3 2 2 3" xfId="13016"/>
    <cellStyle name="Normal 5 6 2 4 3 2 2 3 2" xfId="23732"/>
    <cellStyle name="Normal 5 6 2 4 3 2 2 4" xfId="17076"/>
    <cellStyle name="Normal 5 6 2 4 3 2 3" xfId="8024"/>
    <cellStyle name="Normal 5 6 2 4 3 2 3 2" xfId="18740"/>
    <cellStyle name="Normal 5 6 2 4 3 2 4" xfId="11352"/>
    <cellStyle name="Normal 5 6 2 4 3 2 4 2" xfId="22068"/>
    <cellStyle name="Normal 5 6 2 4 3 2 5" xfId="15412"/>
    <cellStyle name="Normal 5 6 2 4 3 3" xfId="5521"/>
    <cellStyle name="Normal 5 6 2 4 3 3 2" xfId="8856"/>
    <cellStyle name="Normal 5 6 2 4 3 3 2 2" xfId="19572"/>
    <cellStyle name="Normal 5 6 2 4 3 3 3" xfId="12184"/>
    <cellStyle name="Normal 5 6 2 4 3 3 3 2" xfId="22900"/>
    <cellStyle name="Normal 5 6 2 4 3 3 4" xfId="16244"/>
    <cellStyle name="Normal 5 6 2 4 3 4" xfId="7192"/>
    <cellStyle name="Normal 5 6 2 4 3 4 2" xfId="17908"/>
    <cellStyle name="Normal 5 6 2 4 3 5" xfId="10520"/>
    <cellStyle name="Normal 5 6 2 4 3 5 2" xfId="21236"/>
    <cellStyle name="Normal 5 6 2 4 3 6" xfId="14580"/>
    <cellStyle name="Normal 5 6 2 4 4" xfId="4267"/>
    <cellStyle name="Normal 5 6 2 4 4 2" xfId="5937"/>
    <cellStyle name="Normal 5 6 2 4 4 2 2" xfId="9272"/>
    <cellStyle name="Normal 5 6 2 4 4 2 2 2" xfId="19988"/>
    <cellStyle name="Normal 5 6 2 4 4 2 3" xfId="12600"/>
    <cellStyle name="Normal 5 6 2 4 4 2 3 2" xfId="23316"/>
    <cellStyle name="Normal 5 6 2 4 4 2 4" xfId="16660"/>
    <cellStyle name="Normal 5 6 2 4 4 3" xfId="7608"/>
    <cellStyle name="Normal 5 6 2 4 4 3 2" xfId="18324"/>
    <cellStyle name="Normal 5 6 2 4 4 4" xfId="10936"/>
    <cellStyle name="Normal 5 6 2 4 4 4 2" xfId="21652"/>
    <cellStyle name="Normal 5 6 2 4 4 5" xfId="14996"/>
    <cellStyle name="Normal 5 6 2 4 5" xfId="5102"/>
    <cellStyle name="Normal 5 6 2 4 5 2" xfId="8440"/>
    <cellStyle name="Normal 5 6 2 4 5 2 2" xfId="19156"/>
    <cellStyle name="Normal 5 6 2 4 5 3" xfId="11768"/>
    <cellStyle name="Normal 5 6 2 4 5 3 2" xfId="22484"/>
    <cellStyle name="Normal 5 6 2 4 5 4" xfId="15828"/>
    <cellStyle name="Normal 5 6 2 4 6" xfId="6772"/>
    <cellStyle name="Normal 5 6 2 4 6 2" xfId="17492"/>
    <cellStyle name="Normal 5 6 2 4 7" xfId="10104"/>
    <cellStyle name="Normal 5 6 2 4 7 2" xfId="20820"/>
    <cellStyle name="Normal 5 6 2 4 8" xfId="14161"/>
    <cellStyle name="Normal 5 6 2 5" xfId="3118"/>
    <cellStyle name="Normal 5 6 2 5 2" xfId="4046"/>
    <cellStyle name="Normal 5 6 2 5 2 2" xfId="4886"/>
    <cellStyle name="Normal 5 6 2 5 2 2 2" xfId="6554"/>
    <cellStyle name="Normal 5 6 2 5 2 2 2 2" xfId="9889"/>
    <cellStyle name="Normal 5 6 2 5 2 2 2 2 2" xfId="20605"/>
    <cellStyle name="Normal 5 6 2 5 2 2 2 3" xfId="13217"/>
    <cellStyle name="Normal 5 6 2 5 2 2 2 3 2" xfId="23933"/>
    <cellStyle name="Normal 5 6 2 5 2 2 2 4" xfId="17277"/>
    <cellStyle name="Normal 5 6 2 5 2 2 3" xfId="8225"/>
    <cellStyle name="Normal 5 6 2 5 2 2 3 2" xfId="18941"/>
    <cellStyle name="Normal 5 6 2 5 2 2 4" xfId="11553"/>
    <cellStyle name="Normal 5 6 2 5 2 2 4 2" xfId="22269"/>
    <cellStyle name="Normal 5 6 2 5 2 2 5" xfId="15613"/>
    <cellStyle name="Normal 5 6 2 5 2 3" xfId="5722"/>
    <cellStyle name="Normal 5 6 2 5 2 3 2" xfId="9057"/>
    <cellStyle name="Normal 5 6 2 5 2 3 2 2" xfId="19773"/>
    <cellStyle name="Normal 5 6 2 5 2 3 3" xfId="12385"/>
    <cellStyle name="Normal 5 6 2 5 2 3 3 2" xfId="23101"/>
    <cellStyle name="Normal 5 6 2 5 2 3 4" xfId="16445"/>
    <cellStyle name="Normal 5 6 2 5 2 4" xfId="7393"/>
    <cellStyle name="Normal 5 6 2 5 2 4 2" xfId="18109"/>
    <cellStyle name="Normal 5 6 2 5 2 5" xfId="10721"/>
    <cellStyle name="Normal 5 6 2 5 2 5 2" xfId="21437"/>
    <cellStyle name="Normal 5 6 2 5 2 6" xfId="14781"/>
    <cellStyle name="Normal 5 6 2 5 3" xfId="4470"/>
    <cellStyle name="Normal 5 6 2 5 3 2" xfId="6138"/>
    <cellStyle name="Normal 5 6 2 5 3 2 2" xfId="9473"/>
    <cellStyle name="Normal 5 6 2 5 3 2 2 2" xfId="20189"/>
    <cellStyle name="Normal 5 6 2 5 3 2 3" xfId="12801"/>
    <cellStyle name="Normal 5 6 2 5 3 2 3 2" xfId="23517"/>
    <cellStyle name="Normal 5 6 2 5 3 2 4" xfId="16861"/>
    <cellStyle name="Normal 5 6 2 5 3 3" xfId="7809"/>
    <cellStyle name="Normal 5 6 2 5 3 3 2" xfId="18525"/>
    <cellStyle name="Normal 5 6 2 5 3 4" xfId="11137"/>
    <cellStyle name="Normal 5 6 2 5 3 4 2" xfId="21853"/>
    <cellStyle name="Normal 5 6 2 5 3 5" xfId="15197"/>
    <cellStyle name="Normal 5 6 2 5 4" xfId="5306"/>
    <cellStyle name="Normal 5 6 2 5 4 2" xfId="8641"/>
    <cellStyle name="Normal 5 6 2 5 4 2 2" xfId="19357"/>
    <cellStyle name="Normal 5 6 2 5 4 3" xfId="11969"/>
    <cellStyle name="Normal 5 6 2 5 4 3 2" xfId="22685"/>
    <cellStyle name="Normal 5 6 2 5 4 4" xfId="16029"/>
    <cellStyle name="Normal 5 6 2 5 5" xfId="6976"/>
    <cellStyle name="Normal 5 6 2 5 5 2" xfId="17693"/>
    <cellStyle name="Normal 5 6 2 5 6" xfId="10305"/>
    <cellStyle name="Normal 5 6 2 5 6 2" xfId="21021"/>
    <cellStyle name="Normal 5 6 2 5 7" xfId="14364"/>
    <cellStyle name="Normal 5 6 2 6" xfId="3827"/>
    <cellStyle name="Normal 5 6 2 6 2" xfId="4678"/>
    <cellStyle name="Normal 5 6 2 6 2 2" xfId="6346"/>
    <cellStyle name="Normal 5 6 2 6 2 2 2" xfId="9681"/>
    <cellStyle name="Normal 5 6 2 6 2 2 2 2" xfId="20397"/>
    <cellStyle name="Normal 5 6 2 6 2 2 3" xfId="13009"/>
    <cellStyle name="Normal 5 6 2 6 2 2 3 2" xfId="23725"/>
    <cellStyle name="Normal 5 6 2 6 2 2 4" xfId="17069"/>
    <cellStyle name="Normal 5 6 2 6 2 3" xfId="8017"/>
    <cellStyle name="Normal 5 6 2 6 2 3 2" xfId="18733"/>
    <cellStyle name="Normal 5 6 2 6 2 4" xfId="11345"/>
    <cellStyle name="Normal 5 6 2 6 2 4 2" xfId="22061"/>
    <cellStyle name="Normal 5 6 2 6 2 5" xfId="15405"/>
    <cellStyle name="Normal 5 6 2 6 3" xfId="5514"/>
    <cellStyle name="Normal 5 6 2 6 3 2" xfId="8849"/>
    <cellStyle name="Normal 5 6 2 6 3 2 2" xfId="19565"/>
    <cellStyle name="Normal 5 6 2 6 3 3" xfId="12177"/>
    <cellStyle name="Normal 5 6 2 6 3 3 2" xfId="22893"/>
    <cellStyle name="Normal 5 6 2 6 3 4" xfId="16237"/>
    <cellStyle name="Normal 5 6 2 6 4" xfId="7185"/>
    <cellStyle name="Normal 5 6 2 6 4 2" xfId="17901"/>
    <cellStyle name="Normal 5 6 2 6 5" xfId="10513"/>
    <cellStyle name="Normal 5 6 2 6 5 2" xfId="21229"/>
    <cellStyle name="Normal 5 6 2 6 6" xfId="14573"/>
    <cellStyle name="Normal 5 6 2 7" xfId="4260"/>
    <cellStyle name="Normal 5 6 2 7 2" xfId="5930"/>
    <cellStyle name="Normal 5 6 2 7 2 2" xfId="9265"/>
    <cellStyle name="Normal 5 6 2 7 2 2 2" xfId="19981"/>
    <cellStyle name="Normal 5 6 2 7 2 3" xfId="12593"/>
    <cellStyle name="Normal 5 6 2 7 2 3 2" xfId="23309"/>
    <cellStyle name="Normal 5 6 2 7 2 4" xfId="16653"/>
    <cellStyle name="Normal 5 6 2 7 3" xfId="7601"/>
    <cellStyle name="Normal 5 6 2 7 3 2" xfId="18317"/>
    <cellStyle name="Normal 5 6 2 7 4" xfId="10929"/>
    <cellStyle name="Normal 5 6 2 7 4 2" xfId="21645"/>
    <cellStyle name="Normal 5 6 2 7 5" xfId="14989"/>
    <cellStyle name="Normal 5 6 2 8" xfId="5095"/>
    <cellStyle name="Normal 5 6 2 8 2" xfId="8433"/>
    <cellStyle name="Normal 5 6 2 8 2 2" xfId="19149"/>
    <cellStyle name="Normal 5 6 2 8 3" xfId="11761"/>
    <cellStyle name="Normal 5 6 2 8 3 2" xfId="22477"/>
    <cellStyle name="Normal 5 6 2 8 4" xfId="15821"/>
    <cellStyle name="Normal 5 6 2 9" xfId="6765"/>
    <cellStyle name="Normal 5 6 2 9 2" xfId="17485"/>
    <cellStyle name="Normal 5 6 3" xfId="1442"/>
    <cellStyle name="Normal 5 6 3 10" xfId="14162"/>
    <cellStyle name="Normal 5 6 3 2" xfId="1443"/>
    <cellStyle name="Normal 5 6 3 2 2" xfId="1444"/>
    <cellStyle name="Normal 5 6 3 2 2 2" xfId="3128"/>
    <cellStyle name="Normal 5 6 3 2 2 2 2" xfId="4056"/>
    <cellStyle name="Normal 5 6 3 2 2 2 2 2" xfId="4896"/>
    <cellStyle name="Normal 5 6 3 2 2 2 2 2 2" xfId="6564"/>
    <cellStyle name="Normal 5 6 3 2 2 2 2 2 2 2" xfId="9899"/>
    <cellStyle name="Normal 5 6 3 2 2 2 2 2 2 2 2" xfId="20615"/>
    <cellStyle name="Normal 5 6 3 2 2 2 2 2 2 3" xfId="13227"/>
    <cellStyle name="Normal 5 6 3 2 2 2 2 2 2 3 2" xfId="23943"/>
    <cellStyle name="Normal 5 6 3 2 2 2 2 2 2 4" xfId="17287"/>
    <cellStyle name="Normal 5 6 3 2 2 2 2 2 3" xfId="8235"/>
    <cellStyle name="Normal 5 6 3 2 2 2 2 2 3 2" xfId="18951"/>
    <cellStyle name="Normal 5 6 3 2 2 2 2 2 4" xfId="11563"/>
    <cellStyle name="Normal 5 6 3 2 2 2 2 2 4 2" xfId="22279"/>
    <cellStyle name="Normal 5 6 3 2 2 2 2 2 5" xfId="15623"/>
    <cellStyle name="Normal 5 6 3 2 2 2 2 3" xfId="5732"/>
    <cellStyle name="Normal 5 6 3 2 2 2 2 3 2" xfId="9067"/>
    <cellStyle name="Normal 5 6 3 2 2 2 2 3 2 2" xfId="19783"/>
    <cellStyle name="Normal 5 6 3 2 2 2 2 3 3" xfId="12395"/>
    <cellStyle name="Normal 5 6 3 2 2 2 2 3 3 2" xfId="23111"/>
    <cellStyle name="Normal 5 6 3 2 2 2 2 3 4" xfId="16455"/>
    <cellStyle name="Normal 5 6 3 2 2 2 2 4" xfId="7403"/>
    <cellStyle name="Normal 5 6 3 2 2 2 2 4 2" xfId="18119"/>
    <cellStyle name="Normal 5 6 3 2 2 2 2 5" xfId="10731"/>
    <cellStyle name="Normal 5 6 3 2 2 2 2 5 2" xfId="21447"/>
    <cellStyle name="Normal 5 6 3 2 2 2 2 6" xfId="14791"/>
    <cellStyle name="Normal 5 6 3 2 2 2 3" xfId="4480"/>
    <cellStyle name="Normal 5 6 3 2 2 2 3 2" xfId="6148"/>
    <cellStyle name="Normal 5 6 3 2 2 2 3 2 2" xfId="9483"/>
    <cellStyle name="Normal 5 6 3 2 2 2 3 2 2 2" xfId="20199"/>
    <cellStyle name="Normal 5 6 3 2 2 2 3 2 3" xfId="12811"/>
    <cellStyle name="Normal 5 6 3 2 2 2 3 2 3 2" xfId="23527"/>
    <cellStyle name="Normal 5 6 3 2 2 2 3 2 4" xfId="16871"/>
    <cellStyle name="Normal 5 6 3 2 2 2 3 3" xfId="7819"/>
    <cellStyle name="Normal 5 6 3 2 2 2 3 3 2" xfId="18535"/>
    <cellStyle name="Normal 5 6 3 2 2 2 3 4" xfId="11147"/>
    <cellStyle name="Normal 5 6 3 2 2 2 3 4 2" xfId="21863"/>
    <cellStyle name="Normal 5 6 3 2 2 2 3 5" xfId="15207"/>
    <cellStyle name="Normal 5 6 3 2 2 2 4" xfId="5316"/>
    <cellStyle name="Normal 5 6 3 2 2 2 4 2" xfId="8651"/>
    <cellStyle name="Normal 5 6 3 2 2 2 4 2 2" xfId="19367"/>
    <cellStyle name="Normal 5 6 3 2 2 2 4 3" xfId="11979"/>
    <cellStyle name="Normal 5 6 3 2 2 2 4 3 2" xfId="22695"/>
    <cellStyle name="Normal 5 6 3 2 2 2 4 4" xfId="16039"/>
    <cellStyle name="Normal 5 6 3 2 2 2 5" xfId="6986"/>
    <cellStyle name="Normal 5 6 3 2 2 2 5 2" xfId="17703"/>
    <cellStyle name="Normal 5 6 3 2 2 2 6" xfId="10315"/>
    <cellStyle name="Normal 5 6 3 2 2 2 6 2" xfId="21031"/>
    <cellStyle name="Normal 5 6 3 2 2 2 7" xfId="14374"/>
    <cellStyle name="Normal 5 6 3 2 2 3" xfId="3837"/>
    <cellStyle name="Normal 5 6 3 2 2 3 2" xfId="4688"/>
    <cellStyle name="Normal 5 6 3 2 2 3 2 2" xfId="6356"/>
    <cellStyle name="Normal 5 6 3 2 2 3 2 2 2" xfId="9691"/>
    <cellStyle name="Normal 5 6 3 2 2 3 2 2 2 2" xfId="20407"/>
    <cellStyle name="Normal 5 6 3 2 2 3 2 2 3" xfId="13019"/>
    <cellStyle name="Normal 5 6 3 2 2 3 2 2 3 2" xfId="23735"/>
    <cellStyle name="Normal 5 6 3 2 2 3 2 2 4" xfId="17079"/>
    <cellStyle name="Normal 5 6 3 2 2 3 2 3" xfId="8027"/>
    <cellStyle name="Normal 5 6 3 2 2 3 2 3 2" xfId="18743"/>
    <cellStyle name="Normal 5 6 3 2 2 3 2 4" xfId="11355"/>
    <cellStyle name="Normal 5 6 3 2 2 3 2 4 2" xfId="22071"/>
    <cellStyle name="Normal 5 6 3 2 2 3 2 5" xfId="15415"/>
    <cellStyle name="Normal 5 6 3 2 2 3 3" xfId="5524"/>
    <cellStyle name="Normal 5 6 3 2 2 3 3 2" xfId="8859"/>
    <cellStyle name="Normal 5 6 3 2 2 3 3 2 2" xfId="19575"/>
    <cellStyle name="Normal 5 6 3 2 2 3 3 3" xfId="12187"/>
    <cellStyle name="Normal 5 6 3 2 2 3 3 3 2" xfId="22903"/>
    <cellStyle name="Normal 5 6 3 2 2 3 3 4" xfId="16247"/>
    <cellStyle name="Normal 5 6 3 2 2 3 4" xfId="7195"/>
    <cellStyle name="Normal 5 6 3 2 2 3 4 2" xfId="17911"/>
    <cellStyle name="Normal 5 6 3 2 2 3 5" xfId="10523"/>
    <cellStyle name="Normal 5 6 3 2 2 3 5 2" xfId="21239"/>
    <cellStyle name="Normal 5 6 3 2 2 3 6" xfId="14583"/>
    <cellStyle name="Normal 5 6 3 2 2 4" xfId="4270"/>
    <cellStyle name="Normal 5 6 3 2 2 4 2" xfId="5940"/>
    <cellStyle name="Normal 5 6 3 2 2 4 2 2" xfId="9275"/>
    <cellStyle name="Normal 5 6 3 2 2 4 2 2 2" xfId="19991"/>
    <cellStyle name="Normal 5 6 3 2 2 4 2 3" xfId="12603"/>
    <cellStyle name="Normal 5 6 3 2 2 4 2 3 2" xfId="23319"/>
    <cellStyle name="Normal 5 6 3 2 2 4 2 4" xfId="16663"/>
    <cellStyle name="Normal 5 6 3 2 2 4 3" xfId="7611"/>
    <cellStyle name="Normal 5 6 3 2 2 4 3 2" xfId="18327"/>
    <cellStyle name="Normal 5 6 3 2 2 4 4" xfId="10939"/>
    <cellStyle name="Normal 5 6 3 2 2 4 4 2" xfId="21655"/>
    <cellStyle name="Normal 5 6 3 2 2 4 5" xfId="14999"/>
    <cellStyle name="Normal 5 6 3 2 2 5" xfId="5105"/>
    <cellStyle name="Normal 5 6 3 2 2 5 2" xfId="8443"/>
    <cellStyle name="Normal 5 6 3 2 2 5 2 2" xfId="19159"/>
    <cellStyle name="Normal 5 6 3 2 2 5 3" xfId="11771"/>
    <cellStyle name="Normal 5 6 3 2 2 5 3 2" xfId="22487"/>
    <cellStyle name="Normal 5 6 3 2 2 5 4" xfId="15831"/>
    <cellStyle name="Normal 5 6 3 2 2 6" xfId="6775"/>
    <cellStyle name="Normal 5 6 3 2 2 6 2" xfId="17495"/>
    <cellStyle name="Normal 5 6 3 2 2 7" xfId="10107"/>
    <cellStyle name="Normal 5 6 3 2 2 7 2" xfId="20823"/>
    <cellStyle name="Normal 5 6 3 2 2 8" xfId="14164"/>
    <cellStyle name="Normal 5 6 3 2 3" xfId="3127"/>
    <cellStyle name="Normal 5 6 3 2 3 2" xfId="4055"/>
    <cellStyle name="Normal 5 6 3 2 3 2 2" xfId="4895"/>
    <cellStyle name="Normal 5 6 3 2 3 2 2 2" xfId="6563"/>
    <cellStyle name="Normal 5 6 3 2 3 2 2 2 2" xfId="9898"/>
    <cellStyle name="Normal 5 6 3 2 3 2 2 2 2 2" xfId="20614"/>
    <cellStyle name="Normal 5 6 3 2 3 2 2 2 3" xfId="13226"/>
    <cellStyle name="Normal 5 6 3 2 3 2 2 2 3 2" xfId="23942"/>
    <cellStyle name="Normal 5 6 3 2 3 2 2 2 4" xfId="17286"/>
    <cellStyle name="Normal 5 6 3 2 3 2 2 3" xfId="8234"/>
    <cellStyle name="Normal 5 6 3 2 3 2 2 3 2" xfId="18950"/>
    <cellStyle name="Normal 5 6 3 2 3 2 2 4" xfId="11562"/>
    <cellStyle name="Normal 5 6 3 2 3 2 2 4 2" xfId="22278"/>
    <cellStyle name="Normal 5 6 3 2 3 2 2 5" xfId="15622"/>
    <cellStyle name="Normal 5 6 3 2 3 2 3" xfId="5731"/>
    <cellStyle name="Normal 5 6 3 2 3 2 3 2" xfId="9066"/>
    <cellStyle name="Normal 5 6 3 2 3 2 3 2 2" xfId="19782"/>
    <cellStyle name="Normal 5 6 3 2 3 2 3 3" xfId="12394"/>
    <cellStyle name="Normal 5 6 3 2 3 2 3 3 2" xfId="23110"/>
    <cellStyle name="Normal 5 6 3 2 3 2 3 4" xfId="16454"/>
    <cellStyle name="Normal 5 6 3 2 3 2 4" xfId="7402"/>
    <cellStyle name="Normal 5 6 3 2 3 2 4 2" xfId="18118"/>
    <cellStyle name="Normal 5 6 3 2 3 2 5" xfId="10730"/>
    <cellStyle name="Normal 5 6 3 2 3 2 5 2" xfId="21446"/>
    <cellStyle name="Normal 5 6 3 2 3 2 6" xfId="14790"/>
    <cellStyle name="Normal 5 6 3 2 3 3" xfId="4479"/>
    <cellStyle name="Normal 5 6 3 2 3 3 2" xfId="6147"/>
    <cellStyle name="Normal 5 6 3 2 3 3 2 2" xfId="9482"/>
    <cellStyle name="Normal 5 6 3 2 3 3 2 2 2" xfId="20198"/>
    <cellStyle name="Normal 5 6 3 2 3 3 2 3" xfId="12810"/>
    <cellStyle name="Normal 5 6 3 2 3 3 2 3 2" xfId="23526"/>
    <cellStyle name="Normal 5 6 3 2 3 3 2 4" xfId="16870"/>
    <cellStyle name="Normal 5 6 3 2 3 3 3" xfId="7818"/>
    <cellStyle name="Normal 5 6 3 2 3 3 3 2" xfId="18534"/>
    <cellStyle name="Normal 5 6 3 2 3 3 4" xfId="11146"/>
    <cellStyle name="Normal 5 6 3 2 3 3 4 2" xfId="21862"/>
    <cellStyle name="Normal 5 6 3 2 3 3 5" xfId="15206"/>
    <cellStyle name="Normal 5 6 3 2 3 4" xfId="5315"/>
    <cellStyle name="Normal 5 6 3 2 3 4 2" xfId="8650"/>
    <cellStyle name="Normal 5 6 3 2 3 4 2 2" xfId="19366"/>
    <cellStyle name="Normal 5 6 3 2 3 4 3" xfId="11978"/>
    <cellStyle name="Normal 5 6 3 2 3 4 3 2" xfId="22694"/>
    <cellStyle name="Normal 5 6 3 2 3 4 4" xfId="16038"/>
    <cellStyle name="Normal 5 6 3 2 3 5" xfId="6985"/>
    <cellStyle name="Normal 5 6 3 2 3 5 2" xfId="17702"/>
    <cellStyle name="Normal 5 6 3 2 3 6" xfId="10314"/>
    <cellStyle name="Normal 5 6 3 2 3 6 2" xfId="21030"/>
    <cellStyle name="Normal 5 6 3 2 3 7" xfId="14373"/>
    <cellStyle name="Normal 5 6 3 2 4" xfId="3836"/>
    <cellStyle name="Normal 5 6 3 2 4 2" xfId="4687"/>
    <cellStyle name="Normal 5 6 3 2 4 2 2" xfId="6355"/>
    <cellStyle name="Normal 5 6 3 2 4 2 2 2" xfId="9690"/>
    <cellStyle name="Normal 5 6 3 2 4 2 2 2 2" xfId="20406"/>
    <cellStyle name="Normal 5 6 3 2 4 2 2 3" xfId="13018"/>
    <cellStyle name="Normal 5 6 3 2 4 2 2 3 2" xfId="23734"/>
    <cellStyle name="Normal 5 6 3 2 4 2 2 4" xfId="17078"/>
    <cellStyle name="Normal 5 6 3 2 4 2 3" xfId="8026"/>
    <cellStyle name="Normal 5 6 3 2 4 2 3 2" xfId="18742"/>
    <cellStyle name="Normal 5 6 3 2 4 2 4" xfId="11354"/>
    <cellStyle name="Normal 5 6 3 2 4 2 4 2" xfId="22070"/>
    <cellStyle name="Normal 5 6 3 2 4 2 5" xfId="15414"/>
    <cellStyle name="Normal 5 6 3 2 4 3" xfId="5523"/>
    <cellStyle name="Normal 5 6 3 2 4 3 2" xfId="8858"/>
    <cellStyle name="Normal 5 6 3 2 4 3 2 2" xfId="19574"/>
    <cellStyle name="Normal 5 6 3 2 4 3 3" xfId="12186"/>
    <cellStyle name="Normal 5 6 3 2 4 3 3 2" xfId="22902"/>
    <cellStyle name="Normal 5 6 3 2 4 3 4" xfId="16246"/>
    <cellStyle name="Normal 5 6 3 2 4 4" xfId="7194"/>
    <cellStyle name="Normal 5 6 3 2 4 4 2" xfId="17910"/>
    <cellStyle name="Normal 5 6 3 2 4 5" xfId="10522"/>
    <cellStyle name="Normal 5 6 3 2 4 5 2" xfId="21238"/>
    <cellStyle name="Normal 5 6 3 2 4 6" xfId="14582"/>
    <cellStyle name="Normal 5 6 3 2 5" xfId="4269"/>
    <cellStyle name="Normal 5 6 3 2 5 2" xfId="5939"/>
    <cellStyle name="Normal 5 6 3 2 5 2 2" xfId="9274"/>
    <cellStyle name="Normal 5 6 3 2 5 2 2 2" xfId="19990"/>
    <cellStyle name="Normal 5 6 3 2 5 2 3" xfId="12602"/>
    <cellStyle name="Normal 5 6 3 2 5 2 3 2" xfId="23318"/>
    <cellStyle name="Normal 5 6 3 2 5 2 4" xfId="16662"/>
    <cellStyle name="Normal 5 6 3 2 5 3" xfId="7610"/>
    <cellStyle name="Normal 5 6 3 2 5 3 2" xfId="18326"/>
    <cellStyle name="Normal 5 6 3 2 5 4" xfId="10938"/>
    <cellStyle name="Normal 5 6 3 2 5 4 2" xfId="21654"/>
    <cellStyle name="Normal 5 6 3 2 5 5" xfId="14998"/>
    <cellStyle name="Normal 5 6 3 2 6" xfId="5104"/>
    <cellStyle name="Normal 5 6 3 2 6 2" xfId="8442"/>
    <cellStyle name="Normal 5 6 3 2 6 2 2" xfId="19158"/>
    <cellStyle name="Normal 5 6 3 2 6 3" xfId="11770"/>
    <cellStyle name="Normal 5 6 3 2 6 3 2" xfId="22486"/>
    <cellStyle name="Normal 5 6 3 2 6 4" xfId="15830"/>
    <cellStyle name="Normal 5 6 3 2 7" xfId="6774"/>
    <cellStyle name="Normal 5 6 3 2 7 2" xfId="17494"/>
    <cellStyle name="Normal 5 6 3 2 8" xfId="10106"/>
    <cellStyle name="Normal 5 6 3 2 8 2" xfId="20822"/>
    <cellStyle name="Normal 5 6 3 2 9" xfId="14163"/>
    <cellStyle name="Normal 5 6 3 3" xfId="1445"/>
    <cellStyle name="Normal 5 6 3 3 2" xfId="3129"/>
    <cellStyle name="Normal 5 6 3 3 2 2" xfId="4057"/>
    <cellStyle name="Normal 5 6 3 3 2 2 2" xfId="4897"/>
    <cellStyle name="Normal 5 6 3 3 2 2 2 2" xfId="6565"/>
    <cellStyle name="Normal 5 6 3 3 2 2 2 2 2" xfId="9900"/>
    <cellStyle name="Normal 5 6 3 3 2 2 2 2 2 2" xfId="20616"/>
    <cellStyle name="Normal 5 6 3 3 2 2 2 2 3" xfId="13228"/>
    <cellStyle name="Normal 5 6 3 3 2 2 2 2 3 2" xfId="23944"/>
    <cellStyle name="Normal 5 6 3 3 2 2 2 2 4" xfId="17288"/>
    <cellStyle name="Normal 5 6 3 3 2 2 2 3" xfId="8236"/>
    <cellStyle name="Normal 5 6 3 3 2 2 2 3 2" xfId="18952"/>
    <cellStyle name="Normal 5 6 3 3 2 2 2 4" xfId="11564"/>
    <cellStyle name="Normal 5 6 3 3 2 2 2 4 2" xfId="22280"/>
    <cellStyle name="Normal 5 6 3 3 2 2 2 5" xfId="15624"/>
    <cellStyle name="Normal 5 6 3 3 2 2 3" xfId="5733"/>
    <cellStyle name="Normal 5 6 3 3 2 2 3 2" xfId="9068"/>
    <cellStyle name="Normal 5 6 3 3 2 2 3 2 2" xfId="19784"/>
    <cellStyle name="Normal 5 6 3 3 2 2 3 3" xfId="12396"/>
    <cellStyle name="Normal 5 6 3 3 2 2 3 3 2" xfId="23112"/>
    <cellStyle name="Normal 5 6 3 3 2 2 3 4" xfId="16456"/>
    <cellStyle name="Normal 5 6 3 3 2 2 4" xfId="7404"/>
    <cellStyle name="Normal 5 6 3 3 2 2 4 2" xfId="18120"/>
    <cellStyle name="Normal 5 6 3 3 2 2 5" xfId="10732"/>
    <cellStyle name="Normal 5 6 3 3 2 2 5 2" xfId="21448"/>
    <cellStyle name="Normal 5 6 3 3 2 2 6" xfId="14792"/>
    <cellStyle name="Normal 5 6 3 3 2 3" xfId="4481"/>
    <cellStyle name="Normal 5 6 3 3 2 3 2" xfId="6149"/>
    <cellStyle name="Normal 5 6 3 3 2 3 2 2" xfId="9484"/>
    <cellStyle name="Normal 5 6 3 3 2 3 2 2 2" xfId="20200"/>
    <cellStyle name="Normal 5 6 3 3 2 3 2 3" xfId="12812"/>
    <cellStyle name="Normal 5 6 3 3 2 3 2 3 2" xfId="23528"/>
    <cellStyle name="Normal 5 6 3 3 2 3 2 4" xfId="16872"/>
    <cellStyle name="Normal 5 6 3 3 2 3 3" xfId="7820"/>
    <cellStyle name="Normal 5 6 3 3 2 3 3 2" xfId="18536"/>
    <cellStyle name="Normal 5 6 3 3 2 3 4" xfId="11148"/>
    <cellStyle name="Normal 5 6 3 3 2 3 4 2" xfId="21864"/>
    <cellStyle name="Normal 5 6 3 3 2 3 5" xfId="15208"/>
    <cellStyle name="Normal 5 6 3 3 2 4" xfId="5317"/>
    <cellStyle name="Normal 5 6 3 3 2 4 2" xfId="8652"/>
    <cellStyle name="Normal 5 6 3 3 2 4 2 2" xfId="19368"/>
    <cellStyle name="Normal 5 6 3 3 2 4 3" xfId="11980"/>
    <cellStyle name="Normal 5 6 3 3 2 4 3 2" xfId="22696"/>
    <cellStyle name="Normal 5 6 3 3 2 4 4" xfId="16040"/>
    <cellStyle name="Normal 5 6 3 3 2 5" xfId="6987"/>
    <cellStyle name="Normal 5 6 3 3 2 5 2" xfId="17704"/>
    <cellStyle name="Normal 5 6 3 3 2 6" xfId="10316"/>
    <cellStyle name="Normal 5 6 3 3 2 6 2" xfId="21032"/>
    <cellStyle name="Normal 5 6 3 3 2 7" xfId="14375"/>
    <cellStyle name="Normal 5 6 3 3 3" xfId="3838"/>
    <cellStyle name="Normal 5 6 3 3 3 2" xfId="4689"/>
    <cellStyle name="Normal 5 6 3 3 3 2 2" xfId="6357"/>
    <cellStyle name="Normal 5 6 3 3 3 2 2 2" xfId="9692"/>
    <cellStyle name="Normal 5 6 3 3 3 2 2 2 2" xfId="20408"/>
    <cellStyle name="Normal 5 6 3 3 3 2 2 3" xfId="13020"/>
    <cellStyle name="Normal 5 6 3 3 3 2 2 3 2" xfId="23736"/>
    <cellStyle name="Normal 5 6 3 3 3 2 2 4" xfId="17080"/>
    <cellStyle name="Normal 5 6 3 3 3 2 3" xfId="8028"/>
    <cellStyle name="Normal 5 6 3 3 3 2 3 2" xfId="18744"/>
    <cellStyle name="Normal 5 6 3 3 3 2 4" xfId="11356"/>
    <cellStyle name="Normal 5 6 3 3 3 2 4 2" xfId="22072"/>
    <cellStyle name="Normal 5 6 3 3 3 2 5" xfId="15416"/>
    <cellStyle name="Normal 5 6 3 3 3 3" xfId="5525"/>
    <cellStyle name="Normal 5 6 3 3 3 3 2" xfId="8860"/>
    <cellStyle name="Normal 5 6 3 3 3 3 2 2" xfId="19576"/>
    <cellStyle name="Normal 5 6 3 3 3 3 3" xfId="12188"/>
    <cellStyle name="Normal 5 6 3 3 3 3 3 2" xfId="22904"/>
    <cellStyle name="Normal 5 6 3 3 3 3 4" xfId="16248"/>
    <cellStyle name="Normal 5 6 3 3 3 4" xfId="7196"/>
    <cellStyle name="Normal 5 6 3 3 3 4 2" xfId="17912"/>
    <cellStyle name="Normal 5 6 3 3 3 5" xfId="10524"/>
    <cellStyle name="Normal 5 6 3 3 3 5 2" xfId="21240"/>
    <cellStyle name="Normal 5 6 3 3 3 6" xfId="14584"/>
    <cellStyle name="Normal 5 6 3 3 4" xfId="4271"/>
    <cellStyle name="Normal 5 6 3 3 4 2" xfId="5941"/>
    <cellStyle name="Normal 5 6 3 3 4 2 2" xfId="9276"/>
    <cellStyle name="Normal 5 6 3 3 4 2 2 2" xfId="19992"/>
    <cellStyle name="Normal 5 6 3 3 4 2 3" xfId="12604"/>
    <cellStyle name="Normal 5 6 3 3 4 2 3 2" xfId="23320"/>
    <cellStyle name="Normal 5 6 3 3 4 2 4" xfId="16664"/>
    <cellStyle name="Normal 5 6 3 3 4 3" xfId="7612"/>
    <cellStyle name="Normal 5 6 3 3 4 3 2" xfId="18328"/>
    <cellStyle name="Normal 5 6 3 3 4 4" xfId="10940"/>
    <cellStyle name="Normal 5 6 3 3 4 4 2" xfId="21656"/>
    <cellStyle name="Normal 5 6 3 3 4 5" xfId="15000"/>
    <cellStyle name="Normal 5 6 3 3 5" xfId="5106"/>
    <cellStyle name="Normal 5 6 3 3 5 2" xfId="8444"/>
    <cellStyle name="Normal 5 6 3 3 5 2 2" xfId="19160"/>
    <cellStyle name="Normal 5 6 3 3 5 3" xfId="11772"/>
    <cellStyle name="Normal 5 6 3 3 5 3 2" xfId="22488"/>
    <cellStyle name="Normal 5 6 3 3 5 4" xfId="15832"/>
    <cellStyle name="Normal 5 6 3 3 6" xfId="6776"/>
    <cellStyle name="Normal 5 6 3 3 6 2" xfId="17496"/>
    <cellStyle name="Normal 5 6 3 3 7" xfId="10108"/>
    <cellStyle name="Normal 5 6 3 3 7 2" xfId="20824"/>
    <cellStyle name="Normal 5 6 3 3 8" xfId="14165"/>
    <cellStyle name="Normal 5 6 3 4" xfId="3126"/>
    <cellStyle name="Normal 5 6 3 4 2" xfId="4054"/>
    <cellStyle name="Normal 5 6 3 4 2 2" xfId="4894"/>
    <cellStyle name="Normal 5 6 3 4 2 2 2" xfId="6562"/>
    <cellStyle name="Normal 5 6 3 4 2 2 2 2" xfId="9897"/>
    <cellStyle name="Normal 5 6 3 4 2 2 2 2 2" xfId="20613"/>
    <cellStyle name="Normal 5 6 3 4 2 2 2 3" xfId="13225"/>
    <cellStyle name="Normal 5 6 3 4 2 2 2 3 2" xfId="23941"/>
    <cellStyle name="Normal 5 6 3 4 2 2 2 4" xfId="17285"/>
    <cellStyle name="Normal 5 6 3 4 2 2 3" xfId="8233"/>
    <cellStyle name="Normal 5 6 3 4 2 2 3 2" xfId="18949"/>
    <cellStyle name="Normal 5 6 3 4 2 2 4" xfId="11561"/>
    <cellStyle name="Normal 5 6 3 4 2 2 4 2" xfId="22277"/>
    <cellStyle name="Normal 5 6 3 4 2 2 5" xfId="15621"/>
    <cellStyle name="Normal 5 6 3 4 2 3" xfId="5730"/>
    <cellStyle name="Normal 5 6 3 4 2 3 2" xfId="9065"/>
    <cellStyle name="Normal 5 6 3 4 2 3 2 2" xfId="19781"/>
    <cellStyle name="Normal 5 6 3 4 2 3 3" xfId="12393"/>
    <cellStyle name="Normal 5 6 3 4 2 3 3 2" xfId="23109"/>
    <cellStyle name="Normal 5 6 3 4 2 3 4" xfId="16453"/>
    <cellStyle name="Normal 5 6 3 4 2 4" xfId="7401"/>
    <cellStyle name="Normal 5 6 3 4 2 4 2" xfId="18117"/>
    <cellStyle name="Normal 5 6 3 4 2 5" xfId="10729"/>
    <cellStyle name="Normal 5 6 3 4 2 5 2" xfId="21445"/>
    <cellStyle name="Normal 5 6 3 4 2 6" xfId="14789"/>
    <cellStyle name="Normal 5 6 3 4 3" xfId="4478"/>
    <cellStyle name="Normal 5 6 3 4 3 2" xfId="6146"/>
    <cellStyle name="Normal 5 6 3 4 3 2 2" xfId="9481"/>
    <cellStyle name="Normal 5 6 3 4 3 2 2 2" xfId="20197"/>
    <cellStyle name="Normal 5 6 3 4 3 2 3" xfId="12809"/>
    <cellStyle name="Normal 5 6 3 4 3 2 3 2" xfId="23525"/>
    <cellStyle name="Normal 5 6 3 4 3 2 4" xfId="16869"/>
    <cellStyle name="Normal 5 6 3 4 3 3" xfId="7817"/>
    <cellStyle name="Normal 5 6 3 4 3 3 2" xfId="18533"/>
    <cellStyle name="Normal 5 6 3 4 3 4" xfId="11145"/>
    <cellStyle name="Normal 5 6 3 4 3 4 2" xfId="21861"/>
    <cellStyle name="Normal 5 6 3 4 3 5" xfId="15205"/>
    <cellStyle name="Normal 5 6 3 4 4" xfId="5314"/>
    <cellStyle name="Normal 5 6 3 4 4 2" xfId="8649"/>
    <cellStyle name="Normal 5 6 3 4 4 2 2" xfId="19365"/>
    <cellStyle name="Normal 5 6 3 4 4 3" xfId="11977"/>
    <cellStyle name="Normal 5 6 3 4 4 3 2" xfId="22693"/>
    <cellStyle name="Normal 5 6 3 4 4 4" xfId="16037"/>
    <cellStyle name="Normal 5 6 3 4 5" xfId="6984"/>
    <cellStyle name="Normal 5 6 3 4 5 2" xfId="17701"/>
    <cellStyle name="Normal 5 6 3 4 6" xfId="10313"/>
    <cellStyle name="Normal 5 6 3 4 6 2" xfId="21029"/>
    <cellStyle name="Normal 5 6 3 4 7" xfId="14372"/>
    <cellStyle name="Normal 5 6 3 5" xfId="3835"/>
    <cellStyle name="Normal 5 6 3 5 2" xfId="4686"/>
    <cellStyle name="Normal 5 6 3 5 2 2" xfId="6354"/>
    <cellStyle name="Normal 5 6 3 5 2 2 2" xfId="9689"/>
    <cellStyle name="Normal 5 6 3 5 2 2 2 2" xfId="20405"/>
    <cellStyle name="Normal 5 6 3 5 2 2 3" xfId="13017"/>
    <cellStyle name="Normal 5 6 3 5 2 2 3 2" xfId="23733"/>
    <cellStyle name="Normal 5 6 3 5 2 2 4" xfId="17077"/>
    <cellStyle name="Normal 5 6 3 5 2 3" xfId="8025"/>
    <cellStyle name="Normal 5 6 3 5 2 3 2" xfId="18741"/>
    <cellStyle name="Normal 5 6 3 5 2 4" xfId="11353"/>
    <cellStyle name="Normal 5 6 3 5 2 4 2" xfId="22069"/>
    <cellStyle name="Normal 5 6 3 5 2 5" xfId="15413"/>
    <cellStyle name="Normal 5 6 3 5 3" xfId="5522"/>
    <cellStyle name="Normal 5 6 3 5 3 2" xfId="8857"/>
    <cellStyle name="Normal 5 6 3 5 3 2 2" xfId="19573"/>
    <cellStyle name="Normal 5 6 3 5 3 3" xfId="12185"/>
    <cellStyle name="Normal 5 6 3 5 3 3 2" xfId="22901"/>
    <cellStyle name="Normal 5 6 3 5 3 4" xfId="16245"/>
    <cellStyle name="Normal 5 6 3 5 4" xfId="7193"/>
    <cellStyle name="Normal 5 6 3 5 4 2" xfId="17909"/>
    <cellStyle name="Normal 5 6 3 5 5" xfId="10521"/>
    <cellStyle name="Normal 5 6 3 5 5 2" xfId="21237"/>
    <cellStyle name="Normal 5 6 3 5 6" xfId="14581"/>
    <cellStyle name="Normal 5 6 3 6" xfId="4268"/>
    <cellStyle name="Normal 5 6 3 6 2" xfId="5938"/>
    <cellStyle name="Normal 5 6 3 6 2 2" xfId="9273"/>
    <cellStyle name="Normal 5 6 3 6 2 2 2" xfId="19989"/>
    <cellStyle name="Normal 5 6 3 6 2 3" xfId="12601"/>
    <cellStyle name="Normal 5 6 3 6 2 3 2" xfId="23317"/>
    <cellStyle name="Normal 5 6 3 6 2 4" xfId="16661"/>
    <cellStyle name="Normal 5 6 3 6 3" xfId="7609"/>
    <cellStyle name="Normal 5 6 3 6 3 2" xfId="18325"/>
    <cellStyle name="Normal 5 6 3 6 4" xfId="10937"/>
    <cellStyle name="Normal 5 6 3 6 4 2" xfId="21653"/>
    <cellStyle name="Normal 5 6 3 6 5" xfId="14997"/>
    <cellStyle name="Normal 5 6 3 7" xfId="5103"/>
    <cellStyle name="Normal 5 6 3 7 2" xfId="8441"/>
    <cellStyle name="Normal 5 6 3 7 2 2" xfId="19157"/>
    <cellStyle name="Normal 5 6 3 7 3" xfId="11769"/>
    <cellStyle name="Normal 5 6 3 7 3 2" xfId="22485"/>
    <cellStyle name="Normal 5 6 3 7 4" xfId="15829"/>
    <cellStyle name="Normal 5 6 3 8" xfId="6773"/>
    <cellStyle name="Normal 5 6 3 8 2" xfId="17493"/>
    <cellStyle name="Normal 5 6 3 9" xfId="10105"/>
    <cellStyle name="Normal 5 6 3 9 2" xfId="20821"/>
    <cellStyle name="Normal 5 6 4" xfId="1446"/>
    <cellStyle name="Normal 5 6 4 2" xfId="1447"/>
    <cellStyle name="Normal 5 6 4 2 2" xfId="3131"/>
    <cellStyle name="Normal 5 6 4 2 2 2" xfId="4059"/>
    <cellStyle name="Normal 5 6 4 2 2 2 2" xfId="4899"/>
    <cellStyle name="Normal 5 6 4 2 2 2 2 2" xfId="6567"/>
    <cellStyle name="Normal 5 6 4 2 2 2 2 2 2" xfId="9902"/>
    <cellStyle name="Normal 5 6 4 2 2 2 2 2 2 2" xfId="20618"/>
    <cellStyle name="Normal 5 6 4 2 2 2 2 2 3" xfId="13230"/>
    <cellStyle name="Normal 5 6 4 2 2 2 2 2 3 2" xfId="23946"/>
    <cellStyle name="Normal 5 6 4 2 2 2 2 2 4" xfId="17290"/>
    <cellStyle name="Normal 5 6 4 2 2 2 2 3" xfId="8238"/>
    <cellStyle name="Normal 5 6 4 2 2 2 2 3 2" xfId="18954"/>
    <cellStyle name="Normal 5 6 4 2 2 2 2 4" xfId="11566"/>
    <cellStyle name="Normal 5 6 4 2 2 2 2 4 2" xfId="22282"/>
    <cellStyle name="Normal 5 6 4 2 2 2 2 5" xfId="15626"/>
    <cellStyle name="Normal 5 6 4 2 2 2 3" xfId="5735"/>
    <cellStyle name="Normal 5 6 4 2 2 2 3 2" xfId="9070"/>
    <cellStyle name="Normal 5 6 4 2 2 2 3 2 2" xfId="19786"/>
    <cellStyle name="Normal 5 6 4 2 2 2 3 3" xfId="12398"/>
    <cellStyle name="Normal 5 6 4 2 2 2 3 3 2" xfId="23114"/>
    <cellStyle name="Normal 5 6 4 2 2 2 3 4" xfId="16458"/>
    <cellStyle name="Normal 5 6 4 2 2 2 4" xfId="7406"/>
    <cellStyle name="Normal 5 6 4 2 2 2 4 2" xfId="18122"/>
    <cellStyle name="Normal 5 6 4 2 2 2 5" xfId="10734"/>
    <cellStyle name="Normal 5 6 4 2 2 2 5 2" xfId="21450"/>
    <cellStyle name="Normal 5 6 4 2 2 2 6" xfId="14794"/>
    <cellStyle name="Normal 5 6 4 2 2 3" xfId="4483"/>
    <cellStyle name="Normal 5 6 4 2 2 3 2" xfId="6151"/>
    <cellStyle name="Normal 5 6 4 2 2 3 2 2" xfId="9486"/>
    <cellStyle name="Normal 5 6 4 2 2 3 2 2 2" xfId="20202"/>
    <cellStyle name="Normal 5 6 4 2 2 3 2 3" xfId="12814"/>
    <cellStyle name="Normal 5 6 4 2 2 3 2 3 2" xfId="23530"/>
    <cellStyle name="Normal 5 6 4 2 2 3 2 4" xfId="16874"/>
    <cellStyle name="Normal 5 6 4 2 2 3 3" xfId="7822"/>
    <cellStyle name="Normal 5 6 4 2 2 3 3 2" xfId="18538"/>
    <cellStyle name="Normal 5 6 4 2 2 3 4" xfId="11150"/>
    <cellStyle name="Normal 5 6 4 2 2 3 4 2" xfId="21866"/>
    <cellStyle name="Normal 5 6 4 2 2 3 5" xfId="15210"/>
    <cellStyle name="Normal 5 6 4 2 2 4" xfId="5319"/>
    <cellStyle name="Normal 5 6 4 2 2 4 2" xfId="8654"/>
    <cellStyle name="Normal 5 6 4 2 2 4 2 2" xfId="19370"/>
    <cellStyle name="Normal 5 6 4 2 2 4 3" xfId="11982"/>
    <cellStyle name="Normal 5 6 4 2 2 4 3 2" xfId="22698"/>
    <cellStyle name="Normal 5 6 4 2 2 4 4" xfId="16042"/>
    <cellStyle name="Normal 5 6 4 2 2 5" xfId="6989"/>
    <cellStyle name="Normal 5 6 4 2 2 5 2" xfId="17706"/>
    <cellStyle name="Normal 5 6 4 2 2 6" xfId="10318"/>
    <cellStyle name="Normal 5 6 4 2 2 6 2" xfId="21034"/>
    <cellStyle name="Normal 5 6 4 2 2 7" xfId="14377"/>
    <cellStyle name="Normal 5 6 4 2 3" xfId="3840"/>
    <cellStyle name="Normal 5 6 4 2 3 2" xfId="4691"/>
    <cellStyle name="Normal 5 6 4 2 3 2 2" xfId="6359"/>
    <cellStyle name="Normal 5 6 4 2 3 2 2 2" xfId="9694"/>
    <cellStyle name="Normal 5 6 4 2 3 2 2 2 2" xfId="20410"/>
    <cellStyle name="Normal 5 6 4 2 3 2 2 3" xfId="13022"/>
    <cellStyle name="Normal 5 6 4 2 3 2 2 3 2" xfId="23738"/>
    <cellStyle name="Normal 5 6 4 2 3 2 2 4" xfId="17082"/>
    <cellStyle name="Normal 5 6 4 2 3 2 3" xfId="8030"/>
    <cellStyle name="Normal 5 6 4 2 3 2 3 2" xfId="18746"/>
    <cellStyle name="Normal 5 6 4 2 3 2 4" xfId="11358"/>
    <cellStyle name="Normal 5 6 4 2 3 2 4 2" xfId="22074"/>
    <cellStyle name="Normal 5 6 4 2 3 2 5" xfId="15418"/>
    <cellStyle name="Normal 5 6 4 2 3 3" xfId="5527"/>
    <cellStyle name="Normal 5 6 4 2 3 3 2" xfId="8862"/>
    <cellStyle name="Normal 5 6 4 2 3 3 2 2" xfId="19578"/>
    <cellStyle name="Normal 5 6 4 2 3 3 3" xfId="12190"/>
    <cellStyle name="Normal 5 6 4 2 3 3 3 2" xfId="22906"/>
    <cellStyle name="Normal 5 6 4 2 3 3 4" xfId="16250"/>
    <cellStyle name="Normal 5 6 4 2 3 4" xfId="7198"/>
    <cellStyle name="Normal 5 6 4 2 3 4 2" xfId="17914"/>
    <cellStyle name="Normal 5 6 4 2 3 5" xfId="10526"/>
    <cellStyle name="Normal 5 6 4 2 3 5 2" xfId="21242"/>
    <cellStyle name="Normal 5 6 4 2 3 6" xfId="14586"/>
    <cellStyle name="Normal 5 6 4 2 4" xfId="4273"/>
    <cellStyle name="Normal 5 6 4 2 4 2" xfId="5943"/>
    <cellStyle name="Normal 5 6 4 2 4 2 2" xfId="9278"/>
    <cellStyle name="Normal 5 6 4 2 4 2 2 2" xfId="19994"/>
    <cellStyle name="Normal 5 6 4 2 4 2 3" xfId="12606"/>
    <cellStyle name="Normal 5 6 4 2 4 2 3 2" xfId="23322"/>
    <cellStyle name="Normal 5 6 4 2 4 2 4" xfId="16666"/>
    <cellStyle name="Normal 5 6 4 2 4 3" xfId="7614"/>
    <cellStyle name="Normal 5 6 4 2 4 3 2" xfId="18330"/>
    <cellStyle name="Normal 5 6 4 2 4 4" xfId="10942"/>
    <cellStyle name="Normal 5 6 4 2 4 4 2" xfId="21658"/>
    <cellStyle name="Normal 5 6 4 2 4 5" xfId="15002"/>
    <cellStyle name="Normal 5 6 4 2 5" xfId="5108"/>
    <cellStyle name="Normal 5 6 4 2 5 2" xfId="8446"/>
    <cellStyle name="Normal 5 6 4 2 5 2 2" xfId="19162"/>
    <cellStyle name="Normal 5 6 4 2 5 3" xfId="11774"/>
    <cellStyle name="Normal 5 6 4 2 5 3 2" xfId="22490"/>
    <cellStyle name="Normal 5 6 4 2 5 4" xfId="15834"/>
    <cellStyle name="Normal 5 6 4 2 6" xfId="6778"/>
    <cellStyle name="Normal 5 6 4 2 6 2" xfId="17498"/>
    <cellStyle name="Normal 5 6 4 2 7" xfId="10110"/>
    <cellStyle name="Normal 5 6 4 2 7 2" xfId="20826"/>
    <cellStyle name="Normal 5 6 4 2 8" xfId="14167"/>
    <cellStyle name="Normal 5 6 4 3" xfId="3130"/>
    <cellStyle name="Normal 5 6 4 3 2" xfId="4058"/>
    <cellStyle name="Normal 5 6 4 3 2 2" xfId="4898"/>
    <cellStyle name="Normal 5 6 4 3 2 2 2" xfId="6566"/>
    <cellStyle name="Normal 5 6 4 3 2 2 2 2" xfId="9901"/>
    <cellStyle name="Normal 5 6 4 3 2 2 2 2 2" xfId="20617"/>
    <cellStyle name="Normal 5 6 4 3 2 2 2 3" xfId="13229"/>
    <cellStyle name="Normal 5 6 4 3 2 2 2 3 2" xfId="23945"/>
    <cellStyle name="Normal 5 6 4 3 2 2 2 4" xfId="17289"/>
    <cellStyle name="Normal 5 6 4 3 2 2 3" xfId="8237"/>
    <cellStyle name="Normal 5 6 4 3 2 2 3 2" xfId="18953"/>
    <cellStyle name="Normal 5 6 4 3 2 2 4" xfId="11565"/>
    <cellStyle name="Normal 5 6 4 3 2 2 4 2" xfId="22281"/>
    <cellStyle name="Normal 5 6 4 3 2 2 5" xfId="15625"/>
    <cellStyle name="Normal 5 6 4 3 2 3" xfId="5734"/>
    <cellStyle name="Normal 5 6 4 3 2 3 2" xfId="9069"/>
    <cellStyle name="Normal 5 6 4 3 2 3 2 2" xfId="19785"/>
    <cellStyle name="Normal 5 6 4 3 2 3 3" xfId="12397"/>
    <cellStyle name="Normal 5 6 4 3 2 3 3 2" xfId="23113"/>
    <cellStyle name="Normal 5 6 4 3 2 3 4" xfId="16457"/>
    <cellStyle name="Normal 5 6 4 3 2 4" xfId="7405"/>
    <cellStyle name="Normal 5 6 4 3 2 4 2" xfId="18121"/>
    <cellStyle name="Normal 5 6 4 3 2 5" xfId="10733"/>
    <cellStyle name="Normal 5 6 4 3 2 5 2" xfId="21449"/>
    <cellStyle name="Normal 5 6 4 3 2 6" xfId="14793"/>
    <cellStyle name="Normal 5 6 4 3 3" xfId="4482"/>
    <cellStyle name="Normal 5 6 4 3 3 2" xfId="6150"/>
    <cellStyle name="Normal 5 6 4 3 3 2 2" xfId="9485"/>
    <cellStyle name="Normal 5 6 4 3 3 2 2 2" xfId="20201"/>
    <cellStyle name="Normal 5 6 4 3 3 2 3" xfId="12813"/>
    <cellStyle name="Normal 5 6 4 3 3 2 3 2" xfId="23529"/>
    <cellStyle name="Normal 5 6 4 3 3 2 4" xfId="16873"/>
    <cellStyle name="Normal 5 6 4 3 3 3" xfId="7821"/>
    <cellStyle name="Normal 5 6 4 3 3 3 2" xfId="18537"/>
    <cellStyle name="Normal 5 6 4 3 3 4" xfId="11149"/>
    <cellStyle name="Normal 5 6 4 3 3 4 2" xfId="21865"/>
    <cellStyle name="Normal 5 6 4 3 3 5" xfId="15209"/>
    <cellStyle name="Normal 5 6 4 3 4" xfId="5318"/>
    <cellStyle name="Normal 5 6 4 3 4 2" xfId="8653"/>
    <cellStyle name="Normal 5 6 4 3 4 2 2" xfId="19369"/>
    <cellStyle name="Normal 5 6 4 3 4 3" xfId="11981"/>
    <cellStyle name="Normal 5 6 4 3 4 3 2" xfId="22697"/>
    <cellStyle name="Normal 5 6 4 3 4 4" xfId="16041"/>
    <cellStyle name="Normal 5 6 4 3 5" xfId="6988"/>
    <cellStyle name="Normal 5 6 4 3 5 2" xfId="17705"/>
    <cellStyle name="Normal 5 6 4 3 6" xfId="10317"/>
    <cellStyle name="Normal 5 6 4 3 6 2" xfId="21033"/>
    <cellStyle name="Normal 5 6 4 3 7" xfId="14376"/>
    <cellStyle name="Normal 5 6 4 4" xfId="3839"/>
    <cellStyle name="Normal 5 6 4 4 2" xfId="4690"/>
    <cellStyle name="Normal 5 6 4 4 2 2" xfId="6358"/>
    <cellStyle name="Normal 5 6 4 4 2 2 2" xfId="9693"/>
    <cellStyle name="Normal 5 6 4 4 2 2 2 2" xfId="20409"/>
    <cellStyle name="Normal 5 6 4 4 2 2 3" xfId="13021"/>
    <cellStyle name="Normal 5 6 4 4 2 2 3 2" xfId="23737"/>
    <cellStyle name="Normal 5 6 4 4 2 2 4" xfId="17081"/>
    <cellStyle name="Normal 5 6 4 4 2 3" xfId="8029"/>
    <cellStyle name="Normal 5 6 4 4 2 3 2" xfId="18745"/>
    <cellStyle name="Normal 5 6 4 4 2 4" xfId="11357"/>
    <cellStyle name="Normal 5 6 4 4 2 4 2" xfId="22073"/>
    <cellStyle name="Normal 5 6 4 4 2 5" xfId="15417"/>
    <cellStyle name="Normal 5 6 4 4 3" xfId="5526"/>
    <cellStyle name="Normal 5 6 4 4 3 2" xfId="8861"/>
    <cellStyle name="Normal 5 6 4 4 3 2 2" xfId="19577"/>
    <cellStyle name="Normal 5 6 4 4 3 3" xfId="12189"/>
    <cellStyle name="Normal 5 6 4 4 3 3 2" xfId="22905"/>
    <cellStyle name="Normal 5 6 4 4 3 4" xfId="16249"/>
    <cellStyle name="Normal 5 6 4 4 4" xfId="7197"/>
    <cellStyle name="Normal 5 6 4 4 4 2" xfId="17913"/>
    <cellStyle name="Normal 5 6 4 4 5" xfId="10525"/>
    <cellStyle name="Normal 5 6 4 4 5 2" xfId="21241"/>
    <cellStyle name="Normal 5 6 4 4 6" xfId="14585"/>
    <cellStyle name="Normal 5 6 4 5" xfId="4272"/>
    <cellStyle name="Normal 5 6 4 5 2" xfId="5942"/>
    <cellStyle name="Normal 5 6 4 5 2 2" xfId="9277"/>
    <cellStyle name="Normal 5 6 4 5 2 2 2" xfId="19993"/>
    <cellStyle name="Normal 5 6 4 5 2 3" xfId="12605"/>
    <cellStyle name="Normal 5 6 4 5 2 3 2" xfId="23321"/>
    <cellStyle name="Normal 5 6 4 5 2 4" xfId="16665"/>
    <cellStyle name="Normal 5 6 4 5 3" xfId="7613"/>
    <cellStyle name="Normal 5 6 4 5 3 2" xfId="18329"/>
    <cellStyle name="Normal 5 6 4 5 4" xfId="10941"/>
    <cellStyle name="Normal 5 6 4 5 4 2" xfId="21657"/>
    <cellStyle name="Normal 5 6 4 5 5" xfId="15001"/>
    <cellStyle name="Normal 5 6 4 6" xfId="5107"/>
    <cellStyle name="Normal 5 6 4 6 2" xfId="8445"/>
    <cellStyle name="Normal 5 6 4 6 2 2" xfId="19161"/>
    <cellStyle name="Normal 5 6 4 6 3" xfId="11773"/>
    <cellStyle name="Normal 5 6 4 6 3 2" xfId="22489"/>
    <cellStyle name="Normal 5 6 4 6 4" xfId="15833"/>
    <cellStyle name="Normal 5 6 4 7" xfId="6777"/>
    <cellStyle name="Normal 5 6 4 7 2" xfId="17497"/>
    <cellStyle name="Normal 5 6 4 8" xfId="10109"/>
    <cellStyle name="Normal 5 6 4 8 2" xfId="20825"/>
    <cellStyle name="Normal 5 6 4 9" xfId="14166"/>
    <cellStyle name="Normal 5 6 5" xfId="1448"/>
    <cellStyle name="Normal 5 6 5 2" xfId="3132"/>
    <cellStyle name="Normal 5 6 5 2 2" xfId="4060"/>
    <cellStyle name="Normal 5 6 5 2 2 2" xfId="4900"/>
    <cellStyle name="Normal 5 6 5 2 2 2 2" xfId="6568"/>
    <cellStyle name="Normal 5 6 5 2 2 2 2 2" xfId="9903"/>
    <cellStyle name="Normal 5 6 5 2 2 2 2 2 2" xfId="20619"/>
    <cellStyle name="Normal 5 6 5 2 2 2 2 3" xfId="13231"/>
    <cellStyle name="Normal 5 6 5 2 2 2 2 3 2" xfId="23947"/>
    <cellStyle name="Normal 5 6 5 2 2 2 2 4" xfId="17291"/>
    <cellStyle name="Normal 5 6 5 2 2 2 3" xfId="8239"/>
    <cellStyle name="Normal 5 6 5 2 2 2 3 2" xfId="18955"/>
    <cellStyle name="Normal 5 6 5 2 2 2 4" xfId="11567"/>
    <cellStyle name="Normal 5 6 5 2 2 2 4 2" xfId="22283"/>
    <cellStyle name="Normal 5 6 5 2 2 2 5" xfId="15627"/>
    <cellStyle name="Normal 5 6 5 2 2 3" xfId="5736"/>
    <cellStyle name="Normal 5 6 5 2 2 3 2" xfId="9071"/>
    <cellStyle name="Normal 5 6 5 2 2 3 2 2" xfId="19787"/>
    <cellStyle name="Normal 5 6 5 2 2 3 3" xfId="12399"/>
    <cellStyle name="Normal 5 6 5 2 2 3 3 2" xfId="23115"/>
    <cellStyle name="Normal 5 6 5 2 2 3 4" xfId="16459"/>
    <cellStyle name="Normal 5 6 5 2 2 4" xfId="7407"/>
    <cellStyle name="Normal 5 6 5 2 2 4 2" xfId="18123"/>
    <cellStyle name="Normal 5 6 5 2 2 5" xfId="10735"/>
    <cellStyle name="Normal 5 6 5 2 2 5 2" xfId="21451"/>
    <cellStyle name="Normal 5 6 5 2 2 6" xfId="14795"/>
    <cellStyle name="Normal 5 6 5 2 3" xfId="4484"/>
    <cellStyle name="Normal 5 6 5 2 3 2" xfId="6152"/>
    <cellStyle name="Normal 5 6 5 2 3 2 2" xfId="9487"/>
    <cellStyle name="Normal 5 6 5 2 3 2 2 2" xfId="20203"/>
    <cellStyle name="Normal 5 6 5 2 3 2 3" xfId="12815"/>
    <cellStyle name="Normal 5 6 5 2 3 2 3 2" xfId="23531"/>
    <cellStyle name="Normal 5 6 5 2 3 2 4" xfId="16875"/>
    <cellStyle name="Normal 5 6 5 2 3 3" xfId="7823"/>
    <cellStyle name="Normal 5 6 5 2 3 3 2" xfId="18539"/>
    <cellStyle name="Normal 5 6 5 2 3 4" xfId="11151"/>
    <cellStyle name="Normal 5 6 5 2 3 4 2" xfId="21867"/>
    <cellStyle name="Normal 5 6 5 2 3 5" xfId="15211"/>
    <cellStyle name="Normal 5 6 5 2 4" xfId="5320"/>
    <cellStyle name="Normal 5 6 5 2 4 2" xfId="8655"/>
    <cellStyle name="Normal 5 6 5 2 4 2 2" xfId="19371"/>
    <cellStyle name="Normal 5 6 5 2 4 3" xfId="11983"/>
    <cellStyle name="Normal 5 6 5 2 4 3 2" xfId="22699"/>
    <cellStyle name="Normal 5 6 5 2 4 4" xfId="16043"/>
    <cellStyle name="Normal 5 6 5 2 5" xfId="6990"/>
    <cellStyle name="Normal 5 6 5 2 5 2" xfId="17707"/>
    <cellStyle name="Normal 5 6 5 2 6" xfId="10319"/>
    <cellStyle name="Normal 5 6 5 2 6 2" xfId="21035"/>
    <cellStyle name="Normal 5 6 5 2 7" xfId="14378"/>
    <cellStyle name="Normal 5 6 5 3" xfId="3841"/>
    <cellStyle name="Normal 5 6 5 3 2" xfId="4692"/>
    <cellStyle name="Normal 5 6 5 3 2 2" xfId="6360"/>
    <cellStyle name="Normal 5 6 5 3 2 2 2" xfId="9695"/>
    <cellStyle name="Normal 5 6 5 3 2 2 2 2" xfId="20411"/>
    <cellStyle name="Normal 5 6 5 3 2 2 3" xfId="13023"/>
    <cellStyle name="Normal 5 6 5 3 2 2 3 2" xfId="23739"/>
    <cellStyle name="Normal 5 6 5 3 2 2 4" xfId="17083"/>
    <cellStyle name="Normal 5 6 5 3 2 3" xfId="8031"/>
    <cellStyle name="Normal 5 6 5 3 2 3 2" xfId="18747"/>
    <cellStyle name="Normal 5 6 5 3 2 4" xfId="11359"/>
    <cellStyle name="Normal 5 6 5 3 2 4 2" xfId="22075"/>
    <cellStyle name="Normal 5 6 5 3 2 5" xfId="15419"/>
    <cellStyle name="Normal 5 6 5 3 3" xfId="5528"/>
    <cellStyle name="Normal 5 6 5 3 3 2" xfId="8863"/>
    <cellStyle name="Normal 5 6 5 3 3 2 2" xfId="19579"/>
    <cellStyle name="Normal 5 6 5 3 3 3" xfId="12191"/>
    <cellStyle name="Normal 5 6 5 3 3 3 2" xfId="22907"/>
    <cellStyle name="Normal 5 6 5 3 3 4" xfId="16251"/>
    <cellStyle name="Normal 5 6 5 3 4" xfId="7199"/>
    <cellStyle name="Normal 5 6 5 3 4 2" xfId="17915"/>
    <cellStyle name="Normal 5 6 5 3 5" xfId="10527"/>
    <cellStyle name="Normal 5 6 5 3 5 2" xfId="21243"/>
    <cellStyle name="Normal 5 6 5 3 6" xfId="14587"/>
    <cellStyle name="Normal 5 6 5 4" xfId="4274"/>
    <cellStyle name="Normal 5 6 5 4 2" xfId="5944"/>
    <cellStyle name="Normal 5 6 5 4 2 2" xfId="9279"/>
    <cellStyle name="Normal 5 6 5 4 2 2 2" xfId="19995"/>
    <cellStyle name="Normal 5 6 5 4 2 3" xfId="12607"/>
    <cellStyle name="Normal 5 6 5 4 2 3 2" xfId="23323"/>
    <cellStyle name="Normal 5 6 5 4 2 4" xfId="16667"/>
    <cellStyle name="Normal 5 6 5 4 3" xfId="7615"/>
    <cellStyle name="Normal 5 6 5 4 3 2" xfId="18331"/>
    <cellStyle name="Normal 5 6 5 4 4" xfId="10943"/>
    <cellStyle name="Normal 5 6 5 4 4 2" xfId="21659"/>
    <cellStyle name="Normal 5 6 5 4 5" xfId="15003"/>
    <cellStyle name="Normal 5 6 5 5" xfId="5109"/>
    <cellStyle name="Normal 5 6 5 5 2" xfId="8447"/>
    <cellStyle name="Normal 5 6 5 5 2 2" xfId="19163"/>
    <cellStyle name="Normal 5 6 5 5 3" xfId="11775"/>
    <cellStyle name="Normal 5 6 5 5 3 2" xfId="22491"/>
    <cellStyle name="Normal 5 6 5 5 4" xfId="15835"/>
    <cellStyle name="Normal 5 6 5 6" xfId="6779"/>
    <cellStyle name="Normal 5 6 5 6 2" xfId="17499"/>
    <cellStyle name="Normal 5 6 5 7" xfId="10111"/>
    <cellStyle name="Normal 5 6 5 7 2" xfId="20827"/>
    <cellStyle name="Normal 5 6 5 8" xfId="14168"/>
    <cellStyle name="Normal 5 6 6" xfId="3117"/>
    <cellStyle name="Normal 5 6 6 2" xfId="4045"/>
    <cellStyle name="Normal 5 6 6 2 2" xfId="4885"/>
    <cellStyle name="Normal 5 6 6 2 2 2" xfId="6553"/>
    <cellStyle name="Normal 5 6 6 2 2 2 2" xfId="9888"/>
    <cellStyle name="Normal 5 6 6 2 2 2 2 2" xfId="20604"/>
    <cellStyle name="Normal 5 6 6 2 2 2 3" xfId="13216"/>
    <cellStyle name="Normal 5 6 6 2 2 2 3 2" xfId="23932"/>
    <cellStyle name="Normal 5 6 6 2 2 2 4" xfId="17276"/>
    <cellStyle name="Normal 5 6 6 2 2 3" xfId="8224"/>
    <cellStyle name="Normal 5 6 6 2 2 3 2" xfId="18940"/>
    <cellStyle name="Normal 5 6 6 2 2 4" xfId="11552"/>
    <cellStyle name="Normal 5 6 6 2 2 4 2" xfId="22268"/>
    <cellStyle name="Normal 5 6 6 2 2 5" xfId="15612"/>
    <cellStyle name="Normal 5 6 6 2 3" xfId="5721"/>
    <cellStyle name="Normal 5 6 6 2 3 2" xfId="9056"/>
    <cellStyle name="Normal 5 6 6 2 3 2 2" xfId="19772"/>
    <cellStyle name="Normal 5 6 6 2 3 3" xfId="12384"/>
    <cellStyle name="Normal 5 6 6 2 3 3 2" xfId="23100"/>
    <cellStyle name="Normal 5 6 6 2 3 4" xfId="16444"/>
    <cellStyle name="Normal 5 6 6 2 4" xfId="7392"/>
    <cellStyle name="Normal 5 6 6 2 4 2" xfId="18108"/>
    <cellStyle name="Normal 5 6 6 2 5" xfId="10720"/>
    <cellStyle name="Normal 5 6 6 2 5 2" xfId="21436"/>
    <cellStyle name="Normal 5 6 6 2 6" xfId="14780"/>
    <cellStyle name="Normal 5 6 6 3" xfId="4469"/>
    <cellStyle name="Normal 5 6 6 3 2" xfId="6137"/>
    <cellStyle name="Normal 5 6 6 3 2 2" xfId="9472"/>
    <cellStyle name="Normal 5 6 6 3 2 2 2" xfId="20188"/>
    <cellStyle name="Normal 5 6 6 3 2 3" xfId="12800"/>
    <cellStyle name="Normal 5 6 6 3 2 3 2" xfId="23516"/>
    <cellStyle name="Normal 5 6 6 3 2 4" xfId="16860"/>
    <cellStyle name="Normal 5 6 6 3 3" xfId="7808"/>
    <cellStyle name="Normal 5 6 6 3 3 2" xfId="18524"/>
    <cellStyle name="Normal 5 6 6 3 4" xfId="11136"/>
    <cellStyle name="Normal 5 6 6 3 4 2" xfId="21852"/>
    <cellStyle name="Normal 5 6 6 3 5" xfId="15196"/>
    <cellStyle name="Normal 5 6 6 4" xfId="5305"/>
    <cellStyle name="Normal 5 6 6 4 2" xfId="8640"/>
    <cellStyle name="Normal 5 6 6 4 2 2" xfId="19356"/>
    <cellStyle name="Normal 5 6 6 4 3" xfId="11968"/>
    <cellStyle name="Normal 5 6 6 4 3 2" xfId="22684"/>
    <cellStyle name="Normal 5 6 6 4 4" xfId="16028"/>
    <cellStyle name="Normal 5 6 6 5" xfId="6975"/>
    <cellStyle name="Normal 5 6 6 5 2" xfId="17692"/>
    <cellStyle name="Normal 5 6 6 6" xfId="10304"/>
    <cellStyle name="Normal 5 6 6 6 2" xfId="21020"/>
    <cellStyle name="Normal 5 6 6 7" xfId="14363"/>
    <cellStyle name="Normal 5 6 7" xfId="3826"/>
    <cellStyle name="Normal 5 6 7 2" xfId="4677"/>
    <cellStyle name="Normal 5 6 7 2 2" xfId="6345"/>
    <cellStyle name="Normal 5 6 7 2 2 2" xfId="9680"/>
    <cellStyle name="Normal 5 6 7 2 2 2 2" xfId="20396"/>
    <cellStyle name="Normal 5 6 7 2 2 3" xfId="13008"/>
    <cellStyle name="Normal 5 6 7 2 2 3 2" xfId="23724"/>
    <cellStyle name="Normal 5 6 7 2 2 4" xfId="17068"/>
    <cellStyle name="Normal 5 6 7 2 3" xfId="8016"/>
    <cellStyle name="Normal 5 6 7 2 3 2" xfId="18732"/>
    <cellStyle name="Normal 5 6 7 2 4" xfId="11344"/>
    <cellStyle name="Normal 5 6 7 2 4 2" xfId="22060"/>
    <cellStyle name="Normal 5 6 7 2 5" xfId="15404"/>
    <cellStyle name="Normal 5 6 7 3" xfId="5513"/>
    <cellStyle name="Normal 5 6 7 3 2" xfId="8848"/>
    <cellStyle name="Normal 5 6 7 3 2 2" xfId="19564"/>
    <cellStyle name="Normal 5 6 7 3 3" xfId="12176"/>
    <cellStyle name="Normal 5 6 7 3 3 2" xfId="22892"/>
    <cellStyle name="Normal 5 6 7 3 4" xfId="16236"/>
    <cellStyle name="Normal 5 6 7 4" xfId="7184"/>
    <cellStyle name="Normal 5 6 7 4 2" xfId="17900"/>
    <cellStyle name="Normal 5 6 7 5" xfId="10512"/>
    <cellStyle name="Normal 5 6 7 5 2" xfId="21228"/>
    <cellStyle name="Normal 5 6 7 6" xfId="14572"/>
    <cellStyle name="Normal 5 6 8" xfId="4259"/>
    <cellStyle name="Normal 5 6 8 2" xfId="5929"/>
    <cellStyle name="Normal 5 6 8 2 2" xfId="9264"/>
    <cellStyle name="Normal 5 6 8 2 2 2" xfId="19980"/>
    <cellStyle name="Normal 5 6 8 2 3" xfId="12592"/>
    <cellStyle name="Normal 5 6 8 2 3 2" xfId="23308"/>
    <cellStyle name="Normal 5 6 8 2 4" xfId="16652"/>
    <cellStyle name="Normal 5 6 8 3" xfId="7600"/>
    <cellStyle name="Normal 5 6 8 3 2" xfId="18316"/>
    <cellStyle name="Normal 5 6 8 4" xfId="10928"/>
    <cellStyle name="Normal 5 6 8 4 2" xfId="21644"/>
    <cellStyle name="Normal 5 6 8 5" xfId="14988"/>
    <cellStyle name="Normal 5 6 9" xfId="5094"/>
    <cellStyle name="Normal 5 6 9 2" xfId="8432"/>
    <cellStyle name="Normal 5 6 9 2 2" xfId="19148"/>
    <cellStyle name="Normal 5 6 9 3" xfId="11760"/>
    <cellStyle name="Normal 5 6 9 3 2" xfId="22476"/>
    <cellStyle name="Normal 5 6 9 4" xfId="15820"/>
    <cellStyle name="Normal 5 7" xfId="1449"/>
    <cellStyle name="Normal 5 7 10" xfId="10112"/>
    <cellStyle name="Normal 5 7 10 2" xfId="20828"/>
    <cellStyle name="Normal 5 7 11" xfId="14169"/>
    <cellStyle name="Normal 5 7 2" xfId="1450"/>
    <cellStyle name="Normal 5 7 2 10" xfId="14170"/>
    <cellStyle name="Normal 5 7 2 2" xfId="1451"/>
    <cellStyle name="Normal 5 7 2 2 2" xfId="1452"/>
    <cellStyle name="Normal 5 7 2 2 2 2" xfId="3136"/>
    <cellStyle name="Normal 5 7 2 2 2 2 2" xfId="4064"/>
    <cellStyle name="Normal 5 7 2 2 2 2 2 2" xfId="4904"/>
    <cellStyle name="Normal 5 7 2 2 2 2 2 2 2" xfId="6572"/>
    <cellStyle name="Normal 5 7 2 2 2 2 2 2 2 2" xfId="9907"/>
    <cellStyle name="Normal 5 7 2 2 2 2 2 2 2 2 2" xfId="20623"/>
    <cellStyle name="Normal 5 7 2 2 2 2 2 2 2 3" xfId="13235"/>
    <cellStyle name="Normal 5 7 2 2 2 2 2 2 2 3 2" xfId="23951"/>
    <cellStyle name="Normal 5 7 2 2 2 2 2 2 2 4" xfId="17295"/>
    <cellStyle name="Normal 5 7 2 2 2 2 2 2 3" xfId="8243"/>
    <cellStyle name="Normal 5 7 2 2 2 2 2 2 3 2" xfId="18959"/>
    <cellStyle name="Normal 5 7 2 2 2 2 2 2 4" xfId="11571"/>
    <cellStyle name="Normal 5 7 2 2 2 2 2 2 4 2" xfId="22287"/>
    <cellStyle name="Normal 5 7 2 2 2 2 2 2 5" xfId="15631"/>
    <cellStyle name="Normal 5 7 2 2 2 2 2 3" xfId="5740"/>
    <cellStyle name="Normal 5 7 2 2 2 2 2 3 2" xfId="9075"/>
    <cellStyle name="Normal 5 7 2 2 2 2 2 3 2 2" xfId="19791"/>
    <cellStyle name="Normal 5 7 2 2 2 2 2 3 3" xfId="12403"/>
    <cellStyle name="Normal 5 7 2 2 2 2 2 3 3 2" xfId="23119"/>
    <cellStyle name="Normal 5 7 2 2 2 2 2 3 4" xfId="16463"/>
    <cellStyle name="Normal 5 7 2 2 2 2 2 4" xfId="7411"/>
    <cellStyle name="Normal 5 7 2 2 2 2 2 4 2" xfId="18127"/>
    <cellStyle name="Normal 5 7 2 2 2 2 2 5" xfId="10739"/>
    <cellStyle name="Normal 5 7 2 2 2 2 2 5 2" xfId="21455"/>
    <cellStyle name="Normal 5 7 2 2 2 2 2 6" xfId="14799"/>
    <cellStyle name="Normal 5 7 2 2 2 2 3" xfId="4488"/>
    <cellStyle name="Normal 5 7 2 2 2 2 3 2" xfId="6156"/>
    <cellStyle name="Normal 5 7 2 2 2 2 3 2 2" xfId="9491"/>
    <cellStyle name="Normal 5 7 2 2 2 2 3 2 2 2" xfId="20207"/>
    <cellStyle name="Normal 5 7 2 2 2 2 3 2 3" xfId="12819"/>
    <cellStyle name="Normal 5 7 2 2 2 2 3 2 3 2" xfId="23535"/>
    <cellStyle name="Normal 5 7 2 2 2 2 3 2 4" xfId="16879"/>
    <cellStyle name="Normal 5 7 2 2 2 2 3 3" xfId="7827"/>
    <cellStyle name="Normal 5 7 2 2 2 2 3 3 2" xfId="18543"/>
    <cellStyle name="Normal 5 7 2 2 2 2 3 4" xfId="11155"/>
    <cellStyle name="Normal 5 7 2 2 2 2 3 4 2" xfId="21871"/>
    <cellStyle name="Normal 5 7 2 2 2 2 3 5" xfId="15215"/>
    <cellStyle name="Normal 5 7 2 2 2 2 4" xfId="5324"/>
    <cellStyle name="Normal 5 7 2 2 2 2 4 2" xfId="8659"/>
    <cellStyle name="Normal 5 7 2 2 2 2 4 2 2" xfId="19375"/>
    <cellStyle name="Normal 5 7 2 2 2 2 4 3" xfId="11987"/>
    <cellStyle name="Normal 5 7 2 2 2 2 4 3 2" xfId="22703"/>
    <cellStyle name="Normal 5 7 2 2 2 2 4 4" xfId="16047"/>
    <cellStyle name="Normal 5 7 2 2 2 2 5" xfId="6994"/>
    <cellStyle name="Normal 5 7 2 2 2 2 5 2" xfId="17711"/>
    <cellStyle name="Normal 5 7 2 2 2 2 6" xfId="10323"/>
    <cellStyle name="Normal 5 7 2 2 2 2 6 2" xfId="21039"/>
    <cellStyle name="Normal 5 7 2 2 2 2 7" xfId="14382"/>
    <cellStyle name="Normal 5 7 2 2 2 3" xfId="3845"/>
    <cellStyle name="Normal 5 7 2 2 2 3 2" xfId="4696"/>
    <cellStyle name="Normal 5 7 2 2 2 3 2 2" xfId="6364"/>
    <cellStyle name="Normal 5 7 2 2 2 3 2 2 2" xfId="9699"/>
    <cellStyle name="Normal 5 7 2 2 2 3 2 2 2 2" xfId="20415"/>
    <cellStyle name="Normal 5 7 2 2 2 3 2 2 3" xfId="13027"/>
    <cellStyle name="Normal 5 7 2 2 2 3 2 2 3 2" xfId="23743"/>
    <cellStyle name="Normal 5 7 2 2 2 3 2 2 4" xfId="17087"/>
    <cellStyle name="Normal 5 7 2 2 2 3 2 3" xfId="8035"/>
    <cellStyle name="Normal 5 7 2 2 2 3 2 3 2" xfId="18751"/>
    <cellStyle name="Normal 5 7 2 2 2 3 2 4" xfId="11363"/>
    <cellStyle name="Normal 5 7 2 2 2 3 2 4 2" xfId="22079"/>
    <cellStyle name="Normal 5 7 2 2 2 3 2 5" xfId="15423"/>
    <cellStyle name="Normal 5 7 2 2 2 3 3" xfId="5532"/>
    <cellStyle name="Normal 5 7 2 2 2 3 3 2" xfId="8867"/>
    <cellStyle name="Normal 5 7 2 2 2 3 3 2 2" xfId="19583"/>
    <cellStyle name="Normal 5 7 2 2 2 3 3 3" xfId="12195"/>
    <cellStyle name="Normal 5 7 2 2 2 3 3 3 2" xfId="22911"/>
    <cellStyle name="Normal 5 7 2 2 2 3 3 4" xfId="16255"/>
    <cellStyle name="Normal 5 7 2 2 2 3 4" xfId="7203"/>
    <cellStyle name="Normal 5 7 2 2 2 3 4 2" xfId="17919"/>
    <cellStyle name="Normal 5 7 2 2 2 3 5" xfId="10531"/>
    <cellStyle name="Normal 5 7 2 2 2 3 5 2" xfId="21247"/>
    <cellStyle name="Normal 5 7 2 2 2 3 6" xfId="14591"/>
    <cellStyle name="Normal 5 7 2 2 2 4" xfId="4278"/>
    <cellStyle name="Normal 5 7 2 2 2 4 2" xfId="5948"/>
    <cellStyle name="Normal 5 7 2 2 2 4 2 2" xfId="9283"/>
    <cellStyle name="Normal 5 7 2 2 2 4 2 2 2" xfId="19999"/>
    <cellStyle name="Normal 5 7 2 2 2 4 2 3" xfId="12611"/>
    <cellStyle name="Normal 5 7 2 2 2 4 2 3 2" xfId="23327"/>
    <cellStyle name="Normal 5 7 2 2 2 4 2 4" xfId="16671"/>
    <cellStyle name="Normal 5 7 2 2 2 4 3" xfId="7619"/>
    <cellStyle name="Normal 5 7 2 2 2 4 3 2" xfId="18335"/>
    <cellStyle name="Normal 5 7 2 2 2 4 4" xfId="10947"/>
    <cellStyle name="Normal 5 7 2 2 2 4 4 2" xfId="21663"/>
    <cellStyle name="Normal 5 7 2 2 2 4 5" xfId="15007"/>
    <cellStyle name="Normal 5 7 2 2 2 5" xfId="5113"/>
    <cellStyle name="Normal 5 7 2 2 2 5 2" xfId="8451"/>
    <cellStyle name="Normal 5 7 2 2 2 5 2 2" xfId="19167"/>
    <cellStyle name="Normal 5 7 2 2 2 5 3" xfId="11779"/>
    <cellStyle name="Normal 5 7 2 2 2 5 3 2" xfId="22495"/>
    <cellStyle name="Normal 5 7 2 2 2 5 4" xfId="15839"/>
    <cellStyle name="Normal 5 7 2 2 2 6" xfId="6783"/>
    <cellStyle name="Normal 5 7 2 2 2 6 2" xfId="17503"/>
    <cellStyle name="Normal 5 7 2 2 2 7" xfId="10115"/>
    <cellStyle name="Normal 5 7 2 2 2 7 2" xfId="20831"/>
    <cellStyle name="Normal 5 7 2 2 2 8" xfId="14172"/>
    <cellStyle name="Normal 5 7 2 2 3" xfId="3135"/>
    <cellStyle name="Normal 5 7 2 2 3 2" xfId="4063"/>
    <cellStyle name="Normal 5 7 2 2 3 2 2" xfId="4903"/>
    <cellStyle name="Normal 5 7 2 2 3 2 2 2" xfId="6571"/>
    <cellStyle name="Normal 5 7 2 2 3 2 2 2 2" xfId="9906"/>
    <cellStyle name="Normal 5 7 2 2 3 2 2 2 2 2" xfId="20622"/>
    <cellStyle name="Normal 5 7 2 2 3 2 2 2 3" xfId="13234"/>
    <cellStyle name="Normal 5 7 2 2 3 2 2 2 3 2" xfId="23950"/>
    <cellStyle name="Normal 5 7 2 2 3 2 2 2 4" xfId="17294"/>
    <cellStyle name="Normal 5 7 2 2 3 2 2 3" xfId="8242"/>
    <cellStyle name="Normal 5 7 2 2 3 2 2 3 2" xfId="18958"/>
    <cellStyle name="Normal 5 7 2 2 3 2 2 4" xfId="11570"/>
    <cellStyle name="Normal 5 7 2 2 3 2 2 4 2" xfId="22286"/>
    <cellStyle name="Normal 5 7 2 2 3 2 2 5" xfId="15630"/>
    <cellStyle name="Normal 5 7 2 2 3 2 3" xfId="5739"/>
    <cellStyle name="Normal 5 7 2 2 3 2 3 2" xfId="9074"/>
    <cellStyle name="Normal 5 7 2 2 3 2 3 2 2" xfId="19790"/>
    <cellStyle name="Normal 5 7 2 2 3 2 3 3" xfId="12402"/>
    <cellStyle name="Normal 5 7 2 2 3 2 3 3 2" xfId="23118"/>
    <cellStyle name="Normal 5 7 2 2 3 2 3 4" xfId="16462"/>
    <cellStyle name="Normal 5 7 2 2 3 2 4" xfId="7410"/>
    <cellStyle name="Normal 5 7 2 2 3 2 4 2" xfId="18126"/>
    <cellStyle name="Normal 5 7 2 2 3 2 5" xfId="10738"/>
    <cellStyle name="Normal 5 7 2 2 3 2 5 2" xfId="21454"/>
    <cellStyle name="Normal 5 7 2 2 3 2 6" xfId="14798"/>
    <cellStyle name="Normal 5 7 2 2 3 3" xfId="4487"/>
    <cellStyle name="Normal 5 7 2 2 3 3 2" xfId="6155"/>
    <cellStyle name="Normal 5 7 2 2 3 3 2 2" xfId="9490"/>
    <cellStyle name="Normal 5 7 2 2 3 3 2 2 2" xfId="20206"/>
    <cellStyle name="Normal 5 7 2 2 3 3 2 3" xfId="12818"/>
    <cellStyle name="Normal 5 7 2 2 3 3 2 3 2" xfId="23534"/>
    <cellStyle name="Normal 5 7 2 2 3 3 2 4" xfId="16878"/>
    <cellStyle name="Normal 5 7 2 2 3 3 3" xfId="7826"/>
    <cellStyle name="Normal 5 7 2 2 3 3 3 2" xfId="18542"/>
    <cellStyle name="Normal 5 7 2 2 3 3 4" xfId="11154"/>
    <cellStyle name="Normal 5 7 2 2 3 3 4 2" xfId="21870"/>
    <cellStyle name="Normal 5 7 2 2 3 3 5" xfId="15214"/>
    <cellStyle name="Normal 5 7 2 2 3 4" xfId="5323"/>
    <cellStyle name="Normal 5 7 2 2 3 4 2" xfId="8658"/>
    <cellStyle name="Normal 5 7 2 2 3 4 2 2" xfId="19374"/>
    <cellStyle name="Normal 5 7 2 2 3 4 3" xfId="11986"/>
    <cellStyle name="Normal 5 7 2 2 3 4 3 2" xfId="22702"/>
    <cellStyle name="Normal 5 7 2 2 3 4 4" xfId="16046"/>
    <cellStyle name="Normal 5 7 2 2 3 5" xfId="6993"/>
    <cellStyle name="Normal 5 7 2 2 3 5 2" xfId="17710"/>
    <cellStyle name="Normal 5 7 2 2 3 6" xfId="10322"/>
    <cellStyle name="Normal 5 7 2 2 3 6 2" xfId="21038"/>
    <cellStyle name="Normal 5 7 2 2 3 7" xfId="14381"/>
    <cellStyle name="Normal 5 7 2 2 4" xfId="3844"/>
    <cellStyle name="Normal 5 7 2 2 4 2" xfId="4695"/>
    <cellStyle name="Normal 5 7 2 2 4 2 2" xfId="6363"/>
    <cellStyle name="Normal 5 7 2 2 4 2 2 2" xfId="9698"/>
    <cellStyle name="Normal 5 7 2 2 4 2 2 2 2" xfId="20414"/>
    <cellStyle name="Normal 5 7 2 2 4 2 2 3" xfId="13026"/>
    <cellStyle name="Normal 5 7 2 2 4 2 2 3 2" xfId="23742"/>
    <cellStyle name="Normal 5 7 2 2 4 2 2 4" xfId="17086"/>
    <cellStyle name="Normal 5 7 2 2 4 2 3" xfId="8034"/>
    <cellStyle name="Normal 5 7 2 2 4 2 3 2" xfId="18750"/>
    <cellStyle name="Normal 5 7 2 2 4 2 4" xfId="11362"/>
    <cellStyle name="Normal 5 7 2 2 4 2 4 2" xfId="22078"/>
    <cellStyle name="Normal 5 7 2 2 4 2 5" xfId="15422"/>
    <cellStyle name="Normal 5 7 2 2 4 3" xfId="5531"/>
    <cellStyle name="Normal 5 7 2 2 4 3 2" xfId="8866"/>
    <cellStyle name="Normal 5 7 2 2 4 3 2 2" xfId="19582"/>
    <cellStyle name="Normal 5 7 2 2 4 3 3" xfId="12194"/>
    <cellStyle name="Normal 5 7 2 2 4 3 3 2" xfId="22910"/>
    <cellStyle name="Normal 5 7 2 2 4 3 4" xfId="16254"/>
    <cellStyle name="Normal 5 7 2 2 4 4" xfId="7202"/>
    <cellStyle name="Normal 5 7 2 2 4 4 2" xfId="17918"/>
    <cellStyle name="Normal 5 7 2 2 4 5" xfId="10530"/>
    <cellStyle name="Normal 5 7 2 2 4 5 2" xfId="21246"/>
    <cellStyle name="Normal 5 7 2 2 4 6" xfId="14590"/>
    <cellStyle name="Normal 5 7 2 2 5" xfId="4277"/>
    <cellStyle name="Normal 5 7 2 2 5 2" xfId="5947"/>
    <cellStyle name="Normal 5 7 2 2 5 2 2" xfId="9282"/>
    <cellStyle name="Normal 5 7 2 2 5 2 2 2" xfId="19998"/>
    <cellStyle name="Normal 5 7 2 2 5 2 3" xfId="12610"/>
    <cellStyle name="Normal 5 7 2 2 5 2 3 2" xfId="23326"/>
    <cellStyle name="Normal 5 7 2 2 5 2 4" xfId="16670"/>
    <cellStyle name="Normal 5 7 2 2 5 3" xfId="7618"/>
    <cellStyle name="Normal 5 7 2 2 5 3 2" xfId="18334"/>
    <cellStyle name="Normal 5 7 2 2 5 4" xfId="10946"/>
    <cellStyle name="Normal 5 7 2 2 5 4 2" xfId="21662"/>
    <cellStyle name="Normal 5 7 2 2 5 5" xfId="15006"/>
    <cellStyle name="Normal 5 7 2 2 6" xfId="5112"/>
    <cellStyle name="Normal 5 7 2 2 6 2" xfId="8450"/>
    <cellStyle name="Normal 5 7 2 2 6 2 2" xfId="19166"/>
    <cellStyle name="Normal 5 7 2 2 6 3" xfId="11778"/>
    <cellStyle name="Normal 5 7 2 2 6 3 2" xfId="22494"/>
    <cellStyle name="Normal 5 7 2 2 6 4" xfId="15838"/>
    <cellStyle name="Normal 5 7 2 2 7" xfId="6782"/>
    <cellStyle name="Normal 5 7 2 2 7 2" xfId="17502"/>
    <cellStyle name="Normal 5 7 2 2 8" xfId="10114"/>
    <cellStyle name="Normal 5 7 2 2 8 2" xfId="20830"/>
    <cellStyle name="Normal 5 7 2 2 9" xfId="14171"/>
    <cellStyle name="Normal 5 7 2 3" xfId="1453"/>
    <cellStyle name="Normal 5 7 2 3 2" xfId="3137"/>
    <cellStyle name="Normal 5 7 2 3 2 2" xfId="4065"/>
    <cellStyle name="Normal 5 7 2 3 2 2 2" xfId="4905"/>
    <cellStyle name="Normal 5 7 2 3 2 2 2 2" xfId="6573"/>
    <cellStyle name="Normal 5 7 2 3 2 2 2 2 2" xfId="9908"/>
    <cellStyle name="Normal 5 7 2 3 2 2 2 2 2 2" xfId="20624"/>
    <cellStyle name="Normal 5 7 2 3 2 2 2 2 3" xfId="13236"/>
    <cellStyle name="Normal 5 7 2 3 2 2 2 2 3 2" xfId="23952"/>
    <cellStyle name="Normal 5 7 2 3 2 2 2 2 4" xfId="17296"/>
    <cellStyle name="Normal 5 7 2 3 2 2 2 3" xfId="8244"/>
    <cellStyle name="Normal 5 7 2 3 2 2 2 3 2" xfId="18960"/>
    <cellStyle name="Normal 5 7 2 3 2 2 2 4" xfId="11572"/>
    <cellStyle name="Normal 5 7 2 3 2 2 2 4 2" xfId="22288"/>
    <cellStyle name="Normal 5 7 2 3 2 2 2 5" xfId="15632"/>
    <cellStyle name="Normal 5 7 2 3 2 2 3" xfId="5741"/>
    <cellStyle name="Normal 5 7 2 3 2 2 3 2" xfId="9076"/>
    <cellStyle name="Normal 5 7 2 3 2 2 3 2 2" xfId="19792"/>
    <cellStyle name="Normal 5 7 2 3 2 2 3 3" xfId="12404"/>
    <cellStyle name="Normal 5 7 2 3 2 2 3 3 2" xfId="23120"/>
    <cellStyle name="Normal 5 7 2 3 2 2 3 4" xfId="16464"/>
    <cellStyle name="Normal 5 7 2 3 2 2 4" xfId="7412"/>
    <cellStyle name="Normal 5 7 2 3 2 2 4 2" xfId="18128"/>
    <cellStyle name="Normal 5 7 2 3 2 2 5" xfId="10740"/>
    <cellStyle name="Normal 5 7 2 3 2 2 5 2" xfId="21456"/>
    <cellStyle name="Normal 5 7 2 3 2 2 6" xfId="14800"/>
    <cellStyle name="Normal 5 7 2 3 2 3" xfId="4489"/>
    <cellStyle name="Normal 5 7 2 3 2 3 2" xfId="6157"/>
    <cellStyle name="Normal 5 7 2 3 2 3 2 2" xfId="9492"/>
    <cellStyle name="Normal 5 7 2 3 2 3 2 2 2" xfId="20208"/>
    <cellStyle name="Normal 5 7 2 3 2 3 2 3" xfId="12820"/>
    <cellStyle name="Normal 5 7 2 3 2 3 2 3 2" xfId="23536"/>
    <cellStyle name="Normal 5 7 2 3 2 3 2 4" xfId="16880"/>
    <cellStyle name="Normal 5 7 2 3 2 3 3" xfId="7828"/>
    <cellStyle name="Normal 5 7 2 3 2 3 3 2" xfId="18544"/>
    <cellStyle name="Normal 5 7 2 3 2 3 4" xfId="11156"/>
    <cellStyle name="Normal 5 7 2 3 2 3 4 2" xfId="21872"/>
    <cellStyle name="Normal 5 7 2 3 2 3 5" xfId="15216"/>
    <cellStyle name="Normal 5 7 2 3 2 4" xfId="5325"/>
    <cellStyle name="Normal 5 7 2 3 2 4 2" xfId="8660"/>
    <cellStyle name="Normal 5 7 2 3 2 4 2 2" xfId="19376"/>
    <cellStyle name="Normal 5 7 2 3 2 4 3" xfId="11988"/>
    <cellStyle name="Normal 5 7 2 3 2 4 3 2" xfId="22704"/>
    <cellStyle name="Normal 5 7 2 3 2 4 4" xfId="16048"/>
    <cellStyle name="Normal 5 7 2 3 2 5" xfId="6995"/>
    <cellStyle name="Normal 5 7 2 3 2 5 2" xfId="17712"/>
    <cellStyle name="Normal 5 7 2 3 2 6" xfId="10324"/>
    <cellStyle name="Normal 5 7 2 3 2 6 2" xfId="21040"/>
    <cellStyle name="Normal 5 7 2 3 2 7" xfId="14383"/>
    <cellStyle name="Normal 5 7 2 3 3" xfId="3846"/>
    <cellStyle name="Normal 5 7 2 3 3 2" xfId="4697"/>
    <cellStyle name="Normal 5 7 2 3 3 2 2" xfId="6365"/>
    <cellStyle name="Normal 5 7 2 3 3 2 2 2" xfId="9700"/>
    <cellStyle name="Normal 5 7 2 3 3 2 2 2 2" xfId="20416"/>
    <cellStyle name="Normal 5 7 2 3 3 2 2 3" xfId="13028"/>
    <cellStyle name="Normal 5 7 2 3 3 2 2 3 2" xfId="23744"/>
    <cellStyle name="Normal 5 7 2 3 3 2 2 4" xfId="17088"/>
    <cellStyle name="Normal 5 7 2 3 3 2 3" xfId="8036"/>
    <cellStyle name="Normal 5 7 2 3 3 2 3 2" xfId="18752"/>
    <cellStyle name="Normal 5 7 2 3 3 2 4" xfId="11364"/>
    <cellStyle name="Normal 5 7 2 3 3 2 4 2" xfId="22080"/>
    <cellStyle name="Normal 5 7 2 3 3 2 5" xfId="15424"/>
    <cellStyle name="Normal 5 7 2 3 3 3" xfId="5533"/>
    <cellStyle name="Normal 5 7 2 3 3 3 2" xfId="8868"/>
    <cellStyle name="Normal 5 7 2 3 3 3 2 2" xfId="19584"/>
    <cellStyle name="Normal 5 7 2 3 3 3 3" xfId="12196"/>
    <cellStyle name="Normal 5 7 2 3 3 3 3 2" xfId="22912"/>
    <cellStyle name="Normal 5 7 2 3 3 3 4" xfId="16256"/>
    <cellStyle name="Normal 5 7 2 3 3 4" xfId="7204"/>
    <cellStyle name="Normal 5 7 2 3 3 4 2" xfId="17920"/>
    <cellStyle name="Normal 5 7 2 3 3 5" xfId="10532"/>
    <cellStyle name="Normal 5 7 2 3 3 5 2" xfId="21248"/>
    <cellStyle name="Normal 5 7 2 3 3 6" xfId="14592"/>
    <cellStyle name="Normal 5 7 2 3 4" xfId="4279"/>
    <cellStyle name="Normal 5 7 2 3 4 2" xfId="5949"/>
    <cellStyle name="Normal 5 7 2 3 4 2 2" xfId="9284"/>
    <cellStyle name="Normal 5 7 2 3 4 2 2 2" xfId="20000"/>
    <cellStyle name="Normal 5 7 2 3 4 2 3" xfId="12612"/>
    <cellStyle name="Normal 5 7 2 3 4 2 3 2" xfId="23328"/>
    <cellStyle name="Normal 5 7 2 3 4 2 4" xfId="16672"/>
    <cellStyle name="Normal 5 7 2 3 4 3" xfId="7620"/>
    <cellStyle name="Normal 5 7 2 3 4 3 2" xfId="18336"/>
    <cellStyle name="Normal 5 7 2 3 4 4" xfId="10948"/>
    <cellStyle name="Normal 5 7 2 3 4 4 2" xfId="21664"/>
    <cellStyle name="Normal 5 7 2 3 4 5" xfId="15008"/>
    <cellStyle name="Normal 5 7 2 3 5" xfId="5114"/>
    <cellStyle name="Normal 5 7 2 3 5 2" xfId="8452"/>
    <cellStyle name="Normal 5 7 2 3 5 2 2" xfId="19168"/>
    <cellStyle name="Normal 5 7 2 3 5 3" xfId="11780"/>
    <cellStyle name="Normal 5 7 2 3 5 3 2" xfId="22496"/>
    <cellStyle name="Normal 5 7 2 3 5 4" xfId="15840"/>
    <cellStyle name="Normal 5 7 2 3 6" xfId="6784"/>
    <cellStyle name="Normal 5 7 2 3 6 2" xfId="17504"/>
    <cellStyle name="Normal 5 7 2 3 7" xfId="10116"/>
    <cellStyle name="Normal 5 7 2 3 7 2" xfId="20832"/>
    <cellStyle name="Normal 5 7 2 3 8" xfId="14173"/>
    <cellStyle name="Normal 5 7 2 4" xfId="3134"/>
    <cellStyle name="Normal 5 7 2 4 2" xfId="4062"/>
    <cellStyle name="Normal 5 7 2 4 2 2" xfId="4902"/>
    <cellStyle name="Normal 5 7 2 4 2 2 2" xfId="6570"/>
    <cellStyle name="Normal 5 7 2 4 2 2 2 2" xfId="9905"/>
    <cellStyle name="Normal 5 7 2 4 2 2 2 2 2" xfId="20621"/>
    <cellStyle name="Normal 5 7 2 4 2 2 2 3" xfId="13233"/>
    <cellStyle name="Normal 5 7 2 4 2 2 2 3 2" xfId="23949"/>
    <cellStyle name="Normal 5 7 2 4 2 2 2 4" xfId="17293"/>
    <cellStyle name="Normal 5 7 2 4 2 2 3" xfId="8241"/>
    <cellStyle name="Normal 5 7 2 4 2 2 3 2" xfId="18957"/>
    <cellStyle name="Normal 5 7 2 4 2 2 4" xfId="11569"/>
    <cellStyle name="Normal 5 7 2 4 2 2 4 2" xfId="22285"/>
    <cellStyle name="Normal 5 7 2 4 2 2 5" xfId="15629"/>
    <cellStyle name="Normal 5 7 2 4 2 3" xfId="5738"/>
    <cellStyle name="Normal 5 7 2 4 2 3 2" xfId="9073"/>
    <cellStyle name="Normal 5 7 2 4 2 3 2 2" xfId="19789"/>
    <cellStyle name="Normal 5 7 2 4 2 3 3" xfId="12401"/>
    <cellStyle name="Normal 5 7 2 4 2 3 3 2" xfId="23117"/>
    <cellStyle name="Normal 5 7 2 4 2 3 4" xfId="16461"/>
    <cellStyle name="Normal 5 7 2 4 2 4" xfId="7409"/>
    <cellStyle name="Normal 5 7 2 4 2 4 2" xfId="18125"/>
    <cellStyle name="Normal 5 7 2 4 2 5" xfId="10737"/>
    <cellStyle name="Normal 5 7 2 4 2 5 2" xfId="21453"/>
    <cellStyle name="Normal 5 7 2 4 2 6" xfId="14797"/>
    <cellStyle name="Normal 5 7 2 4 3" xfId="4486"/>
    <cellStyle name="Normal 5 7 2 4 3 2" xfId="6154"/>
    <cellStyle name="Normal 5 7 2 4 3 2 2" xfId="9489"/>
    <cellStyle name="Normal 5 7 2 4 3 2 2 2" xfId="20205"/>
    <cellStyle name="Normal 5 7 2 4 3 2 3" xfId="12817"/>
    <cellStyle name="Normal 5 7 2 4 3 2 3 2" xfId="23533"/>
    <cellStyle name="Normal 5 7 2 4 3 2 4" xfId="16877"/>
    <cellStyle name="Normal 5 7 2 4 3 3" xfId="7825"/>
    <cellStyle name="Normal 5 7 2 4 3 3 2" xfId="18541"/>
    <cellStyle name="Normal 5 7 2 4 3 4" xfId="11153"/>
    <cellStyle name="Normal 5 7 2 4 3 4 2" xfId="21869"/>
    <cellStyle name="Normal 5 7 2 4 3 5" xfId="15213"/>
    <cellStyle name="Normal 5 7 2 4 4" xfId="5322"/>
    <cellStyle name="Normal 5 7 2 4 4 2" xfId="8657"/>
    <cellStyle name="Normal 5 7 2 4 4 2 2" xfId="19373"/>
    <cellStyle name="Normal 5 7 2 4 4 3" xfId="11985"/>
    <cellStyle name="Normal 5 7 2 4 4 3 2" xfId="22701"/>
    <cellStyle name="Normal 5 7 2 4 4 4" xfId="16045"/>
    <cellStyle name="Normal 5 7 2 4 5" xfId="6992"/>
    <cellStyle name="Normal 5 7 2 4 5 2" xfId="17709"/>
    <cellStyle name="Normal 5 7 2 4 6" xfId="10321"/>
    <cellStyle name="Normal 5 7 2 4 6 2" xfId="21037"/>
    <cellStyle name="Normal 5 7 2 4 7" xfId="14380"/>
    <cellStyle name="Normal 5 7 2 5" xfId="3843"/>
    <cellStyle name="Normal 5 7 2 5 2" xfId="4694"/>
    <cellStyle name="Normal 5 7 2 5 2 2" xfId="6362"/>
    <cellStyle name="Normal 5 7 2 5 2 2 2" xfId="9697"/>
    <cellStyle name="Normal 5 7 2 5 2 2 2 2" xfId="20413"/>
    <cellStyle name="Normal 5 7 2 5 2 2 3" xfId="13025"/>
    <cellStyle name="Normal 5 7 2 5 2 2 3 2" xfId="23741"/>
    <cellStyle name="Normal 5 7 2 5 2 2 4" xfId="17085"/>
    <cellStyle name="Normal 5 7 2 5 2 3" xfId="8033"/>
    <cellStyle name="Normal 5 7 2 5 2 3 2" xfId="18749"/>
    <cellStyle name="Normal 5 7 2 5 2 4" xfId="11361"/>
    <cellStyle name="Normal 5 7 2 5 2 4 2" xfId="22077"/>
    <cellStyle name="Normal 5 7 2 5 2 5" xfId="15421"/>
    <cellStyle name="Normal 5 7 2 5 3" xfId="5530"/>
    <cellStyle name="Normal 5 7 2 5 3 2" xfId="8865"/>
    <cellStyle name="Normal 5 7 2 5 3 2 2" xfId="19581"/>
    <cellStyle name="Normal 5 7 2 5 3 3" xfId="12193"/>
    <cellStyle name="Normal 5 7 2 5 3 3 2" xfId="22909"/>
    <cellStyle name="Normal 5 7 2 5 3 4" xfId="16253"/>
    <cellStyle name="Normal 5 7 2 5 4" xfId="7201"/>
    <cellStyle name="Normal 5 7 2 5 4 2" xfId="17917"/>
    <cellStyle name="Normal 5 7 2 5 5" xfId="10529"/>
    <cellStyle name="Normal 5 7 2 5 5 2" xfId="21245"/>
    <cellStyle name="Normal 5 7 2 5 6" xfId="14589"/>
    <cellStyle name="Normal 5 7 2 6" xfId="4276"/>
    <cellStyle name="Normal 5 7 2 6 2" xfId="5946"/>
    <cellStyle name="Normal 5 7 2 6 2 2" xfId="9281"/>
    <cellStyle name="Normal 5 7 2 6 2 2 2" xfId="19997"/>
    <cellStyle name="Normal 5 7 2 6 2 3" xfId="12609"/>
    <cellStyle name="Normal 5 7 2 6 2 3 2" xfId="23325"/>
    <cellStyle name="Normal 5 7 2 6 2 4" xfId="16669"/>
    <cellStyle name="Normal 5 7 2 6 3" xfId="7617"/>
    <cellStyle name="Normal 5 7 2 6 3 2" xfId="18333"/>
    <cellStyle name="Normal 5 7 2 6 4" xfId="10945"/>
    <cellStyle name="Normal 5 7 2 6 4 2" xfId="21661"/>
    <cellStyle name="Normal 5 7 2 6 5" xfId="15005"/>
    <cellStyle name="Normal 5 7 2 7" xfId="5111"/>
    <cellStyle name="Normal 5 7 2 7 2" xfId="8449"/>
    <cellStyle name="Normal 5 7 2 7 2 2" xfId="19165"/>
    <cellStyle name="Normal 5 7 2 7 3" xfId="11777"/>
    <cellStyle name="Normal 5 7 2 7 3 2" xfId="22493"/>
    <cellStyle name="Normal 5 7 2 7 4" xfId="15837"/>
    <cellStyle name="Normal 5 7 2 8" xfId="6781"/>
    <cellStyle name="Normal 5 7 2 8 2" xfId="17501"/>
    <cellStyle name="Normal 5 7 2 9" xfId="10113"/>
    <cellStyle name="Normal 5 7 2 9 2" xfId="20829"/>
    <cellStyle name="Normal 5 7 3" xfId="1454"/>
    <cellStyle name="Normal 5 7 3 2" xfId="1455"/>
    <cellStyle name="Normal 5 7 3 2 2" xfId="3139"/>
    <cellStyle name="Normal 5 7 3 2 2 2" xfId="4067"/>
    <cellStyle name="Normal 5 7 3 2 2 2 2" xfId="4907"/>
    <cellStyle name="Normal 5 7 3 2 2 2 2 2" xfId="6575"/>
    <cellStyle name="Normal 5 7 3 2 2 2 2 2 2" xfId="9910"/>
    <cellStyle name="Normal 5 7 3 2 2 2 2 2 2 2" xfId="20626"/>
    <cellStyle name="Normal 5 7 3 2 2 2 2 2 3" xfId="13238"/>
    <cellStyle name="Normal 5 7 3 2 2 2 2 2 3 2" xfId="23954"/>
    <cellStyle name="Normal 5 7 3 2 2 2 2 2 4" xfId="17298"/>
    <cellStyle name="Normal 5 7 3 2 2 2 2 3" xfId="8246"/>
    <cellStyle name="Normal 5 7 3 2 2 2 2 3 2" xfId="18962"/>
    <cellStyle name="Normal 5 7 3 2 2 2 2 4" xfId="11574"/>
    <cellStyle name="Normal 5 7 3 2 2 2 2 4 2" xfId="22290"/>
    <cellStyle name="Normal 5 7 3 2 2 2 2 5" xfId="15634"/>
    <cellStyle name="Normal 5 7 3 2 2 2 3" xfId="5743"/>
    <cellStyle name="Normal 5 7 3 2 2 2 3 2" xfId="9078"/>
    <cellStyle name="Normal 5 7 3 2 2 2 3 2 2" xfId="19794"/>
    <cellStyle name="Normal 5 7 3 2 2 2 3 3" xfId="12406"/>
    <cellStyle name="Normal 5 7 3 2 2 2 3 3 2" xfId="23122"/>
    <cellStyle name="Normal 5 7 3 2 2 2 3 4" xfId="16466"/>
    <cellStyle name="Normal 5 7 3 2 2 2 4" xfId="7414"/>
    <cellStyle name="Normal 5 7 3 2 2 2 4 2" xfId="18130"/>
    <cellStyle name="Normal 5 7 3 2 2 2 5" xfId="10742"/>
    <cellStyle name="Normal 5 7 3 2 2 2 5 2" xfId="21458"/>
    <cellStyle name="Normal 5 7 3 2 2 2 6" xfId="14802"/>
    <cellStyle name="Normal 5 7 3 2 2 3" xfId="4491"/>
    <cellStyle name="Normal 5 7 3 2 2 3 2" xfId="6159"/>
    <cellStyle name="Normal 5 7 3 2 2 3 2 2" xfId="9494"/>
    <cellStyle name="Normal 5 7 3 2 2 3 2 2 2" xfId="20210"/>
    <cellStyle name="Normal 5 7 3 2 2 3 2 3" xfId="12822"/>
    <cellStyle name="Normal 5 7 3 2 2 3 2 3 2" xfId="23538"/>
    <cellStyle name="Normal 5 7 3 2 2 3 2 4" xfId="16882"/>
    <cellStyle name="Normal 5 7 3 2 2 3 3" xfId="7830"/>
    <cellStyle name="Normal 5 7 3 2 2 3 3 2" xfId="18546"/>
    <cellStyle name="Normal 5 7 3 2 2 3 4" xfId="11158"/>
    <cellStyle name="Normal 5 7 3 2 2 3 4 2" xfId="21874"/>
    <cellStyle name="Normal 5 7 3 2 2 3 5" xfId="15218"/>
    <cellStyle name="Normal 5 7 3 2 2 4" xfId="5327"/>
    <cellStyle name="Normal 5 7 3 2 2 4 2" xfId="8662"/>
    <cellStyle name="Normal 5 7 3 2 2 4 2 2" xfId="19378"/>
    <cellStyle name="Normal 5 7 3 2 2 4 3" xfId="11990"/>
    <cellStyle name="Normal 5 7 3 2 2 4 3 2" xfId="22706"/>
    <cellStyle name="Normal 5 7 3 2 2 4 4" xfId="16050"/>
    <cellStyle name="Normal 5 7 3 2 2 5" xfId="6997"/>
    <cellStyle name="Normal 5 7 3 2 2 5 2" xfId="17714"/>
    <cellStyle name="Normal 5 7 3 2 2 6" xfId="10326"/>
    <cellStyle name="Normal 5 7 3 2 2 6 2" xfId="21042"/>
    <cellStyle name="Normal 5 7 3 2 2 7" xfId="14385"/>
    <cellStyle name="Normal 5 7 3 2 3" xfId="3848"/>
    <cellStyle name="Normal 5 7 3 2 3 2" xfId="4699"/>
    <cellStyle name="Normal 5 7 3 2 3 2 2" xfId="6367"/>
    <cellStyle name="Normal 5 7 3 2 3 2 2 2" xfId="9702"/>
    <cellStyle name="Normal 5 7 3 2 3 2 2 2 2" xfId="20418"/>
    <cellStyle name="Normal 5 7 3 2 3 2 2 3" xfId="13030"/>
    <cellStyle name="Normal 5 7 3 2 3 2 2 3 2" xfId="23746"/>
    <cellStyle name="Normal 5 7 3 2 3 2 2 4" xfId="17090"/>
    <cellStyle name="Normal 5 7 3 2 3 2 3" xfId="8038"/>
    <cellStyle name="Normal 5 7 3 2 3 2 3 2" xfId="18754"/>
    <cellStyle name="Normal 5 7 3 2 3 2 4" xfId="11366"/>
    <cellStyle name="Normal 5 7 3 2 3 2 4 2" xfId="22082"/>
    <cellStyle name="Normal 5 7 3 2 3 2 5" xfId="15426"/>
    <cellStyle name="Normal 5 7 3 2 3 3" xfId="5535"/>
    <cellStyle name="Normal 5 7 3 2 3 3 2" xfId="8870"/>
    <cellStyle name="Normal 5 7 3 2 3 3 2 2" xfId="19586"/>
    <cellStyle name="Normal 5 7 3 2 3 3 3" xfId="12198"/>
    <cellStyle name="Normal 5 7 3 2 3 3 3 2" xfId="22914"/>
    <cellStyle name="Normal 5 7 3 2 3 3 4" xfId="16258"/>
    <cellStyle name="Normal 5 7 3 2 3 4" xfId="7206"/>
    <cellStyle name="Normal 5 7 3 2 3 4 2" xfId="17922"/>
    <cellStyle name="Normal 5 7 3 2 3 5" xfId="10534"/>
    <cellStyle name="Normal 5 7 3 2 3 5 2" xfId="21250"/>
    <cellStyle name="Normal 5 7 3 2 3 6" xfId="14594"/>
    <cellStyle name="Normal 5 7 3 2 4" xfId="4281"/>
    <cellStyle name="Normal 5 7 3 2 4 2" xfId="5951"/>
    <cellStyle name="Normal 5 7 3 2 4 2 2" xfId="9286"/>
    <cellStyle name="Normal 5 7 3 2 4 2 2 2" xfId="20002"/>
    <cellStyle name="Normal 5 7 3 2 4 2 3" xfId="12614"/>
    <cellStyle name="Normal 5 7 3 2 4 2 3 2" xfId="23330"/>
    <cellStyle name="Normal 5 7 3 2 4 2 4" xfId="16674"/>
    <cellStyle name="Normal 5 7 3 2 4 3" xfId="7622"/>
    <cellStyle name="Normal 5 7 3 2 4 3 2" xfId="18338"/>
    <cellStyle name="Normal 5 7 3 2 4 4" xfId="10950"/>
    <cellStyle name="Normal 5 7 3 2 4 4 2" xfId="21666"/>
    <cellStyle name="Normal 5 7 3 2 4 5" xfId="15010"/>
    <cellStyle name="Normal 5 7 3 2 5" xfId="5116"/>
    <cellStyle name="Normal 5 7 3 2 5 2" xfId="8454"/>
    <cellStyle name="Normal 5 7 3 2 5 2 2" xfId="19170"/>
    <cellStyle name="Normal 5 7 3 2 5 3" xfId="11782"/>
    <cellStyle name="Normal 5 7 3 2 5 3 2" xfId="22498"/>
    <cellStyle name="Normal 5 7 3 2 5 4" xfId="15842"/>
    <cellStyle name="Normal 5 7 3 2 6" xfId="6786"/>
    <cellStyle name="Normal 5 7 3 2 6 2" xfId="17506"/>
    <cellStyle name="Normal 5 7 3 2 7" xfId="10118"/>
    <cellStyle name="Normal 5 7 3 2 7 2" xfId="20834"/>
    <cellStyle name="Normal 5 7 3 2 8" xfId="14175"/>
    <cellStyle name="Normal 5 7 3 3" xfId="3138"/>
    <cellStyle name="Normal 5 7 3 3 2" xfId="4066"/>
    <cellStyle name="Normal 5 7 3 3 2 2" xfId="4906"/>
    <cellStyle name="Normal 5 7 3 3 2 2 2" xfId="6574"/>
    <cellStyle name="Normal 5 7 3 3 2 2 2 2" xfId="9909"/>
    <cellStyle name="Normal 5 7 3 3 2 2 2 2 2" xfId="20625"/>
    <cellStyle name="Normal 5 7 3 3 2 2 2 3" xfId="13237"/>
    <cellStyle name="Normal 5 7 3 3 2 2 2 3 2" xfId="23953"/>
    <cellStyle name="Normal 5 7 3 3 2 2 2 4" xfId="17297"/>
    <cellStyle name="Normal 5 7 3 3 2 2 3" xfId="8245"/>
    <cellStyle name="Normal 5 7 3 3 2 2 3 2" xfId="18961"/>
    <cellStyle name="Normal 5 7 3 3 2 2 4" xfId="11573"/>
    <cellStyle name="Normal 5 7 3 3 2 2 4 2" xfId="22289"/>
    <cellStyle name="Normal 5 7 3 3 2 2 5" xfId="15633"/>
    <cellStyle name="Normal 5 7 3 3 2 3" xfId="5742"/>
    <cellStyle name="Normal 5 7 3 3 2 3 2" xfId="9077"/>
    <cellStyle name="Normal 5 7 3 3 2 3 2 2" xfId="19793"/>
    <cellStyle name="Normal 5 7 3 3 2 3 3" xfId="12405"/>
    <cellStyle name="Normal 5 7 3 3 2 3 3 2" xfId="23121"/>
    <cellStyle name="Normal 5 7 3 3 2 3 4" xfId="16465"/>
    <cellStyle name="Normal 5 7 3 3 2 4" xfId="7413"/>
    <cellStyle name="Normal 5 7 3 3 2 4 2" xfId="18129"/>
    <cellStyle name="Normal 5 7 3 3 2 5" xfId="10741"/>
    <cellStyle name="Normal 5 7 3 3 2 5 2" xfId="21457"/>
    <cellStyle name="Normal 5 7 3 3 2 6" xfId="14801"/>
    <cellStyle name="Normal 5 7 3 3 3" xfId="4490"/>
    <cellStyle name="Normal 5 7 3 3 3 2" xfId="6158"/>
    <cellStyle name="Normal 5 7 3 3 3 2 2" xfId="9493"/>
    <cellStyle name="Normal 5 7 3 3 3 2 2 2" xfId="20209"/>
    <cellStyle name="Normal 5 7 3 3 3 2 3" xfId="12821"/>
    <cellStyle name="Normal 5 7 3 3 3 2 3 2" xfId="23537"/>
    <cellStyle name="Normal 5 7 3 3 3 2 4" xfId="16881"/>
    <cellStyle name="Normal 5 7 3 3 3 3" xfId="7829"/>
    <cellStyle name="Normal 5 7 3 3 3 3 2" xfId="18545"/>
    <cellStyle name="Normal 5 7 3 3 3 4" xfId="11157"/>
    <cellStyle name="Normal 5 7 3 3 3 4 2" xfId="21873"/>
    <cellStyle name="Normal 5 7 3 3 3 5" xfId="15217"/>
    <cellStyle name="Normal 5 7 3 3 4" xfId="5326"/>
    <cellStyle name="Normal 5 7 3 3 4 2" xfId="8661"/>
    <cellStyle name="Normal 5 7 3 3 4 2 2" xfId="19377"/>
    <cellStyle name="Normal 5 7 3 3 4 3" xfId="11989"/>
    <cellStyle name="Normal 5 7 3 3 4 3 2" xfId="22705"/>
    <cellStyle name="Normal 5 7 3 3 4 4" xfId="16049"/>
    <cellStyle name="Normal 5 7 3 3 5" xfId="6996"/>
    <cellStyle name="Normal 5 7 3 3 5 2" xfId="17713"/>
    <cellStyle name="Normal 5 7 3 3 6" xfId="10325"/>
    <cellStyle name="Normal 5 7 3 3 6 2" xfId="21041"/>
    <cellStyle name="Normal 5 7 3 3 7" xfId="14384"/>
    <cellStyle name="Normal 5 7 3 4" xfId="3847"/>
    <cellStyle name="Normal 5 7 3 4 2" xfId="4698"/>
    <cellStyle name="Normal 5 7 3 4 2 2" xfId="6366"/>
    <cellStyle name="Normal 5 7 3 4 2 2 2" xfId="9701"/>
    <cellStyle name="Normal 5 7 3 4 2 2 2 2" xfId="20417"/>
    <cellStyle name="Normal 5 7 3 4 2 2 3" xfId="13029"/>
    <cellStyle name="Normal 5 7 3 4 2 2 3 2" xfId="23745"/>
    <cellStyle name="Normal 5 7 3 4 2 2 4" xfId="17089"/>
    <cellStyle name="Normal 5 7 3 4 2 3" xfId="8037"/>
    <cellStyle name="Normal 5 7 3 4 2 3 2" xfId="18753"/>
    <cellStyle name="Normal 5 7 3 4 2 4" xfId="11365"/>
    <cellStyle name="Normal 5 7 3 4 2 4 2" xfId="22081"/>
    <cellStyle name="Normal 5 7 3 4 2 5" xfId="15425"/>
    <cellStyle name="Normal 5 7 3 4 3" xfId="5534"/>
    <cellStyle name="Normal 5 7 3 4 3 2" xfId="8869"/>
    <cellStyle name="Normal 5 7 3 4 3 2 2" xfId="19585"/>
    <cellStyle name="Normal 5 7 3 4 3 3" xfId="12197"/>
    <cellStyle name="Normal 5 7 3 4 3 3 2" xfId="22913"/>
    <cellStyle name="Normal 5 7 3 4 3 4" xfId="16257"/>
    <cellStyle name="Normal 5 7 3 4 4" xfId="7205"/>
    <cellStyle name="Normal 5 7 3 4 4 2" xfId="17921"/>
    <cellStyle name="Normal 5 7 3 4 5" xfId="10533"/>
    <cellStyle name="Normal 5 7 3 4 5 2" xfId="21249"/>
    <cellStyle name="Normal 5 7 3 4 6" xfId="14593"/>
    <cellStyle name="Normal 5 7 3 5" xfId="4280"/>
    <cellStyle name="Normal 5 7 3 5 2" xfId="5950"/>
    <cellStyle name="Normal 5 7 3 5 2 2" xfId="9285"/>
    <cellStyle name="Normal 5 7 3 5 2 2 2" xfId="20001"/>
    <cellStyle name="Normal 5 7 3 5 2 3" xfId="12613"/>
    <cellStyle name="Normal 5 7 3 5 2 3 2" xfId="23329"/>
    <cellStyle name="Normal 5 7 3 5 2 4" xfId="16673"/>
    <cellStyle name="Normal 5 7 3 5 3" xfId="7621"/>
    <cellStyle name="Normal 5 7 3 5 3 2" xfId="18337"/>
    <cellStyle name="Normal 5 7 3 5 4" xfId="10949"/>
    <cellStyle name="Normal 5 7 3 5 4 2" xfId="21665"/>
    <cellStyle name="Normal 5 7 3 5 5" xfId="15009"/>
    <cellStyle name="Normal 5 7 3 6" xfId="5115"/>
    <cellStyle name="Normal 5 7 3 6 2" xfId="8453"/>
    <cellStyle name="Normal 5 7 3 6 2 2" xfId="19169"/>
    <cellStyle name="Normal 5 7 3 6 3" xfId="11781"/>
    <cellStyle name="Normal 5 7 3 6 3 2" xfId="22497"/>
    <cellStyle name="Normal 5 7 3 6 4" xfId="15841"/>
    <cellStyle name="Normal 5 7 3 7" xfId="6785"/>
    <cellStyle name="Normal 5 7 3 7 2" xfId="17505"/>
    <cellStyle name="Normal 5 7 3 8" xfId="10117"/>
    <cellStyle name="Normal 5 7 3 8 2" xfId="20833"/>
    <cellStyle name="Normal 5 7 3 9" xfId="14174"/>
    <cellStyle name="Normal 5 7 4" xfId="1456"/>
    <cellStyle name="Normal 5 7 4 2" xfId="3140"/>
    <cellStyle name="Normal 5 7 4 2 2" xfId="4068"/>
    <cellStyle name="Normal 5 7 4 2 2 2" xfId="4908"/>
    <cellStyle name="Normal 5 7 4 2 2 2 2" xfId="6576"/>
    <cellStyle name="Normal 5 7 4 2 2 2 2 2" xfId="9911"/>
    <cellStyle name="Normal 5 7 4 2 2 2 2 2 2" xfId="20627"/>
    <cellStyle name="Normal 5 7 4 2 2 2 2 3" xfId="13239"/>
    <cellStyle name="Normal 5 7 4 2 2 2 2 3 2" xfId="23955"/>
    <cellStyle name="Normal 5 7 4 2 2 2 2 4" xfId="17299"/>
    <cellStyle name="Normal 5 7 4 2 2 2 3" xfId="8247"/>
    <cellStyle name="Normal 5 7 4 2 2 2 3 2" xfId="18963"/>
    <cellStyle name="Normal 5 7 4 2 2 2 4" xfId="11575"/>
    <cellStyle name="Normal 5 7 4 2 2 2 4 2" xfId="22291"/>
    <cellStyle name="Normal 5 7 4 2 2 2 5" xfId="15635"/>
    <cellStyle name="Normal 5 7 4 2 2 3" xfId="5744"/>
    <cellStyle name="Normal 5 7 4 2 2 3 2" xfId="9079"/>
    <cellStyle name="Normal 5 7 4 2 2 3 2 2" xfId="19795"/>
    <cellStyle name="Normal 5 7 4 2 2 3 3" xfId="12407"/>
    <cellStyle name="Normal 5 7 4 2 2 3 3 2" xfId="23123"/>
    <cellStyle name="Normal 5 7 4 2 2 3 4" xfId="16467"/>
    <cellStyle name="Normal 5 7 4 2 2 4" xfId="7415"/>
    <cellStyle name="Normal 5 7 4 2 2 4 2" xfId="18131"/>
    <cellStyle name="Normal 5 7 4 2 2 5" xfId="10743"/>
    <cellStyle name="Normal 5 7 4 2 2 5 2" xfId="21459"/>
    <cellStyle name="Normal 5 7 4 2 2 6" xfId="14803"/>
    <cellStyle name="Normal 5 7 4 2 3" xfId="4492"/>
    <cellStyle name="Normal 5 7 4 2 3 2" xfId="6160"/>
    <cellStyle name="Normal 5 7 4 2 3 2 2" xfId="9495"/>
    <cellStyle name="Normal 5 7 4 2 3 2 2 2" xfId="20211"/>
    <cellStyle name="Normal 5 7 4 2 3 2 3" xfId="12823"/>
    <cellStyle name="Normal 5 7 4 2 3 2 3 2" xfId="23539"/>
    <cellStyle name="Normal 5 7 4 2 3 2 4" xfId="16883"/>
    <cellStyle name="Normal 5 7 4 2 3 3" xfId="7831"/>
    <cellStyle name="Normal 5 7 4 2 3 3 2" xfId="18547"/>
    <cellStyle name="Normal 5 7 4 2 3 4" xfId="11159"/>
    <cellStyle name="Normal 5 7 4 2 3 4 2" xfId="21875"/>
    <cellStyle name="Normal 5 7 4 2 3 5" xfId="15219"/>
    <cellStyle name="Normal 5 7 4 2 4" xfId="5328"/>
    <cellStyle name="Normal 5 7 4 2 4 2" xfId="8663"/>
    <cellStyle name="Normal 5 7 4 2 4 2 2" xfId="19379"/>
    <cellStyle name="Normal 5 7 4 2 4 3" xfId="11991"/>
    <cellStyle name="Normal 5 7 4 2 4 3 2" xfId="22707"/>
    <cellStyle name="Normal 5 7 4 2 4 4" xfId="16051"/>
    <cellStyle name="Normal 5 7 4 2 5" xfId="6998"/>
    <cellStyle name="Normal 5 7 4 2 5 2" xfId="17715"/>
    <cellStyle name="Normal 5 7 4 2 6" xfId="10327"/>
    <cellStyle name="Normal 5 7 4 2 6 2" xfId="21043"/>
    <cellStyle name="Normal 5 7 4 2 7" xfId="14386"/>
    <cellStyle name="Normal 5 7 4 3" xfId="3849"/>
    <cellStyle name="Normal 5 7 4 3 2" xfId="4700"/>
    <cellStyle name="Normal 5 7 4 3 2 2" xfId="6368"/>
    <cellStyle name="Normal 5 7 4 3 2 2 2" xfId="9703"/>
    <cellStyle name="Normal 5 7 4 3 2 2 2 2" xfId="20419"/>
    <cellStyle name="Normal 5 7 4 3 2 2 3" xfId="13031"/>
    <cellStyle name="Normal 5 7 4 3 2 2 3 2" xfId="23747"/>
    <cellStyle name="Normal 5 7 4 3 2 2 4" xfId="17091"/>
    <cellStyle name="Normal 5 7 4 3 2 3" xfId="8039"/>
    <cellStyle name="Normal 5 7 4 3 2 3 2" xfId="18755"/>
    <cellStyle name="Normal 5 7 4 3 2 4" xfId="11367"/>
    <cellStyle name="Normal 5 7 4 3 2 4 2" xfId="22083"/>
    <cellStyle name="Normal 5 7 4 3 2 5" xfId="15427"/>
    <cellStyle name="Normal 5 7 4 3 3" xfId="5536"/>
    <cellStyle name="Normal 5 7 4 3 3 2" xfId="8871"/>
    <cellStyle name="Normal 5 7 4 3 3 2 2" xfId="19587"/>
    <cellStyle name="Normal 5 7 4 3 3 3" xfId="12199"/>
    <cellStyle name="Normal 5 7 4 3 3 3 2" xfId="22915"/>
    <cellStyle name="Normal 5 7 4 3 3 4" xfId="16259"/>
    <cellStyle name="Normal 5 7 4 3 4" xfId="7207"/>
    <cellStyle name="Normal 5 7 4 3 4 2" xfId="17923"/>
    <cellStyle name="Normal 5 7 4 3 5" xfId="10535"/>
    <cellStyle name="Normal 5 7 4 3 5 2" xfId="21251"/>
    <cellStyle name="Normal 5 7 4 3 6" xfId="14595"/>
    <cellStyle name="Normal 5 7 4 4" xfId="4282"/>
    <cellStyle name="Normal 5 7 4 4 2" xfId="5952"/>
    <cellStyle name="Normal 5 7 4 4 2 2" xfId="9287"/>
    <cellStyle name="Normal 5 7 4 4 2 2 2" xfId="20003"/>
    <cellStyle name="Normal 5 7 4 4 2 3" xfId="12615"/>
    <cellStyle name="Normal 5 7 4 4 2 3 2" xfId="23331"/>
    <cellStyle name="Normal 5 7 4 4 2 4" xfId="16675"/>
    <cellStyle name="Normal 5 7 4 4 3" xfId="7623"/>
    <cellStyle name="Normal 5 7 4 4 3 2" xfId="18339"/>
    <cellStyle name="Normal 5 7 4 4 4" xfId="10951"/>
    <cellStyle name="Normal 5 7 4 4 4 2" xfId="21667"/>
    <cellStyle name="Normal 5 7 4 4 5" xfId="15011"/>
    <cellStyle name="Normal 5 7 4 5" xfId="5117"/>
    <cellStyle name="Normal 5 7 4 5 2" xfId="8455"/>
    <cellStyle name="Normal 5 7 4 5 2 2" xfId="19171"/>
    <cellStyle name="Normal 5 7 4 5 3" xfId="11783"/>
    <cellStyle name="Normal 5 7 4 5 3 2" xfId="22499"/>
    <cellStyle name="Normal 5 7 4 5 4" xfId="15843"/>
    <cellStyle name="Normal 5 7 4 6" xfId="6787"/>
    <cellStyle name="Normal 5 7 4 6 2" xfId="17507"/>
    <cellStyle name="Normal 5 7 4 7" xfId="10119"/>
    <cellStyle name="Normal 5 7 4 7 2" xfId="20835"/>
    <cellStyle name="Normal 5 7 4 8" xfId="14176"/>
    <cellStyle name="Normal 5 7 5" xfId="3133"/>
    <cellStyle name="Normal 5 7 5 2" xfId="4061"/>
    <cellStyle name="Normal 5 7 5 2 2" xfId="4901"/>
    <cellStyle name="Normal 5 7 5 2 2 2" xfId="6569"/>
    <cellStyle name="Normal 5 7 5 2 2 2 2" xfId="9904"/>
    <cellStyle name="Normal 5 7 5 2 2 2 2 2" xfId="20620"/>
    <cellStyle name="Normal 5 7 5 2 2 2 3" xfId="13232"/>
    <cellStyle name="Normal 5 7 5 2 2 2 3 2" xfId="23948"/>
    <cellStyle name="Normal 5 7 5 2 2 2 4" xfId="17292"/>
    <cellStyle name="Normal 5 7 5 2 2 3" xfId="8240"/>
    <cellStyle name="Normal 5 7 5 2 2 3 2" xfId="18956"/>
    <cellStyle name="Normal 5 7 5 2 2 4" xfId="11568"/>
    <cellStyle name="Normal 5 7 5 2 2 4 2" xfId="22284"/>
    <cellStyle name="Normal 5 7 5 2 2 5" xfId="15628"/>
    <cellStyle name="Normal 5 7 5 2 3" xfId="5737"/>
    <cellStyle name="Normal 5 7 5 2 3 2" xfId="9072"/>
    <cellStyle name="Normal 5 7 5 2 3 2 2" xfId="19788"/>
    <cellStyle name="Normal 5 7 5 2 3 3" xfId="12400"/>
    <cellStyle name="Normal 5 7 5 2 3 3 2" xfId="23116"/>
    <cellStyle name="Normal 5 7 5 2 3 4" xfId="16460"/>
    <cellStyle name="Normal 5 7 5 2 4" xfId="7408"/>
    <cellStyle name="Normal 5 7 5 2 4 2" xfId="18124"/>
    <cellStyle name="Normal 5 7 5 2 5" xfId="10736"/>
    <cellStyle name="Normal 5 7 5 2 5 2" xfId="21452"/>
    <cellStyle name="Normal 5 7 5 2 6" xfId="14796"/>
    <cellStyle name="Normal 5 7 5 3" xfId="4485"/>
    <cellStyle name="Normal 5 7 5 3 2" xfId="6153"/>
    <cellStyle name="Normal 5 7 5 3 2 2" xfId="9488"/>
    <cellStyle name="Normal 5 7 5 3 2 2 2" xfId="20204"/>
    <cellStyle name="Normal 5 7 5 3 2 3" xfId="12816"/>
    <cellStyle name="Normal 5 7 5 3 2 3 2" xfId="23532"/>
    <cellStyle name="Normal 5 7 5 3 2 4" xfId="16876"/>
    <cellStyle name="Normal 5 7 5 3 3" xfId="7824"/>
    <cellStyle name="Normal 5 7 5 3 3 2" xfId="18540"/>
    <cellStyle name="Normal 5 7 5 3 4" xfId="11152"/>
    <cellStyle name="Normal 5 7 5 3 4 2" xfId="21868"/>
    <cellStyle name="Normal 5 7 5 3 5" xfId="15212"/>
    <cellStyle name="Normal 5 7 5 4" xfId="5321"/>
    <cellStyle name="Normal 5 7 5 4 2" xfId="8656"/>
    <cellStyle name="Normal 5 7 5 4 2 2" xfId="19372"/>
    <cellStyle name="Normal 5 7 5 4 3" xfId="11984"/>
    <cellStyle name="Normal 5 7 5 4 3 2" xfId="22700"/>
    <cellStyle name="Normal 5 7 5 4 4" xfId="16044"/>
    <cellStyle name="Normal 5 7 5 5" xfId="6991"/>
    <cellStyle name="Normal 5 7 5 5 2" xfId="17708"/>
    <cellStyle name="Normal 5 7 5 6" xfId="10320"/>
    <cellStyle name="Normal 5 7 5 6 2" xfId="21036"/>
    <cellStyle name="Normal 5 7 5 7" xfId="14379"/>
    <cellStyle name="Normal 5 7 6" xfId="3842"/>
    <cellStyle name="Normal 5 7 6 2" xfId="4693"/>
    <cellStyle name="Normal 5 7 6 2 2" xfId="6361"/>
    <cellStyle name="Normal 5 7 6 2 2 2" xfId="9696"/>
    <cellStyle name="Normal 5 7 6 2 2 2 2" xfId="20412"/>
    <cellStyle name="Normal 5 7 6 2 2 3" xfId="13024"/>
    <cellStyle name="Normal 5 7 6 2 2 3 2" xfId="23740"/>
    <cellStyle name="Normal 5 7 6 2 2 4" xfId="17084"/>
    <cellStyle name="Normal 5 7 6 2 3" xfId="8032"/>
    <cellStyle name="Normal 5 7 6 2 3 2" xfId="18748"/>
    <cellStyle name="Normal 5 7 6 2 4" xfId="11360"/>
    <cellStyle name="Normal 5 7 6 2 4 2" xfId="22076"/>
    <cellStyle name="Normal 5 7 6 2 5" xfId="15420"/>
    <cellStyle name="Normal 5 7 6 3" xfId="5529"/>
    <cellStyle name="Normal 5 7 6 3 2" xfId="8864"/>
    <cellStyle name="Normal 5 7 6 3 2 2" xfId="19580"/>
    <cellStyle name="Normal 5 7 6 3 3" xfId="12192"/>
    <cellStyle name="Normal 5 7 6 3 3 2" xfId="22908"/>
    <cellStyle name="Normal 5 7 6 3 4" xfId="16252"/>
    <cellStyle name="Normal 5 7 6 4" xfId="7200"/>
    <cellStyle name="Normal 5 7 6 4 2" xfId="17916"/>
    <cellStyle name="Normal 5 7 6 5" xfId="10528"/>
    <cellStyle name="Normal 5 7 6 5 2" xfId="21244"/>
    <cellStyle name="Normal 5 7 6 6" xfId="14588"/>
    <cellStyle name="Normal 5 7 7" xfId="4275"/>
    <cellStyle name="Normal 5 7 7 2" xfId="5945"/>
    <cellStyle name="Normal 5 7 7 2 2" xfId="9280"/>
    <cellStyle name="Normal 5 7 7 2 2 2" xfId="19996"/>
    <cellStyle name="Normal 5 7 7 2 3" xfId="12608"/>
    <cellStyle name="Normal 5 7 7 2 3 2" xfId="23324"/>
    <cellStyle name="Normal 5 7 7 2 4" xfId="16668"/>
    <cellStyle name="Normal 5 7 7 3" xfId="7616"/>
    <cellStyle name="Normal 5 7 7 3 2" xfId="18332"/>
    <cellStyle name="Normal 5 7 7 4" xfId="10944"/>
    <cellStyle name="Normal 5 7 7 4 2" xfId="21660"/>
    <cellStyle name="Normal 5 7 7 5" xfId="15004"/>
    <cellStyle name="Normal 5 7 8" xfId="5110"/>
    <cellStyle name="Normal 5 7 8 2" xfId="8448"/>
    <cellStyle name="Normal 5 7 8 2 2" xfId="19164"/>
    <cellStyle name="Normal 5 7 8 3" xfId="11776"/>
    <cellStyle name="Normal 5 7 8 3 2" xfId="22492"/>
    <cellStyle name="Normal 5 7 8 4" xfId="15836"/>
    <cellStyle name="Normal 5 7 9" xfId="6780"/>
    <cellStyle name="Normal 5 7 9 2" xfId="17500"/>
    <cellStyle name="Normal 5 8" xfId="1457"/>
    <cellStyle name="Normal 5 8 2" xfId="1458"/>
    <cellStyle name="Normal 5 8 2 2" xfId="3142"/>
    <cellStyle name="Normal 5 8 2 2 2" xfId="4070"/>
    <cellStyle name="Normal 5 8 2 2 2 2" xfId="4910"/>
    <cellStyle name="Normal 5 8 2 2 2 2 2" xfId="6578"/>
    <cellStyle name="Normal 5 8 2 2 2 2 2 2" xfId="9913"/>
    <cellStyle name="Normal 5 8 2 2 2 2 2 2 2" xfId="20629"/>
    <cellStyle name="Normal 5 8 2 2 2 2 2 3" xfId="13241"/>
    <cellStyle name="Normal 5 8 2 2 2 2 2 3 2" xfId="23957"/>
    <cellStyle name="Normal 5 8 2 2 2 2 2 4" xfId="17301"/>
    <cellStyle name="Normal 5 8 2 2 2 2 3" xfId="8249"/>
    <cellStyle name="Normal 5 8 2 2 2 2 3 2" xfId="18965"/>
    <cellStyle name="Normal 5 8 2 2 2 2 4" xfId="11577"/>
    <cellStyle name="Normal 5 8 2 2 2 2 4 2" xfId="22293"/>
    <cellStyle name="Normal 5 8 2 2 2 2 5" xfId="15637"/>
    <cellStyle name="Normal 5 8 2 2 2 3" xfId="5746"/>
    <cellStyle name="Normal 5 8 2 2 2 3 2" xfId="9081"/>
    <cellStyle name="Normal 5 8 2 2 2 3 2 2" xfId="19797"/>
    <cellStyle name="Normal 5 8 2 2 2 3 3" xfId="12409"/>
    <cellStyle name="Normal 5 8 2 2 2 3 3 2" xfId="23125"/>
    <cellStyle name="Normal 5 8 2 2 2 3 4" xfId="16469"/>
    <cellStyle name="Normal 5 8 2 2 2 4" xfId="7417"/>
    <cellStyle name="Normal 5 8 2 2 2 4 2" xfId="18133"/>
    <cellStyle name="Normal 5 8 2 2 2 5" xfId="10745"/>
    <cellStyle name="Normal 5 8 2 2 2 5 2" xfId="21461"/>
    <cellStyle name="Normal 5 8 2 2 2 6" xfId="14805"/>
    <cellStyle name="Normal 5 8 2 2 3" xfId="4494"/>
    <cellStyle name="Normal 5 8 2 2 3 2" xfId="6162"/>
    <cellStyle name="Normal 5 8 2 2 3 2 2" xfId="9497"/>
    <cellStyle name="Normal 5 8 2 2 3 2 2 2" xfId="20213"/>
    <cellStyle name="Normal 5 8 2 2 3 2 3" xfId="12825"/>
    <cellStyle name="Normal 5 8 2 2 3 2 3 2" xfId="23541"/>
    <cellStyle name="Normal 5 8 2 2 3 2 4" xfId="16885"/>
    <cellStyle name="Normal 5 8 2 2 3 3" xfId="7833"/>
    <cellStyle name="Normal 5 8 2 2 3 3 2" xfId="18549"/>
    <cellStyle name="Normal 5 8 2 2 3 4" xfId="11161"/>
    <cellStyle name="Normal 5 8 2 2 3 4 2" xfId="21877"/>
    <cellStyle name="Normal 5 8 2 2 3 5" xfId="15221"/>
    <cellStyle name="Normal 5 8 2 2 4" xfId="5330"/>
    <cellStyle name="Normal 5 8 2 2 4 2" xfId="8665"/>
    <cellStyle name="Normal 5 8 2 2 4 2 2" xfId="19381"/>
    <cellStyle name="Normal 5 8 2 2 4 3" xfId="11993"/>
    <cellStyle name="Normal 5 8 2 2 4 3 2" xfId="22709"/>
    <cellStyle name="Normal 5 8 2 2 4 4" xfId="16053"/>
    <cellStyle name="Normal 5 8 2 2 5" xfId="7000"/>
    <cellStyle name="Normal 5 8 2 2 5 2" xfId="17717"/>
    <cellStyle name="Normal 5 8 2 2 6" xfId="10329"/>
    <cellStyle name="Normal 5 8 2 2 6 2" xfId="21045"/>
    <cellStyle name="Normal 5 8 2 2 7" xfId="14388"/>
    <cellStyle name="Normal 5 8 2 3" xfId="3851"/>
    <cellStyle name="Normal 5 8 2 3 2" xfId="4702"/>
    <cellStyle name="Normal 5 8 2 3 2 2" xfId="6370"/>
    <cellStyle name="Normal 5 8 2 3 2 2 2" xfId="9705"/>
    <cellStyle name="Normal 5 8 2 3 2 2 2 2" xfId="20421"/>
    <cellStyle name="Normal 5 8 2 3 2 2 3" xfId="13033"/>
    <cellStyle name="Normal 5 8 2 3 2 2 3 2" xfId="23749"/>
    <cellStyle name="Normal 5 8 2 3 2 2 4" xfId="17093"/>
    <cellStyle name="Normal 5 8 2 3 2 3" xfId="8041"/>
    <cellStyle name="Normal 5 8 2 3 2 3 2" xfId="18757"/>
    <cellStyle name="Normal 5 8 2 3 2 4" xfId="11369"/>
    <cellStyle name="Normal 5 8 2 3 2 4 2" xfId="22085"/>
    <cellStyle name="Normal 5 8 2 3 2 5" xfId="15429"/>
    <cellStyle name="Normal 5 8 2 3 3" xfId="5538"/>
    <cellStyle name="Normal 5 8 2 3 3 2" xfId="8873"/>
    <cellStyle name="Normal 5 8 2 3 3 2 2" xfId="19589"/>
    <cellStyle name="Normal 5 8 2 3 3 3" xfId="12201"/>
    <cellStyle name="Normal 5 8 2 3 3 3 2" xfId="22917"/>
    <cellStyle name="Normal 5 8 2 3 3 4" xfId="16261"/>
    <cellStyle name="Normal 5 8 2 3 4" xfId="7209"/>
    <cellStyle name="Normal 5 8 2 3 4 2" xfId="17925"/>
    <cellStyle name="Normal 5 8 2 3 5" xfId="10537"/>
    <cellStyle name="Normal 5 8 2 3 5 2" xfId="21253"/>
    <cellStyle name="Normal 5 8 2 3 6" xfId="14597"/>
    <cellStyle name="Normal 5 8 2 4" xfId="4284"/>
    <cellStyle name="Normal 5 8 2 4 2" xfId="5954"/>
    <cellStyle name="Normal 5 8 2 4 2 2" xfId="9289"/>
    <cellStyle name="Normal 5 8 2 4 2 2 2" xfId="20005"/>
    <cellStyle name="Normal 5 8 2 4 2 3" xfId="12617"/>
    <cellStyle name="Normal 5 8 2 4 2 3 2" xfId="23333"/>
    <cellStyle name="Normal 5 8 2 4 2 4" xfId="16677"/>
    <cellStyle name="Normal 5 8 2 4 3" xfId="7625"/>
    <cellStyle name="Normal 5 8 2 4 3 2" xfId="18341"/>
    <cellStyle name="Normal 5 8 2 4 4" xfId="10953"/>
    <cellStyle name="Normal 5 8 2 4 4 2" xfId="21669"/>
    <cellStyle name="Normal 5 8 2 4 5" xfId="15013"/>
    <cellStyle name="Normal 5 8 2 5" xfId="5119"/>
    <cellStyle name="Normal 5 8 2 5 2" xfId="8457"/>
    <cellStyle name="Normal 5 8 2 5 2 2" xfId="19173"/>
    <cellStyle name="Normal 5 8 2 5 3" xfId="11785"/>
    <cellStyle name="Normal 5 8 2 5 3 2" xfId="22501"/>
    <cellStyle name="Normal 5 8 2 5 4" xfId="15845"/>
    <cellStyle name="Normal 5 8 2 6" xfId="6789"/>
    <cellStyle name="Normal 5 8 2 6 2" xfId="17509"/>
    <cellStyle name="Normal 5 8 2 7" xfId="10121"/>
    <cellStyle name="Normal 5 8 2 7 2" xfId="20837"/>
    <cellStyle name="Normal 5 8 2 8" xfId="14178"/>
    <cellStyle name="Normal 5 8 3" xfId="3141"/>
    <cellStyle name="Normal 5 8 3 2" xfId="4069"/>
    <cellStyle name="Normal 5 8 3 2 2" xfId="4909"/>
    <cellStyle name="Normal 5 8 3 2 2 2" xfId="6577"/>
    <cellStyle name="Normal 5 8 3 2 2 2 2" xfId="9912"/>
    <cellStyle name="Normal 5 8 3 2 2 2 2 2" xfId="20628"/>
    <cellStyle name="Normal 5 8 3 2 2 2 3" xfId="13240"/>
    <cellStyle name="Normal 5 8 3 2 2 2 3 2" xfId="23956"/>
    <cellStyle name="Normal 5 8 3 2 2 2 4" xfId="17300"/>
    <cellStyle name="Normal 5 8 3 2 2 3" xfId="8248"/>
    <cellStyle name="Normal 5 8 3 2 2 3 2" xfId="18964"/>
    <cellStyle name="Normal 5 8 3 2 2 4" xfId="11576"/>
    <cellStyle name="Normal 5 8 3 2 2 4 2" xfId="22292"/>
    <cellStyle name="Normal 5 8 3 2 2 5" xfId="15636"/>
    <cellStyle name="Normal 5 8 3 2 3" xfId="5745"/>
    <cellStyle name="Normal 5 8 3 2 3 2" xfId="9080"/>
    <cellStyle name="Normal 5 8 3 2 3 2 2" xfId="19796"/>
    <cellStyle name="Normal 5 8 3 2 3 3" xfId="12408"/>
    <cellStyle name="Normal 5 8 3 2 3 3 2" xfId="23124"/>
    <cellStyle name="Normal 5 8 3 2 3 4" xfId="16468"/>
    <cellStyle name="Normal 5 8 3 2 4" xfId="7416"/>
    <cellStyle name="Normal 5 8 3 2 4 2" xfId="18132"/>
    <cellStyle name="Normal 5 8 3 2 5" xfId="10744"/>
    <cellStyle name="Normal 5 8 3 2 5 2" xfId="21460"/>
    <cellStyle name="Normal 5 8 3 2 6" xfId="14804"/>
    <cellStyle name="Normal 5 8 3 3" xfId="4493"/>
    <cellStyle name="Normal 5 8 3 3 2" xfId="6161"/>
    <cellStyle name="Normal 5 8 3 3 2 2" xfId="9496"/>
    <cellStyle name="Normal 5 8 3 3 2 2 2" xfId="20212"/>
    <cellStyle name="Normal 5 8 3 3 2 3" xfId="12824"/>
    <cellStyle name="Normal 5 8 3 3 2 3 2" xfId="23540"/>
    <cellStyle name="Normal 5 8 3 3 2 4" xfId="16884"/>
    <cellStyle name="Normal 5 8 3 3 3" xfId="7832"/>
    <cellStyle name="Normal 5 8 3 3 3 2" xfId="18548"/>
    <cellStyle name="Normal 5 8 3 3 4" xfId="11160"/>
    <cellStyle name="Normal 5 8 3 3 4 2" xfId="21876"/>
    <cellStyle name="Normal 5 8 3 3 5" xfId="15220"/>
    <cellStyle name="Normal 5 8 3 4" xfId="5329"/>
    <cellStyle name="Normal 5 8 3 4 2" xfId="8664"/>
    <cellStyle name="Normal 5 8 3 4 2 2" xfId="19380"/>
    <cellStyle name="Normal 5 8 3 4 3" xfId="11992"/>
    <cellStyle name="Normal 5 8 3 4 3 2" xfId="22708"/>
    <cellStyle name="Normal 5 8 3 4 4" xfId="16052"/>
    <cellStyle name="Normal 5 8 3 5" xfId="6999"/>
    <cellStyle name="Normal 5 8 3 5 2" xfId="17716"/>
    <cellStyle name="Normal 5 8 3 6" xfId="10328"/>
    <cellStyle name="Normal 5 8 3 6 2" xfId="21044"/>
    <cellStyle name="Normal 5 8 3 7" xfId="14387"/>
    <cellStyle name="Normal 5 8 4" xfId="3850"/>
    <cellStyle name="Normal 5 8 4 2" xfId="4701"/>
    <cellStyle name="Normal 5 8 4 2 2" xfId="6369"/>
    <cellStyle name="Normal 5 8 4 2 2 2" xfId="9704"/>
    <cellStyle name="Normal 5 8 4 2 2 2 2" xfId="20420"/>
    <cellStyle name="Normal 5 8 4 2 2 3" xfId="13032"/>
    <cellStyle name="Normal 5 8 4 2 2 3 2" xfId="23748"/>
    <cellStyle name="Normal 5 8 4 2 2 4" xfId="17092"/>
    <cellStyle name="Normal 5 8 4 2 3" xfId="8040"/>
    <cellStyle name="Normal 5 8 4 2 3 2" xfId="18756"/>
    <cellStyle name="Normal 5 8 4 2 4" xfId="11368"/>
    <cellStyle name="Normal 5 8 4 2 4 2" xfId="22084"/>
    <cellStyle name="Normal 5 8 4 2 5" xfId="15428"/>
    <cellStyle name="Normal 5 8 4 3" xfId="5537"/>
    <cellStyle name="Normal 5 8 4 3 2" xfId="8872"/>
    <cellStyle name="Normal 5 8 4 3 2 2" xfId="19588"/>
    <cellStyle name="Normal 5 8 4 3 3" xfId="12200"/>
    <cellStyle name="Normal 5 8 4 3 3 2" xfId="22916"/>
    <cellStyle name="Normal 5 8 4 3 4" xfId="16260"/>
    <cellStyle name="Normal 5 8 4 4" xfId="7208"/>
    <cellStyle name="Normal 5 8 4 4 2" xfId="17924"/>
    <cellStyle name="Normal 5 8 4 5" xfId="10536"/>
    <cellStyle name="Normal 5 8 4 5 2" xfId="21252"/>
    <cellStyle name="Normal 5 8 4 6" xfId="14596"/>
    <cellStyle name="Normal 5 8 5" xfId="4283"/>
    <cellStyle name="Normal 5 8 5 2" xfId="5953"/>
    <cellStyle name="Normal 5 8 5 2 2" xfId="9288"/>
    <cellStyle name="Normal 5 8 5 2 2 2" xfId="20004"/>
    <cellStyle name="Normal 5 8 5 2 3" xfId="12616"/>
    <cellStyle name="Normal 5 8 5 2 3 2" xfId="23332"/>
    <cellStyle name="Normal 5 8 5 2 4" xfId="16676"/>
    <cellStyle name="Normal 5 8 5 3" xfId="7624"/>
    <cellStyle name="Normal 5 8 5 3 2" xfId="18340"/>
    <cellStyle name="Normal 5 8 5 4" xfId="10952"/>
    <cellStyle name="Normal 5 8 5 4 2" xfId="21668"/>
    <cellStyle name="Normal 5 8 5 5" xfId="15012"/>
    <cellStyle name="Normal 5 8 6" xfId="5118"/>
    <cellStyle name="Normal 5 8 6 2" xfId="8456"/>
    <cellStyle name="Normal 5 8 6 2 2" xfId="19172"/>
    <cellStyle name="Normal 5 8 6 3" xfId="11784"/>
    <cellStyle name="Normal 5 8 6 3 2" xfId="22500"/>
    <cellStyle name="Normal 5 8 6 4" xfId="15844"/>
    <cellStyle name="Normal 5 8 7" xfId="6788"/>
    <cellStyle name="Normal 5 8 7 2" xfId="17508"/>
    <cellStyle name="Normal 5 8 8" xfId="10120"/>
    <cellStyle name="Normal 5 8 8 2" xfId="20836"/>
    <cellStyle name="Normal 5 8 9" xfId="14177"/>
    <cellStyle name="Normal 5 9" xfId="3106"/>
    <cellStyle name="Normal 50" xfId="1459"/>
    <cellStyle name="Normal 50 2" xfId="3143"/>
    <cellStyle name="Normal 51" xfId="1460"/>
    <cellStyle name="Normal 51 2" xfId="3144"/>
    <cellStyle name="Normal 52" xfId="1461"/>
    <cellStyle name="Normal 52 2" xfId="3145"/>
    <cellStyle name="Normal 53" xfId="1462"/>
    <cellStyle name="Normal 53 2" xfId="3146"/>
    <cellStyle name="Normal 54" xfId="1463"/>
    <cellStyle name="Normal 54 2" xfId="3147"/>
    <cellStyle name="Normal 55" xfId="1464"/>
    <cellStyle name="Normal 55 2" xfId="3148"/>
    <cellStyle name="Normal 56" xfId="1465"/>
    <cellStyle name="Normal 56 2" xfId="3149"/>
    <cellStyle name="Normal 57" xfId="1466"/>
    <cellStyle name="Normal 57 2" xfId="3150"/>
    <cellStyle name="Normal 58" xfId="1467"/>
    <cellStyle name="Normal 58 2" xfId="3151"/>
    <cellStyle name="Normal 59" xfId="1468"/>
    <cellStyle name="Normal 59 2" xfId="3152"/>
    <cellStyle name="Normal 6" xfId="1469"/>
    <cellStyle name="Normal 6 2" xfId="1470"/>
    <cellStyle name="Normal 6 2 2" xfId="1471"/>
    <cellStyle name="Normal 6 2 2 2" xfId="1472"/>
    <cellStyle name="Normal 6 2 2 2 2" xfId="3155"/>
    <cellStyle name="Normal 6 2 2 3" xfId="3154"/>
    <cellStyle name="Normal 6 2 3" xfId="1473"/>
    <cellStyle name="Normal 6 2 3 2" xfId="3156"/>
    <cellStyle name="Normal 6 2 4" xfId="3153"/>
    <cellStyle name="Normal 6 3" xfId="1474"/>
    <cellStyle name="Normal 6 3 2" xfId="1475"/>
    <cellStyle name="Normal 6 3 2 2" xfId="3158"/>
    <cellStyle name="Normal 6 3 3" xfId="3157"/>
    <cellStyle name="Normal 6 4" xfId="1476"/>
    <cellStyle name="Normal 6 4 2" xfId="3159"/>
    <cellStyle name="Normal 6 5" xfId="1477"/>
    <cellStyle name="Normal 6 5 2" xfId="3160"/>
    <cellStyle name="Normal 6 6" xfId="1478"/>
    <cellStyle name="Normal 6 6 2" xfId="3161"/>
    <cellStyle name="Normal 6 7" xfId="1479"/>
    <cellStyle name="Normal 6 7 2" xfId="3162"/>
    <cellStyle name="Normal 6 8" xfId="1480"/>
    <cellStyle name="Normal 6 9" xfId="13853"/>
    <cellStyle name="Normal 60" xfId="1481"/>
    <cellStyle name="Normal 60 2" xfId="3163"/>
    <cellStyle name="Normal 61" xfId="1482"/>
    <cellStyle name="Normal 61 2" xfId="3164"/>
    <cellStyle name="Normal 62" xfId="1483"/>
    <cellStyle name="Normal 62 2" xfId="3165"/>
    <cellStyle name="Normal 63" xfId="1484"/>
    <cellStyle name="Normal 63 2" xfId="3166"/>
    <cellStyle name="Normal 64" xfId="1485"/>
    <cellStyle name="Normal 64 2" xfId="3167"/>
    <cellStyle name="Normal 65" xfId="1486"/>
    <cellStyle name="Normal 65 2" xfId="3168"/>
    <cellStyle name="Normal 66" xfId="1487"/>
    <cellStyle name="Normal 66 2" xfId="3169"/>
    <cellStyle name="Normal 67" xfId="1488"/>
    <cellStyle name="Normal 67 2" xfId="3170"/>
    <cellStyle name="Normal 68" xfId="1489"/>
    <cellStyle name="Normal 68 2" xfId="3171"/>
    <cellStyle name="Normal 69" xfId="1490"/>
    <cellStyle name="Normal 69 2" xfId="3172"/>
    <cellStyle name="Normal 7" xfId="1491"/>
    <cellStyle name="Normal 7 2" xfId="1492"/>
    <cellStyle name="Normal 7 2 2" xfId="1493"/>
    <cellStyle name="Normal 7 2 2 2" xfId="3175"/>
    <cellStyle name="Normal 7 2 3" xfId="3174"/>
    <cellStyle name="Normal 7 3" xfId="1494"/>
    <cellStyle name="Normal 7 3 2" xfId="3176"/>
    <cellStyle name="Normal 7 4" xfId="1495"/>
    <cellStyle name="Normal 7 4 2" xfId="3177"/>
    <cellStyle name="Normal 7 5" xfId="3173"/>
    <cellStyle name="Normal 7 6" xfId="13854"/>
    <cellStyle name="Normal 70" xfId="1496"/>
    <cellStyle name="Normal 70 2" xfId="3178"/>
    <cellStyle name="Normal 71" xfId="1497"/>
    <cellStyle name="Normal 71 2" xfId="3179"/>
    <cellStyle name="Normal 72" xfId="1498"/>
    <cellStyle name="Normal 72 2" xfId="1499"/>
    <cellStyle name="Normal 72 3" xfId="3180"/>
    <cellStyle name="Normal 73" xfId="1500"/>
    <cellStyle name="Normal 73 2" xfId="1501"/>
    <cellStyle name="Normal 73 3" xfId="3181"/>
    <cellStyle name="Normal 74" xfId="1502"/>
    <cellStyle name="Normal 74 2" xfId="1503"/>
    <cellStyle name="Normal 74 3" xfId="3182"/>
    <cellStyle name="Normal 75" xfId="1504"/>
    <cellStyle name="Normal 75 2" xfId="1505"/>
    <cellStyle name="Normal 75 3" xfId="3183"/>
    <cellStyle name="Normal 76" xfId="1506"/>
    <cellStyle name="Normal 76 2" xfId="1507"/>
    <cellStyle name="Normal 76 3" xfId="3184"/>
    <cellStyle name="Normal 77" xfId="1508"/>
    <cellStyle name="Normal 77 2" xfId="3185"/>
    <cellStyle name="Normal 78" xfId="1509"/>
    <cellStyle name="Normal 78 2" xfId="3186"/>
    <cellStyle name="Normal 79" xfId="1510"/>
    <cellStyle name="Normal 79 2" xfId="3187"/>
    <cellStyle name="Normal 8" xfId="1511"/>
    <cellStyle name="Normal 8 2" xfId="1512"/>
    <cellStyle name="Normal 8 2 2" xfId="1513"/>
    <cellStyle name="Normal 8 2 2 2" xfId="3190"/>
    <cellStyle name="Normal 8 2 3" xfId="3189"/>
    <cellStyle name="Normal 8 3" xfId="1514"/>
    <cellStyle name="Normal 8 3 2" xfId="3191"/>
    <cellStyle name="Normal 8 4" xfId="3188"/>
    <cellStyle name="Normal 8 5" xfId="13855"/>
    <cellStyle name="Normal 80" xfId="1515"/>
    <cellStyle name="Normal 80 2" xfId="3192"/>
    <cellStyle name="Normal 81" xfId="1516"/>
    <cellStyle name="Normal 81 2" xfId="3193"/>
    <cellStyle name="Normal 82" xfId="1517"/>
    <cellStyle name="Normal 82 2" xfId="3194"/>
    <cellStyle name="Normal 83" xfId="1518"/>
    <cellStyle name="Normal 83 2" xfId="3195"/>
    <cellStyle name="Normal 84" xfId="1519"/>
    <cellStyle name="Normal 84 2" xfId="3196"/>
    <cellStyle name="Normal 85" xfId="1520"/>
    <cellStyle name="Normal 85 2" xfId="3197"/>
    <cellStyle name="Normal 86" xfId="1521"/>
    <cellStyle name="Normal 86 10" xfId="5120"/>
    <cellStyle name="Normal 86 10 2" xfId="8458"/>
    <cellStyle name="Normal 86 10 2 2" xfId="19174"/>
    <cellStyle name="Normal 86 10 3" xfId="11786"/>
    <cellStyle name="Normal 86 10 3 2" xfId="22502"/>
    <cellStyle name="Normal 86 10 4" xfId="15846"/>
    <cellStyle name="Normal 86 11" xfId="6790"/>
    <cellStyle name="Normal 86 11 2" xfId="17510"/>
    <cellStyle name="Normal 86 12" xfId="10122"/>
    <cellStyle name="Normal 86 12 2" xfId="20838"/>
    <cellStyle name="Normal 86 13" xfId="14179"/>
    <cellStyle name="Normal 86 2" xfId="1522"/>
    <cellStyle name="Normal 86 2 2" xfId="3199"/>
    <cellStyle name="Normal 86 3" xfId="1523"/>
    <cellStyle name="Normal 86 3 10" xfId="10123"/>
    <cellStyle name="Normal 86 3 10 2" xfId="20839"/>
    <cellStyle name="Normal 86 3 11" xfId="14180"/>
    <cellStyle name="Normal 86 3 2" xfId="1524"/>
    <cellStyle name="Normal 86 3 2 10" xfId="14181"/>
    <cellStyle name="Normal 86 3 2 2" xfId="1525"/>
    <cellStyle name="Normal 86 3 2 2 2" xfId="1526"/>
    <cellStyle name="Normal 86 3 2 2 2 2" xfId="3203"/>
    <cellStyle name="Normal 86 3 2 2 2 2 2" xfId="4075"/>
    <cellStyle name="Normal 86 3 2 2 2 2 2 2" xfId="4915"/>
    <cellStyle name="Normal 86 3 2 2 2 2 2 2 2" xfId="6583"/>
    <cellStyle name="Normal 86 3 2 2 2 2 2 2 2 2" xfId="9918"/>
    <cellStyle name="Normal 86 3 2 2 2 2 2 2 2 2 2" xfId="20634"/>
    <cellStyle name="Normal 86 3 2 2 2 2 2 2 2 3" xfId="13246"/>
    <cellStyle name="Normal 86 3 2 2 2 2 2 2 2 3 2" xfId="23962"/>
    <cellStyle name="Normal 86 3 2 2 2 2 2 2 2 4" xfId="17306"/>
    <cellStyle name="Normal 86 3 2 2 2 2 2 2 3" xfId="8254"/>
    <cellStyle name="Normal 86 3 2 2 2 2 2 2 3 2" xfId="18970"/>
    <cellStyle name="Normal 86 3 2 2 2 2 2 2 4" xfId="11582"/>
    <cellStyle name="Normal 86 3 2 2 2 2 2 2 4 2" xfId="22298"/>
    <cellStyle name="Normal 86 3 2 2 2 2 2 2 5" xfId="15642"/>
    <cellStyle name="Normal 86 3 2 2 2 2 2 3" xfId="5751"/>
    <cellStyle name="Normal 86 3 2 2 2 2 2 3 2" xfId="9086"/>
    <cellStyle name="Normal 86 3 2 2 2 2 2 3 2 2" xfId="19802"/>
    <cellStyle name="Normal 86 3 2 2 2 2 2 3 3" xfId="12414"/>
    <cellStyle name="Normal 86 3 2 2 2 2 2 3 3 2" xfId="23130"/>
    <cellStyle name="Normal 86 3 2 2 2 2 2 3 4" xfId="16474"/>
    <cellStyle name="Normal 86 3 2 2 2 2 2 4" xfId="7422"/>
    <cellStyle name="Normal 86 3 2 2 2 2 2 4 2" xfId="18138"/>
    <cellStyle name="Normal 86 3 2 2 2 2 2 5" xfId="10750"/>
    <cellStyle name="Normal 86 3 2 2 2 2 2 5 2" xfId="21466"/>
    <cellStyle name="Normal 86 3 2 2 2 2 2 6" xfId="14810"/>
    <cellStyle name="Normal 86 3 2 2 2 2 3" xfId="4499"/>
    <cellStyle name="Normal 86 3 2 2 2 2 3 2" xfId="6167"/>
    <cellStyle name="Normal 86 3 2 2 2 2 3 2 2" xfId="9502"/>
    <cellStyle name="Normal 86 3 2 2 2 2 3 2 2 2" xfId="20218"/>
    <cellStyle name="Normal 86 3 2 2 2 2 3 2 3" xfId="12830"/>
    <cellStyle name="Normal 86 3 2 2 2 2 3 2 3 2" xfId="23546"/>
    <cellStyle name="Normal 86 3 2 2 2 2 3 2 4" xfId="16890"/>
    <cellStyle name="Normal 86 3 2 2 2 2 3 3" xfId="7838"/>
    <cellStyle name="Normal 86 3 2 2 2 2 3 3 2" xfId="18554"/>
    <cellStyle name="Normal 86 3 2 2 2 2 3 4" xfId="11166"/>
    <cellStyle name="Normal 86 3 2 2 2 2 3 4 2" xfId="21882"/>
    <cellStyle name="Normal 86 3 2 2 2 2 3 5" xfId="15226"/>
    <cellStyle name="Normal 86 3 2 2 2 2 4" xfId="5335"/>
    <cellStyle name="Normal 86 3 2 2 2 2 4 2" xfId="8670"/>
    <cellStyle name="Normal 86 3 2 2 2 2 4 2 2" xfId="19386"/>
    <cellStyle name="Normal 86 3 2 2 2 2 4 3" xfId="11998"/>
    <cellStyle name="Normal 86 3 2 2 2 2 4 3 2" xfId="22714"/>
    <cellStyle name="Normal 86 3 2 2 2 2 4 4" xfId="16058"/>
    <cellStyle name="Normal 86 3 2 2 2 2 5" xfId="7005"/>
    <cellStyle name="Normal 86 3 2 2 2 2 5 2" xfId="17722"/>
    <cellStyle name="Normal 86 3 2 2 2 2 6" xfId="10334"/>
    <cellStyle name="Normal 86 3 2 2 2 2 6 2" xfId="21050"/>
    <cellStyle name="Normal 86 3 2 2 2 2 7" xfId="14393"/>
    <cellStyle name="Normal 86 3 2 2 2 3" xfId="3856"/>
    <cellStyle name="Normal 86 3 2 2 2 3 2" xfId="4707"/>
    <cellStyle name="Normal 86 3 2 2 2 3 2 2" xfId="6375"/>
    <cellStyle name="Normal 86 3 2 2 2 3 2 2 2" xfId="9710"/>
    <cellStyle name="Normal 86 3 2 2 2 3 2 2 2 2" xfId="20426"/>
    <cellStyle name="Normal 86 3 2 2 2 3 2 2 3" xfId="13038"/>
    <cellStyle name="Normal 86 3 2 2 2 3 2 2 3 2" xfId="23754"/>
    <cellStyle name="Normal 86 3 2 2 2 3 2 2 4" xfId="17098"/>
    <cellStyle name="Normal 86 3 2 2 2 3 2 3" xfId="8046"/>
    <cellStyle name="Normal 86 3 2 2 2 3 2 3 2" xfId="18762"/>
    <cellStyle name="Normal 86 3 2 2 2 3 2 4" xfId="11374"/>
    <cellStyle name="Normal 86 3 2 2 2 3 2 4 2" xfId="22090"/>
    <cellStyle name="Normal 86 3 2 2 2 3 2 5" xfId="15434"/>
    <cellStyle name="Normal 86 3 2 2 2 3 3" xfId="5543"/>
    <cellStyle name="Normal 86 3 2 2 2 3 3 2" xfId="8878"/>
    <cellStyle name="Normal 86 3 2 2 2 3 3 2 2" xfId="19594"/>
    <cellStyle name="Normal 86 3 2 2 2 3 3 3" xfId="12206"/>
    <cellStyle name="Normal 86 3 2 2 2 3 3 3 2" xfId="22922"/>
    <cellStyle name="Normal 86 3 2 2 2 3 3 4" xfId="16266"/>
    <cellStyle name="Normal 86 3 2 2 2 3 4" xfId="7214"/>
    <cellStyle name="Normal 86 3 2 2 2 3 4 2" xfId="17930"/>
    <cellStyle name="Normal 86 3 2 2 2 3 5" xfId="10542"/>
    <cellStyle name="Normal 86 3 2 2 2 3 5 2" xfId="21258"/>
    <cellStyle name="Normal 86 3 2 2 2 3 6" xfId="14602"/>
    <cellStyle name="Normal 86 3 2 2 2 4" xfId="4289"/>
    <cellStyle name="Normal 86 3 2 2 2 4 2" xfId="5959"/>
    <cellStyle name="Normal 86 3 2 2 2 4 2 2" xfId="9294"/>
    <cellStyle name="Normal 86 3 2 2 2 4 2 2 2" xfId="20010"/>
    <cellStyle name="Normal 86 3 2 2 2 4 2 3" xfId="12622"/>
    <cellStyle name="Normal 86 3 2 2 2 4 2 3 2" xfId="23338"/>
    <cellStyle name="Normal 86 3 2 2 2 4 2 4" xfId="16682"/>
    <cellStyle name="Normal 86 3 2 2 2 4 3" xfId="7630"/>
    <cellStyle name="Normal 86 3 2 2 2 4 3 2" xfId="18346"/>
    <cellStyle name="Normal 86 3 2 2 2 4 4" xfId="10958"/>
    <cellStyle name="Normal 86 3 2 2 2 4 4 2" xfId="21674"/>
    <cellStyle name="Normal 86 3 2 2 2 4 5" xfId="15018"/>
    <cellStyle name="Normal 86 3 2 2 2 5" xfId="5124"/>
    <cellStyle name="Normal 86 3 2 2 2 5 2" xfId="8462"/>
    <cellStyle name="Normal 86 3 2 2 2 5 2 2" xfId="19178"/>
    <cellStyle name="Normal 86 3 2 2 2 5 3" xfId="11790"/>
    <cellStyle name="Normal 86 3 2 2 2 5 3 2" xfId="22506"/>
    <cellStyle name="Normal 86 3 2 2 2 5 4" xfId="15850"/>
    <cellStyle name="Normal 86 3 2 2 2 6" xfId="6794"/>
    <cellStyle name="Normal 86 3 2 2 2 6 2" xfId="17514"/>
    <cellStyle name="Normal 86 3 2 2 2 7" xfId="10126"/>
    <cellStyle name="Normal 86 3 2 2 2 7 2" xfId="20842"/>
    <cellStyle name="Normal 86 3 2 2 2 8" xfId="14183"/>
    <cellStyle name="Normal 86 3 2 2 3" xfId="3202"/>
    <cellStyle name="Normal 86 3 2 2 3 2" xfId="4074"/>
    <cellStyle name="Normal 86 3 2 2 3 2 2" xfId="4914"/>
    <cellStyle name="Normal 86 3 2 2 3 2 2 2" xfId="6582"/>
    <cellStyle name="Normal 86 3 2 2 3 2 2 2 2" xfId="9917"/>
    <cellStyle name="Normal 86 3 2 2 3 2 2 2 2 2" xfId="20633"/>
    <cellStyle name="Normal 86 3 2 2 3 2 2 2 3" xfId="13245"/>
    <cellStyle name="Normal 86 3 2 2 3 2 2 2 3 2" xfId="23961"/>
    <cellStyle name="Normal 86 3 2 2 3 2 2 2 4" xfId="17305"/>
    <cellStyle name="Normal 86 3 2 2 3 2 2 3" xfId="8253"/>
    <cellStyle name="Normal 86 3 2 2 3 2 2 3 2" xfId="18969"/>
    <cellStyle name="Normal 86 3 2 2 3 2 2 4" xfId="11581"/>
    <cellStyle name="Normal 86 3 2 2 3 2 2 4 2" xfId="22297"/>
    <cellStyle name="Normal 86 3 2 2 3 2 2 5" xfId="15641"/>
    <cellStyle name="Normal 86 3 2 2 3 2 3" xfId="5750"/>
    <cellStyle name="Normal 86 3 2 2 3 2 3 2" xfId="9085"/>
    <cellStyle name="Normal 86 3 2 2 3 2 3 2 2" xfId="19801"/>
    <cellStyle name="Normal 86 3 2 2 3 2 3 3" xfId="12413"/>
    <cellStyle name="Normal 86 3 2 2 3 2 3 3 2" xfId="23129"/>
    <cellStyle name="Normal 86 3 2 2 3 2 3 4" xfId="16473"/>
    <cellStyle name="Normal 86 3 2 2 3 2 4" xfId="7421"/>
    <cellStyle name="Normal 86 3 2 2 3 2 4 2" xfId="18137"/>
    <cellStyle name="Normal 86 3 2 2 3 2 5" xfId="10749"/>
    <cellStyle name="Normal 86 3 2 2 3 2 5 2" xfId="21465"/>
    <cellStyle name="Normal 86 3 2 2 3 2 6" xfId="14809"/>
    <cellStyle name="Normal 86 3 2 2 3 3" xfId="4498"/>
    <cellStyle name="Normal 86 3 2 2 3 3 2" xfId="6166"/>
    <cellStyle name="Normal 86 3 2 2 3 3 2 2" xfId="9501"/>
    <cellStyle name="Normal 86 3 2 2 3 3 2 2 2" xfId="20217"/>
    <cellStyle name="Normal 86 3 2 2 3 3 2 3" xfId="12829"/>
    <cellStyle name="Normal 86 3 2 2 3 3 2 3 2" xfId="23545"/>
    <cellStyle name="Normal 86 3 2 2 3 3 2 4" xfId="16889"/>
    <cellStyle name="Normal 86 3 2 2 3 3 3" xfId="7837"/>
    <cellStyle name="Normal 86 3 2 2 3 3 3 2" xfId="18553"/>
    <cellStyle name="Normal 86 3 2 2 3 3 4" xfId="11165"/>
    <cellStyle name="Normal 86 3 2 2 3 3 4 2" xfId="21881"/>
    <cellStyle name="Normal 86 3 2 2 3 3 5" xfId="15225"/>
    <cellStyle name="Normal 86 3 2 2 3 4" xfId="5334"/>
    <cellStyle name="Normal 86 3 2 2 3 4 2" xfId="8669"/>
    <cellStyle name="Normal 86 3 2 2 3 4 2 2" xfId="19385"/>
    <cellStyle name="Normal 86 3 2 2 3 4 3" xfId="11997"/>
    <cellStyle name="Normal 86 3 2 2 3 4 3 2" xfId="22713"/>
    <cellStyle name="Normal 86 3 2 2 3 4 4" xfId="16057"/>
    <cellStyle name="Normal 86 3 2 2 3 5" xfId="7004"/>
    <cellStyle name="Normal 86 3 2 2 3 5 2" xfId="17721"/>
    <cellStyle name="Normal 86 3 2 2 3 6" xfId="10333"/>
    <cellStyle name="Normal 86 3 2 2 3 6 2" xfId="21049"/>
    <cellStyle name="Normal 86 3 2 2 3 7" xfId="14392"/>
    <cellStyle name="Normal 86 3 2 2 4" xfId="3855"/>
    <cellStyle name="Normal 86 3 2 2 4 2" xfId="4706"/>
    <cellStyle name="Normal 86 3 2 2 4 2 2" xfId="6374"/>
    <cellStyle name="Normal 86 3 2 2 4 2 2 2" xfId="9709"/>
    <cellStyle name="Normal 86 3 2 2 4 2 2 2 2" xfId="20425"/>
    <cellStyle name="Normal 86 3 2 2 4 2 2 3" xfId="13037"/>
    <cellStyle name="Normal 86 3 2 2 4 2 2 3 2" xfId="23753"/>
    <cellStyle name="Normal 86 3 2 2 4 2 2 4" xfId="17097"/>
    <cellStyle name="Normal 86 3 2 2 4 2 3" xfId="8045"/>
    <cellStyle name="Normal 86 3 2 2 4 2 3 2" xfId="18761"/>
    <cellStyle name="Normal 86 3 2 2 4 2 4" xfId="11373"/>
    <cellStyle name="Normal 86 3 2 2 4 2 4 2" xfId="22089"/>
    <cellStyle name="Normal 86 3 2 2 4 2 5" xfId="15433"/>
    <cellStyle name="Normal 86 3 2 2 4 3" xfId="5542"/>
    <cellStyle name="Normal 86 3 2 2 4 3 2" xfId="8877"/>
    <cellStyle name="Normal 86 3 2 2 4 3 2 2" xfId="19593"/>
    <cellStyle name="Normal 86 3 2 2 4 3 3" xfId="12205"/>
    <cellStyle name="Normal 86 3 2 2 4 3 3 2" xfId="22921"/>
    <cellStyle name="Normal 86 3 2 2 4 3 4" xfId="16265"/>
    <cellStyle name="Normal 86 3 2 2 4 4" xfId="7213"/>
    <cellStyle name="Normal 86 3 2 2 4 4 2" xfId="17929"/>
    <cellStyle name="Normal 86 3 2 2 4 5" xfId="10541"/>
    <cellStyle name="Normal 86 3 2 2 4 5 2" xfId="21257"/>
    <cellStyle name="Normal 86 3 2 2 4 6" xfId="14601"/>
    <cellStyle name="Normal 86 3 2 2 5" xfId="4288"/>
    <cellStyle name="Normal 86 3 2 2 5 2" xfId="5958"/>
    <cellStyle name="Normal 86 3 2 2 5 2 2" xfId="9293"/>
    <cellStyle name="Normal 86 3 2 2 5 2 2 2" xfId="20009"/>
    <cellStyle name="Normal 86 3 2 2 5 2 3" xfId="12621"/>
    <cellStyle name="Normal 86 3 2 2 5 2 3 2" xfId="23337"/>
    <cellStyle name="Normal 86 3 2 2 5 2 4" xfId="16681"/>
    <cellStyle name="Normal 86 3 2 2 5 3" xfId="7629"/>
    <cellStyle name="Normal 86 3 2 2 5 3 2" xfId="18345"/>
    <cellStyle name="Normal 86 3 2 2 5 4" xfId="10957"/>
    <cellStyle name="Normal 86 3 2 2 5 4 2" xfId="21673"/>
    <cellStyle name="Normal 86 3 2 2 5 5" xfId="15017"/>
    <cellStyle name="Normal 86 3 2 2 6" xfId="5123"/>
    <cellStyle name="Normal 86 3 2 2 6 2" xfId="8461"/>
    <cellStyle name="Normal 86 3 2 2 6 2 2" xfId="19177"/>
    <cellStyle name="Normal 86 3 2 2 6 3" xfId="11789"/>
    <cellStyle name="Normal 86 3 2 2 6 3 2" xfId="22505"/>
    <cellStyle name="Normal 86 3 2 2 6 4" xfId="15849"/>
    <cellStyle name="Normal 86 3 2 2 7" xfId="6793"/>
    <cellStyle name="Normal 86 3 2 2 7 2" xfId="17513"/>
    <cellStyle name="Normal 86 3 2 2 8" xfId="10125"/>
    <cellStyle name="Normal 86 3 2 2 8 2" xfId="20841"/>
    <cellStyle name="Normal 86 3 2 2 9" xfId="14182"/>
    <cellStyle name="Normal 86 3 2 3" xfId="1527"/>
    <cellStyle name="Normal 86 3 2 3 2" xfId="3204"/>
    <cellStyle name="Normal 86 3 2 3 2 2" xfId="4076"/>
    <cellStyle name="Normal 86 3 2 3 2 2 2" xfId="4916"/>
    <cellStyle name="Normal 86 3 2 3 2 2 2 2" xfId="6584"/>
    <cellStyle name="Normal 86 3 2 3 2 2 2 2 2" xfId="9919"/>
    <cellStyle name="Normal 86 3 2 3 2 2 2 2 2 2" xfId="20635"/>
    <cellStyle name="Normal 86 3 2 3 2 2 2 2 3" xfId="13247"/>
    <cellStyle name="Normal 86 3 2 3 2 2 2 2 3 2" xfId="23963"/>
    <cellStyle name="Normal 86 3 2 3 2 2 2 2 4" xfId="17307"/>
    <cellStyle name="Normal 86 3 2 3 2 2 2 3" xfId="8255"/>
    <cellStyle name="Normal 86 3 2 3 2 2 2 3 2" xfId="18971"/>
    <cellStyle name="Normal 86 3 2 3 2 2 2 4" xfId="11583"/>
    <cellStyle name="Normal 86 3 2 3 2 2 2 4 2" xfId="22299"/>
    <cellStyle name="Normal 86 3 2 3 2 2 2 5" xfId="15643"/>
    <cellStyle name="Normal 86 3 2 3 2 2 3" xfId="5752"/>
    <cellStyle name="Normal 86 3 2 3 2 2 3 2" xfId="9087"/>
    <cellStyle name="Normal 86 3 2 3 2 2 3 2 2" xfId="19803"/>
    <cellStyle name="Normal 86 3 2 3 2 2 3 3" xfId="12415"/>
    <cellStyle name="Normal 86 3 2 3 2 2 3 3 2" xfId="23131"/>
    <cellStyle name="Normal 86 3 2 3 2 2 3 4" xfId="16475"/>
    <cellStyle name="Normal 86 3 2 3 2 2 4" xfId="7423"/>
    <cellStyle name="Normal 86 3 2 3 2 2 4 2" xfId="18139"/>
    <cellStyle name="Normal 86 3 2 3 2 2 5" xfId="10751"/>
    <cellStyle name="Normal 86 3 2 3 2 2 5 2" xfId="21467"/>
    <cellStyle name="Normal 86 3 2 3 2 2 6" xfId="14811"/>
    <cellStyle name="Normal 86 3 2 3 2 3" xfId="4500"/>
    <cellStyle name="Normal 86 3 2 3 2 3 2" xfId="6168"/>
    <cellStyle name="Normal 86 3 2 3 2 3 2 2" xfId="9503"/>
    <cellStyle name="Normal 86 3 2 3 2 3 2 2 2" xfId="20219"/>
    <cellStyle name="Normal 86 3 2 3 2 3 2 3" xfId="12831"/>
    <cellStyle name="Normal 86 3 2 3 2 3 2 3 2" xfId="23547"/>
    <cellStyle name="Normal 86 3 2 3 2 3 2 4" xfId="16891"/>
    <cellStyle name="Normal 86 3 2 3 2 3 3" xfId="7839"/>
    <cellStyle name="Normal 86 3 2 3 2 3 3 2" xfId="18555"/>
    <cellStyle name="Normal 86 3 2 3 2 3 4" xfId="11167"/>
    <cellStyle name="Normal 86 3 2 3 2 3 4 2" xfId="21883"/>
    <cellStyle name="Normal 86 3 2 3 2 3 5" xfId="15227"/>
    <cellStyle name="Normal 86 3 2 3 2 4" xfId="5336"/>
    <cellStyle name="Normal 86 3 2 3 2 4 2" xfId="8671"/>
    <cellStyle name="Normal 86 3 2 3 2 4 2 2" xfId="19387"/>
    <cellStyle name="Normal 86 3 2 3 2 4 3" xfId="11999"/>
    <cellStyle name="Normal 86 3 2 3 2 4 3 2" xfId="22715"/>
    <cellStyle name="Normal 86 3 2 3 2 4 4" xfId="16059"/>
    <cellStyle name="Normal 86 3 2 3 2 5" xfId="7006"/>
    <cellStyle name="Normal 86 3 2 3 2 5 2" xfId="17723"/>
    <cellStyle name="Normal 86 3 2 3 2 6" xfId="10335"/>
    <cellStyle name="Normal 86 3 2 3 2 6 2" xfId="21051"/>
    <cellStyle name="Normal 86 3 2 3 2 7" xfId="14394"/>
    <cellStyle name="Normal 86 3 2 3 3" xfId="3857"/>
    <cellStyle name="Normal 86 3 2 3 3 2" xfId="4708"/>
    <cellStyle name="Normal 86 3 2 3 3 2 2" xfId="6376"/>
    <cellStyle name="Normal 86 3 2 3 3 2 2 2" xfId="9711"/>
    <cellStyle name="Normal 86 3 2 3 3 2 2 2 2" xfId="20427"/>
    <cellStyle name="Normal 86 3 2 3 3 2 2 3" xfId="13039"/>
    <cellStyle name="Normal 86 3 2 3 3 2 2 3 2" xfId="23755"/>
    <cellStyle name="Normal 86 3 2 3 3 2 2 4" xfId="17099"/>
    <cellStyle name="Normal 86 3 2 3 3 2 3" xfId="8047"/>
    <cellStyle name="Normal 86 3 2 3 3 2 3 2" xfId="18763"/>
    <cellStyle name="Normal 86 3 2 3 3 2 4" xfId="11375"/>
    <cellStyle name="Normal 86 3 2 3 3 2 4 2" xfId="22091"/>
    <cellStyle name="Normal 86 3 2 3 3 2 5" xfId="15435"/>
    <cellStyle name="Normal 86 3 2 3 3 3" xfId="5544"/>
    <cellStyle name="Normal 86 3 2 3 3 3 2" xfId="8879"/>
    <cellStyle name="Normal 86 3 2 3 3 3 2 2" xfId="19595"/>
    <cellStyle name="Normal 86 3 2 3 3 3 3" xfId="12207"/>
    <cellStyle name="Normal 86 3 2 3 3 3 3 2" xfId="22923"/>
    <cellStyle name="Normal 86 3 2 3 3 3 4" xfId="16267"/>
    <cellStyle name="Normal 86 3 2 3 3 4" xfId="7215"/>
    <cellStyle name="Normal 86 3 2 3 3 4 2" xfId="17931"/>
    <cellStyle name="Normal 86 3 2 3 3 5" xfId="10543"/>
    <cellStyle name="Normal 86 3 2 3 3 5 2" xfId="21259"/>
    <cellStyle name="Normal 86 3 2 3 3 6" xfId="14603"/>
    <cellStyle name="Normal 86 3 2 3 4" xfId="4290"/>
    <cellStyle name="Normal 86 3 2 3 4 2" xfId="5960"/>
    <cellStyle name="Normal 86 3 2 3 4 2 2" xfId="9295"/>
    <cellStyle name="Normal 86 3 2 3 4 2 2 2" xfId="20011"/>
    <cellStyle name="Normal 86 3 2 3 4 2 3" xfId="12623"/>
    <cellStyle name="Normal 86 3 2 3 4 2 3 2" xfId="23339"/>
    <cellStyle name="Normal 86 3 2 3 4 2 4" xfId="16683"/>
    <cellStyle name="Normal 86 3 2 3 4 3" xfId="7631"/>
    <cellStyle name="Normal 86 3 2 3 4 3 2" xfId="18347"/>
    <cellStyle name="Normal 86 3 2 3 4 4" xfId="10959"/>
    <cellStyle name="Normal 86 3 2 3 4 4 2" xfId="21675"/>
    <cellStyle name="Normal 86 3 2 3 4 5" xfId="15019"/>
    <cellStyle name="Normal 86 3 2 3 5" xfId="5125"/>
    <cellStyle name="Normal 86 3 2 3 5 2" xfId="8463"/>
    <cellStyle name="Normal 86 3 2 3 5 2 2" xfId="19179"/>
    <cellStyle name="Normal 86 3 2 3 5 3" xfId="11791"/>
    <cellStyle name="Normal 86 3 2 3 5 3 2" xfId="22507"/>
    <cellStyle name="Normal 86 3 2 3 5 4" xfId="15851"/>
    <cellStyle name="Normal 86 3 2 3 6" xfId="6795"/>
    <cellStyle name="Normal 86 3 2 3 6 2" xfId="17515"/>
    <cellStyle name="Normal 86 3 2 3 7" xfId="10127"/>
    <cellStyle name="Normal 86 3 2 3 7 2" xfId="20843"/>
    <cellStyle name="Normal 86 3 2 3 8" xfId="14184"/>
    <cellStyle name="Normal 86 3 2 4" xfId="3201"/>
    <cellStyle name="Normal 86 3 2 4 2" xfId="4073"/>
    <cellStyle name="Normal 86 3 2 4 2 2" xfId="4913"/>
    <cellStyle name="Normal 86 3 2 4 2 2 2" xfId="6581"/>
    <cellStyle name="Normal 86 3 2 4 2 2 2 2" xfId="9916"/>
    <cellStyle name="Normal 86 3 2 4 2 2 2 2 2" xfId="20632"/>
    <cellStyle name="Normal 86 3 2 4 2 2 2 3" xfId="13244"/>
    <cellStyle name="Normal 86 3 2 4 2 2 2 3 2" xfId="23960"/>
    <cellStyle name="Normal 86 3 2 4 2 2 2 4" xfId="17304"/>
    <cellStyle name="Normal 86 3 2 4 2 2 3" xfId="8252"/>
    <cellStyle name="Normal 86 3 2 4 2 2 3 2" xfId="18968"/>
    <cellStyle name="Normal 86 3 2 4 2 2 4" xfId="11580"/>
    <cellStyle name="Normal 86 3 2 4 2 2 4 2" xfId="22296"/>
    <cellStyle name="Normal 86 3 2 4 2 2 5" xfId="15640"/>
    <cellStyle name="Normal 86 3 2 4 2 3" xfId="5749"/>
    <cellStyle name="Normal 86 3 2 4 2 3 2" xfId="9084"/>
    <cellStyle name="Normal 86 3 2 4 2 3 2 2" xfId="19800"/>
    <cellStyle name="Normal 86 3 2 4 2 3 3" xfId="12412"/>
    <cellStyle name="Normal 86 3 2 4 2 3 3 2" xfId="23128"/>
    <cellStyle name="Normal 86 3 2 4 2 3 4" xfId="16472"/>
    <cellStyle name="Normal 86 3 2 4 2 4" xfId="7420"/>
    <cellStyle name="Normal 86 3 2 4 2 4 2" xfId="18136"/>
    <cellStyle name="Normal 86 3 2 4 2 5" xfId="10748"/>
    <cellStyle name="Normal 86 3 2 4 2 5 2" xfId="21464"/>
    <cellStyle name="Normal 86 3 2 4 2 6" xfId="14808"/>
    <cellStyle name="Normal 86 3 2 4 3" xfId="4497"/>
    <cellStyle name="Normal 86 3 2 4 3 2" xfId="6165"/>
    <cellStyle name="Normal 86 3 2 4 3 2 2" xfId="9500"/>
    <cellStyle name="Normal 86 3 2 4 3 2 2 2" xfId="20216"/>
    <cellStyle name="Normal 86 3 2 4 3 2 3" xfId="12828"/>
    <cellStyle name="Normal 86 3 2 4 3 2 3 2" xfId="23544"/>
    <cellStyle name="Normal 86 3 2 4 3 2 4" xfId="16888"/>
    <cellStyle name="Normal 86 3 2 4 3 3" xfId="7836"/>
    <cellStyle name="Normal 86 3 2 4 3 3 2" xfId="18552"/>
    <cellStyle name="Normal 86 3 2 4 3 4" xfId="11164"/>
    <cellStyle name="Normal 86 3 2 4 3 4 2" xfId="21880"/>
    <cellStyle name="Normal 86 3 2 4 3 5" xfId="15224"/>
    <cellStyle name="Normal 86 3 2 4 4" xfId="5333"/>
    <cellStyle name="Normal 86 3 2 4 4 2" xfId="8668"/>
    <cellStyle name="Normal 86 3 2 4 4 2 2" xfId="19384"/>
    <cellStyle name="Normal 86 3 2 4 4 3" xfId="11996"/>
    <cellStyle name="Normal 86 3 2 4 4 3 2" xfId="22712"/>
    <cellStyle name="Normal 86 3 2 4 4 4" xfId="16056"/>
    <cellStyle name="Normal 86 3 2 4 5" xfId="7003"/>
    <cellStyle name="Normal 86 3 2 4 5 2" xfId="17720"/>
    <cellStyle name="Normal 86 3 2 4 6" xfId="10332"/>
    <cellStyle name="Normal 86 3 2 4 6 2" xfId="21048"/>
    <cellStyle name="Normal 86 3 2 4 7" xfId="14391"/>
    <cellStyle name="Normal 86 3 2 5" xfId="3854"/>
    <cellStyle name="Normal 86 3 2 5 2" xfId="4705"/>
    <cellStyle name="Normal 86 3 2 5 2 2" xfId="6373"/>
    <cellStyle name="Normal 86 3 2 5 2 2 2" xfId="9708"/>
    <cellStyle name="Normal 86 3 2 5 2 2 2 2" xfId="20424"/>
    <cellStyle name="Normal 86 3 2 5 2 2 3" xfId="13036"/>
    <cellStyle name="Normal 86 3 2 5 2 2 3 2" xfId="23752"/>
    <cellStyle name="Normal 86 3 2 5 2 2 4" xfId="17096"/>
    <cellStyle name="Normal 86 3 2 5 2 3" xfId="8044"/>
    <cellStyle name="Normal 86 3 2 5 2 3 2" xfId="18760"/>
    <cellStyle name="Normal 86 3 2 5 2 4" xfId="11372"/>
    <cellStyle name="Normal 86 3 2 5 2 4 2" xfId="22088"/>
    <cellStyle name="Normal 86 3 2 5 2 5" xfId="15432"/>
    <cellStyle name="Normal 86 3 2 5 3" xfId="5541"/>
    <cellStyle name="Normal 86 3 2 5 3 2" xfId="8876"/>
    <cellStyle name="Normal 86 3 2 5 3 2 2" xfId="19592"/>
    <cellStyle name="Normal 86 3 2 5 3 3" xfId="12204"/>
    <cellStyle name="Normal 86 3 2 5 3 3 2" xfId="22920"/>
    <cellStyle name="Normal 86 3 2 5 3 4" xfId="16264"/>
    <cellStyle name="Normal 86 3 2 5 4" xfId="7212"/>
    <cellStyle name="Normal 86 3 2 5 4 2" xfId="17928"/>
    <cellStyle name="Normal 86 3 2 5 5" xfId="10540"/>
    <cellStyle name="Normal 86 3 2 5 5 2" xfId="21256"/>
    <cellStyle name="Normal 86 3 2 5 6" xfId="14600"/>
    <cellStyle name="Normal 86 3 2 6" xfId="4287"/>
    <cellStyle name="Normal 86 3 2 6 2" xfId="5957"/>
    <cellStyle name="Normal 86 3 2 6 2 2" xfId="9292"/>
    <cellStyle name="Normal 86 3 2 6 2 2 2" xfId="20008"/>
    <cellStyle name="Normal 86 3 2 6 2 3" xfId="12620"/>
    <cellStyle name="Normal 86 3 2 6 2 3 2" xfId="23336"/>
    <cellStyle name="Normal 86 3 2 6 2 4" xfId="16680"/>
    <cellStyle name="Normal 86 3 2 6 3" xfId="7628"/>
    <cellStyle name="Normal 86 3 2 6 3 2" xfId="18344"/>
    <cellStyle name="Normal 86 3 2 6 4" xfId="10956"/>
    <cellStyle name="Normal 86 3 2 6 4 2" xfId="21672"/>
    <cellStyle name="Normal 86 3 2 6 5" xfId="15016"/>
    <cellStyle name="Normal 86 3 2 7" xfId="5122"/>
    <cellStyle name="Normal 86 3 2 7 2" xfId="8460"/>
    <cellStyle name="Normal 86 3 2 7 2 2" xfId="19176"/>
    <cellStyle name="Normal 86 3 2 7 3" xfId="11788"/>
    <cellStyle name="Normal 86 3 2 7 3 2" xfId="22504"/>
    <cellStyle name="Normal 86 3 2 7 4" xfId="15848"/>
    <cellStyle name="Normal 86 3 2 8" xfId="6792"/>
    <cellStyle name="Normal 86 3 2 8 2" xfId="17512"/>
    <cellStyle name="Normal 86 3 2 9" xfId="10124"/>
    <cellStyle name="Normal 86 3 2 9 2" xfId="20840"/>
    <cellStyle name="Normal 86 3 3" xfId="1528"/>
    <cellStyle name="Normal 86 3 3 2" xfId="1529"/>
    <cellStyle name="Normal 86 3 3 2 2" xfId="3206"/>
    <cellStyle name="Normal 86 3 3 2 2 2" xfId="4078"/>
    <cellStyle name="Normal 86 3 3 2 2 2 2" xfId="4918"/>
    <cellStyle name="Normal 86 3 3 2 2 2 2 2" xfId="6586"/>
    <cellStyle name="Normal 86 3 3 2 2 2 2 2 2" xfId="9921"/>
    <cellStyle name="Normal 86 3 3 2 2 2 2 2 2 2" xfId="20637"/>
    <cellStyle name="Normal 86 3 3 2 2 2 2 2 3" xfId="13249"/>
    <cellStyle name="Normal 86 3 3 2 2 2 2 2 3 2" xfId="23965"/>
    <cellStyle name="Normal 86 3 3 2 2 2 2 2 4" xfId="17309"/>
    <cellStyle name="Normal 86 3 3 2 2 2 2 3" xfId="8257"/>
    <cellStyle name="Normal 86 3 3 2 2 2 2 3 2" xfId="18973"/>
    <cellStyle name="Normal 86 3 3 2 2 2 2 4" xfId="11585"/>
    <cellStyle name="Normal 86 3 3 2 2 2 2 4 2" xfId="22301"/>
    <cellStyle name="Normal 86 3 3 2 2 2 2 5" xfId="15645"/>
    <cellStyle name="Normal 86 3 3 2 2 2 3" xfId="5754"/>
    <cellStyle name="Normal 86 3 3 2 2 2 3 2" xfId="9089"/>
    <cellStyle name="Normal 86 3 3 2 2 2 3 2 2" xfId="19805"/>
    <cellStyle name="Normal 86 3 3 2 2 2 3 3" xfId="12417"/>
    <cellStyle name="Normal 86 3 3 2 2 2 3 3 2" xfId="23133"/>
    <cellStyle name="Normal 86 3 3 2 2 2 3 4" xfId="16477"/>
    <cellStyle name="Normal 86 3 3 2 2 2 4" xfId="7425"/>
    <cellStyle name="Normal 86 3 3 2 2 2 4 2" xfId="18141"/>
    <cellStyle name="Normal 86 3 3 2 2 2 5" xfId="10753"/>
    <cellStyle name="Normal 86 3 3 2 2 2 5 2" xfId="21469"/>
    <cellStyle name="Normal 86 3 3 2 2 2 6" xfId="14813"/>
    <cellStyle name="Normal 86 3 3 2 2 3" xfId="4502"/>
    <cellStyle name="Normal 86 3 3 2 2 3 2" xfId="6170"/>
    <cellStyle name="Normal 86 3 3 2 2 3 2 2" xfId="9505"/>
    <cellStyle name="Normal 86 3 3 2 2 3 2 2 2" xfId="20221"/>
    <cellStyle name="Normal 86 3 3 2 2 3 2 3" xfId="12833"/>
    <cellStyle name="Normal 86 3 3 2 2 3 2 3 2" xfId="23549"/>
    <cellStyle name="Normal 86 3 3 2 2 3 2 4" xfId="16893"/>
    <cellStyle name="Normal 86 3 3 2 2 3 3" xfId="7841"/>
    <cellStyle name="Normal 86 3 3 2 2 3 3 2" xfId="18557"/>
    <cellStyle name="Normal 86 3 3 2 2 3 4" xfId="11169"/>
    <cellStyle name="Normal 86 3 3 2 2 3 4 2" xfId="21885"/>
    <cellStyle name="Normal 86 3 3 2 2 3 5" xfId="15229"/>
    <cellStyle name="Normal 86 3 3 2 2 4" xfId="5338"/>
    <cellStyle name="Normal 86 3 3 2 2 4 2" xfId="8673"/>
    <cellStyle name="Normal 86 3 3 2 2 4 2 2" xfId="19389"/>
    <cellStyle name="Normal 86 3 3 2 2 4 3" xfId="12001"/>
    <cellStyle name="Normal 86 3 3 2 2 4 3 2" xfId="22717"/>
    <cellStyle name="Normal 86 3 3 2 2 4 4" xfId="16061"/>
    <cellStyle name="Normal 86 3 3 2 2 5" xfId="7008"/>
    <cellStyle name="Normal 86 3 3 2 2 5 2" xfId="17725"/>
    <cellStyle name="Normal 86 3 3 2 2 6" xfId="10337"/>
    <cellStyle name="Normal 86 3 3 2 2 6 2" xfId="21053"/>
    <cellStyle name="Normal 86 3 3 2 2 7" xfId="14396"/>
    <cellStyle name="Normal 86 3 3 2 3" xfId="3859"/>
    <cellStyle name="Normal 86 3 3 2 3 2" xfId="4710"/>
    <cellStyle name="Normal 86 3 3 2 3 2 2" xfId="6378"/>
    <cellStyle name="Normal 86 3 3 2 3 2 2 2" xfId="9713"/>
    <cellStyle name="Normal 86 3 3 2 3 2 2 2 2" xfId="20429"/>
    <cellStyle name="Normal 86 3 3 2 3 2 2 3" xfId="13041"/>
    <cellStyle name="Normal 86 3 3 2 3 2 2 3 2" xfId="23757"/>
    <cellStyle name="Normal 86 3 3 2 3 2 2 4" xfId="17101"/>
    <cellStyle name="Normal 86 3 3 2 3 2 3" xfId="8049"/>
    <cellStyle name="Normal 86 3 3 2 3 2 3 2" xfId="18765"/>
    <cellStyle name="Normal 86 3 3 2 3 2 4" xfId="11377"/>
    <cellStyle name="Normal 86 3 3 2 3 2 4 2" xfId="22093"/>
    <cellStyle name="Normal 86 3 3 2 3 2 5" xfId="15437"/>
    <cellStyle name="Normal 86 3 3 2 3 3" xfId="5546"/>
    <cellStyle name="Normal 86 3 3 2 3 3 2" xfId="8881"/>
    <cellStyle name="Normal 86 3 3 2 3 3 2 2" xfId="19597"/>
    <cellStyle name="Normal 86 3 3 2 3 3 3" xfId="12209"/>
    <cellStyle name="Normal 86 3 3 2 3 3 3 2" xfId="22925"/>
    <cellStyle name="Normal 86 3 3 2 3 3 4" xfId="16269"/>
    <cellStyle name="Normal 86 3 3 2 3 4" xfId="7217"/>
    <cellStyle name="Normal 86 3 3 2 3 4 2" xfId="17933"/>
    <cellStyle name="Normal 86 3 3 2 3 5" xfId="10545"/>
    <cellStyle name="Normal 86 3 3 2 3 5 2" xfId="21261"/>
    <cellStyle name="Normal 86 3 3 2 3 6" xfId="14605"/>
    <cellStyle name="Normal 86 3 3 2 4" xfId="4292"/>
    <cellStyle name="Normal 86 3 3 2 4 2" xfId="5962"/>
    <cellStyle name="Normal 86 3 3 2 4 2 2" xfId="9297"/>
    <cellStyle name="Normal 86 3 3 2 4 2 2 2" xfId="20013"/>
    <cellStyle name="Normal 86 3 3 2 4 2 3" xfId="12625"/>
    <cellStyle name="Normal 86 3 3 2 4 2 3 2" xfId="23341"/>
    <cellStyle name="Normal 86 3 3 2 4 2 4" xfId="16685"/>
    <cellStyle name="Normal 86 3 3 2 4 3" xfId="7633"/>
    <cellStyle name="Normal 86 3 3 2 4 3 2" xfId="18349"/>
    <cellStyle name="Normal 86 3 3 2 4 4" xfId="10961"/>
    <cellStyle name="Normal 86 3 3 2 4 4 2" xfId="21677"/>
    <cellStyle name="Normal 86 3 3 2 4 5" xfId="15021"/>
    <cellStyle name="Normal 86 3 3 2 5" xfId="5127"/>
    <cellStyle name="Normal 86 3 3 2 5 2" xfId="8465"/>
    <cellStyle name="Normal 86 3 3 2 5 2 2" xfId="19181"/>
    <cellStyle name="Normal 86 3 3 2 5 3" xfId="11793"/>
    <cellStyle name="Normal 86 3 3 2 5 3 2" xfId="22509"/>
    <cellStyle name="Normal 86 3 3 2 5 4" xfId="15853"/>
    <cellStyle name="Normal 86 3 3 2 6" xfId="6797"/>
    <cellStyle name="Normal 86 3 3 2 6 2" xfId="17517"/>
    <cellStyle name="Normal 86 3 3 2 7" xfId="10129"/>
    <cellStyle name="Normal 86 3 3 2 7 2" xfId="20845"/>
    <cellStyle name="Normal 86 3 3 2 8" xfId="14186"/>
    <cellStyle name="Normal 86 3 3 3" xfId="3205"/>
    <cellStyle name="Normal 86 3 3 3 2" xfId="4077"/>
    <cellStyle name="Normal 86 3 3 3 2 2" xfId="4917"/>
    <cellStyle name="Normal 86 3 3 3 2 2 2" xfId="6585"/>
    <cellStyle name="Normal 86 3 3 3 2 2 2 2" xfId="9920"/>
    <cellStyle name="Normal 86 3 3 3 2 2 2 2 2" xfId="20636"/>
    <cellStyle name="Normal 86 3 3 3 2 2 2 3" xfId="13248"/>
    <cellStyle name="Normal 86 3 3 3 2 2 2 3 2" xfId="23964"/>
    <cellStyle name="Normal 86 3 3 3 2 2 2 4" xfId="17308"/>
    <cellStyle name="Normal 86 3 3 3 2 2 3" xfId="8256"/>
    <cellStyle name="Normal 86 3 3 3 2 2 3 2" xfId="18972"/>
    <cellStyle name="Normal 86 3 3 3 2 2 4" xfId="11584"/>
    <cellStyle name="Normal 86 3 3 3 2 2 4 2" xfId="22300"/>
    <cellStyle name="Normal 86 3 3 3 2 2 5" xfId="15644"/>
    <cellStyle name="Normal 86 3 3 3 2 3" xfId="5753"/>
    <cellStyle name="Normal 86 3 3 3 2 3 2" xfId="9088"/>
    <cellStyle name="Normal 86 3 3 3 2 3 2 2" xfId="19804"/>
    <cellStyle name="Normal 86 3 3 3 2 3 3" xfId="12416"/>
    <cellStyle name="Normal 86 3 3 3 2 3 3 2" xfId="23132"/>
    <cellStyle name="Normal 86 3 3 3 2 3 4" xfId="16476"/>
    <cellStyle name="Normal 86 3 3 3 2 4" xfId="7424"/>
    <cellStyle name="Normal 86 3 3 3 2 4 2" xfId="18140"/>
    <cellStyle name="Normal 86 3 3 3 2 5" xfId="10752"/>
    <cellStyle name="Normal 86 3 3 3 2 5 2" xfId="21468"/>
    <cellStyle name="Normal 86 3 3 3 2 6" xfId="14812"/>
    <cellStyle name="Normal 86 3 3 3 3" xfId="4501"/>
    <cellStyle name="Normal 86 3 3 3 3 2" xfId="6169"/>
    <cellStyle name="Normal 86 3 3 3 3 2 2" xfId="9504"/>
    <cellStyle name="Normal 86 3 3 3 3 2 2 2" xfId="20220"/>
    <cellStyle name="Normal 86 3 3 3 3 2 3" xfId="12832"/>
    <cellStyle name="Normal 86 3 3 3 3 2 3 2" xfId="23548"/>
    <cellStyle name="Normal 86 3 3 3 3 2 4" xfId="16892"/>
    <cellStyle name="Normal 86 3 3 3 3 3" xfId="7840"/>
    <cellStyle name="Normal 86 3 3 3 3 3 2" xfId="18556"/>
    <cellStyle name="Normal 86 3 3 3 3 4" xfId="11168"/>
    <cellStyle name="Normal 86 3 3 3 3 4 2" xfId="21884"/>
    <cellStyle name="Normal 86 3 3 3 3 5" xfId="15228"/>
    <cellStyle name="Normal 86 3 3 3 4" xfId="5337"/>
    <cellStyle name="Normal 86 3 3 3 4 2" xfId="8672"/>
    <cellStyle name="Normal 86 3 3 3 4 2 2" xfId="19388"/>
    <cellStyle name="Normal 86 3 3 3 4 3" xfId="12000"/>
    <cellStyle name="Normal 86 3 3 3 4 3 2" xfId="22716"/>
    <cellStyle name="Normal 86 3 3 3 4 4" xfId="16060"/>
    <cellStyle name="Normal 86 3 3 3 5" xfId="7007"/>
    <cellStyle name="Normal 86 3 3 3 5 2" xfId="17724"/>
    <cellStyle name="Normal 86 3 3 3 6" xfId="10336"/>
    <cellStyle name="Normal 86 3 3 3 6 2" xfId="21052"/>
    <cellStyle name="Normal 86 3 3 3 7" xfId="14395"/>
    <cellStyle name="Normal 86 3 3 4" xfId="3858"/>
    <cellStyle name="Normal 86 3 3 4 2" xfId="4709"/>
    <cellStyle name="Normal 86 3 3 4 2 2" xfId="6377"/>
    <cellStyle name="Normal 86 3 3 4 2 2 2" xfId="9712"/>
    <cellStyle name="Normal 86 3 3 4 2 2 2 2" xfId="20428"/>
    <cellStyle name="Normal 86 3 3 4 2 2 3" xfId="13040"/>
    <cellStyle name="Normal 86 3 3 4 2 2 3 2" xfId="23756"/>
    <cellStyle name="Normal 86 3 3 4 2 2 4" xfId="17100"/>
    <cellStyle name="Normal 86 3 3 4 2 3" xfId="8048"/>
    <cellStyle name="Normal 86 3 3 4 2 3 2" xfId="18764"/>
    <cellStyle name="Normal 86 3 3 4 2 4" xfId="11376"/>
    <cellStyle name="Normal 86 3 3 4 2 4 2" xfId="22092"/>
    <cellStyle name="Normal 86 3 3 4 2 5" xfId="15436"/>
    <cellStyle name="Normal 86 3 3 4 3" xfId="5545"/>
    <cellStyle name="Normal 86 3 3 4 3 2" xfId="8880"/>
    <cellStyle name="Normal 86 3 3 4 3 2 2" xfId="19596"/>
    <cellStyle name="Normal 86 3 3 4 3 3" xfId="12208"/>
    <cellStyle name="Normal 86 3 3 4 3 3 2" xfId="22924"/>
    <cellStyle name="Normal 86 3 3 4 3 4" xfId="16268"/>
    <cellStyle name="Normal 86 3 3 4 4" xfId="7216"/>
    <cellStyle name="Normal 86 3 3 4 4 2" xfId="17932"/>
    <cellStyle name="Normal 86 3 3 4 5" xfId="10544"/>
    <cellStyle name="Normal 86 3 3 4 5 2" xfId="21260"/>
    <cellStyle name="Normal 86 3 3 4 6" xfId="14604"/>
    <cellStyle name="Normal 86 3 3 5" xfId="4291"/>
    <cellStyle name="Normal 86 3 3 5 2" xfId="5961"/>
    <cellStyle name="Normal 86 3 3 5 2 2" xfId="9296"/>
    <cellStyle name="Normal 86 3 3 5 2 2 2" xfId="20012"/>
    <cellStyle name="Normal 86 3 3 5 2 3" xfId="12624"/>
    <cellStyle name="Normal 86 3 3 5 2 3 2" xfId="23340"/>
    <cellStyle name="Normal 86 3 3 5 2 4" xfId="16684"/>
    <cellStyle name="Normal 86 3 3 5 3" xfId="7632"/>
    <cellStyle name="Normal 86 3 3 5 3 2" xfId="18348"/>
    <cellStyle name="Normal 86 3 3 5 4" xfId="10960"/>
    <cellStyle name="Normal 86 3 3 5 4 2" xfId="21676"/>
    <cellStyle name="Normal 86 3 3 5 5" xfId="15020"/>
    <cellStyle name="Normal 86 3 3 6" xfId="5126"/>
    <cellStyle name="Normal 86 3 3 6 2" xfId="8464"/>
    <cellStyle name="Normal 86 3 3 6 2 2" xfId="19180"/>
    <cellStyle name="Normal 86 3 3 6 3" xfId="11792"/>
    <cellStyle name="Normal 86 3 3 6 3 2" xfId="22508"/>
    <cellStyle name="Normal 86 3 3 6 4" xfId="15852"/>
    <cellStyle name="Normal 86 3 3 7" xfId="6796"/>
    <cellStyle name="Normal 86 3 3 7 2" xfId="17516"/>
    <cellStyle name="Normal 86 3 3 8" xfId="10128"/>
    <cellStyle name="Normal 86 3 3 8 2" xfId="20844"/>
    <cellStyle name="Normal 86 3 3 9" xfId="14185"/>
    <cellStyle name="Normal 86 3 4" xfId="1530"/>
    <cellStyle name="Normal 86 3 4 2" xfId="3207"/>
    <cellStyle name="Normal 86 3 4 2 2" xfId="4079"/>
    <cellStyle name="Normal 86 3 4 2 2 2" xfId="4919"/>
    <cellStyle name="Normal 86 3 4 2 2 2 2" xfId="6587"/>
    <cellStyle name="Normal 86 3 4 2 2 2 2 2" xfId="9922"/>
    <cellStyle name="Normal 86 3 4 2 2 2 2 2 2" xfId="20638"/>
    <cellStyle name="Normal 86 3 4 2 2 2 2 3" xfId="13250"/>
    <cellStyle name="Normal 86 3 4 2 2 2 2 3 2" xfId="23966"/>
    <cellStyle name="Normal 86 3 4 2 2 2 2 4" xfId="17310"/>
    <cellStyle name="Normal 86 3 4 2 2 2 3" xfId="8258"/>
    <cellStyle name="Normal 86 3 4 2 2 2 3 2" xfId="18974"/>
    <cellStyle name="Normal 86 3 4 2 2 2 4" xfId="11586"/>
    <cellStyle name="Normal 86 3 4 2 2 2 4 2" xfId="22302"/>
    <cellStyle name="Normal 86 3 4 2 2 2 5" xfId="15646"/>
    <cellStyle name="Normal 86 3 4 2 2 3" xfId="5755"/>
    <cellStyle name="Normal 86 3 4 2 2 3 2" xfId="9090"/>
    <cellStyle name="Normal 86 3 4 2 2 3 2 2" xfId="19806"/>
    <cellStyle name="Normal 86 3 4 2 2 3 3" xfId="12418"/>
    <cellStyle name="Normal 86 3 4 2 2 3 3 2" xfId="23134"/>
    <cellStyle name="Normal 86 3 4 2 2 3 4" xfId="16478"/>
    <cellStyle name="Normal 86 3 4 2 2 4" xfId="7426"/>
    <cellStyle name="Normal 86 3 4 2 2 4 2" xfId="18142"/>
    <cellStyle name="Normal 86 3 4 2 2 5" xfId="10754"/>
    <cellStyle name="Normal 86 3 4 2 2 5 2" xfId="21470"/>
    <cellStyle name="Normal 86 3 4 2 2 6" xfId="14814"/>
    <cellStyle name="Normal 86 3 4 2 3" xfId="4503"/>
    <cellStyle name="Normal 86 3 4 2 3 2" xfId="6171"/>
    <cellStyle name="Normal 86 3 4 2 3 2 2" xfId="9506"/>
    <cellStyle name="Normal 86 3 4 2 3 2 2 2" xfId="20222"/>
    <cellStyle name="Normal 86 3 4 2 3 2 3" xfId="12834"/>
    <cellStyle name="Normal 86 3 4 2 3 2 3 2" xfId="23550"/>
    <cellStyle name="Normal 86 3 4 2 3 2 4" xfId="16894"/>
    <cellStyle name="Normal 86 3 4 2 3 3" xfId="7842"/>
    <cellStyle name="Normal 86 3 4 2 3 3 2" xfId="18558"/>
    <cellStyle name="Normal 86 3 4 2 3 4" xfId="11170"/>
    <cellStyle name="Normal 86 3 4 2 3 4 2" xfId="21886"/>
    <cellStyle name="Normal 86 3 4 2 3 5" xfId="15230"/>
    <cellStyle name="Normal 86 3 4 2 4" xfId="5339"/>
    <cellStyle name="Normal 86 3 4 2 4 2" xfId="8674"/>
    <cellStyle name="Normal 86 3 4 2 4 2 2" xfId="19390"/>
    <cellStyle name="Normal 86 3 4 2 4 3" xfId="12002"/>
    <cellStyle name="Normal 86 3 4 2 4 3 2" xfId="22718"/>
    <cellStyle name="Normal 86 3 4 2 4 4" xfId="16062"/>
    <cellStyle name="Normal 86 3 4 2 5" xfId="7009"/>
    <cellStyle name="Normal 86 3 4 2 5 2" xfId="17726"/>
    <cellStyle name="Normal 86 3 4 2 6" xfId="10338"/>
    <cellStyle name="Normal 86 3 4 2 6 2" xfId="21054"/>
    <cellStyle name="Normal 86 3 4 2 7" xfId="14397"/>
    <cellStyle name="Normal 86 3 4 3" xfId="3860"/>
    <cellStyle name="Normal 86 3 4 3 2" xfId="4711"/>
    <cellStyle name="Normal 86 3 4 3 2 2" xfId="6379"/>
    <cellStyle name="Normal 86 3 4 3 2 2 2" xfId="9714"/>
    <cellStyle name="Normal 86 3 4 3 2 2 2 2" xfId="20430"/>
    <cellStyle name="Normal 86 3 4 3 2 2 3" xfId="13042"/>
    <cellStyle name="Normal 86 3 4 3 2 2 3 2" xfId="23758"/>
    <cellStyle name="Normal 86 3 4 3 2 2 4" xfId="17102"/>
    <cellStyle name="Normal 86 3 4 3 2 3" xfId="8050"/>
    <cellStyle name="Normal 86 3 4 3 2 3 2" xfId="18766"/>
    <cellStyle name="Normal 86 3 4 3 2 4" xfId="11378"/>
    <cellStyle name="Normal 86 3 4 3 2 4 2" xfId="22094"/>
    <cellStyle name="Normal 86 3 4 3 2 5" xfId="15438"/>
    <cellStyle name="Normal 86 3 4 3 3" xfId="5547"/>
    <cellStyle name="Normal 86 3 4 3 3 2" xfId="8882"/>
    <cellStyle name="Normal 86 3 4 3 3 2 2" xfId="19598"/>
    <cellStyle name="Normal 86 3 4 3 3 3" xfId="12210"/>
    <cellStyle name="Normal 86 3 4 3 3 3 2" xfId="22926"/>
    <cellStyle name="Normal 86 3 4 3 3 4" xfId="16270"/>
    <cellStyle name="Normal 86 3 4 3 4" xfId="7218"/>
    <cellStyle name="Normal 86 3 4 3 4 2" xfId="17934"/>
    <cellStyle name="Normal 86 3 4 3 5" xfId="10546"/>
    <cellStyle name="Normal 86 3 4 3 5 2" xfId="21262"/>
    <cellStyle name="Normal 86 3 4 3 6" xfId="14606"/>
    <cellStyle name="Normal 86 3 4 4" xfId="4293"/>
    <cellStyle name="Normal 86 3 4 4 2" xfId="5963"/>
    <cellStyle name="Normal 86 3 4 4 2 2" xfId="9298"/>
    <cellStyle name="Normal 86 3 4 4 2 2 2" xfId="20014"/>
    <cellStyle name="Normal 86 3 4 4 2 3" xfId="12626"/>
    <cellStyle name="Normal 86 3 4 4 2 3 2" xfId="23342"/>
    <cellStyle name="Normal 86 3 4 4 2 4" xfId="16686"/>
    <cellStyle name="Normal 86 3 4 4 3" xfId="7634"/>
    <cellStyle name="Normal 86 3 4 4 3 2" xfId="18350"/>
    <cellStyle name="Normal 86 3 4 4 4" xfId="10962"/>
    <cellStyle name="Normal 86 3 4 4 4 2" xfId="21678"/>
    <cellStyle name="Normal 86 3 4 4 5" xfId="15022"/>
    <cellStyle name="Normal 86 3 4 5" xfId="5128"/>
    <cellStyle name="Normal 86 3 4 5 2" xfId="8466"/>
    <cellStyle name="Normal 86 3 4 5 2 2" xfId="19182"/>
    <cellStyle name="Normal 86 3 4 5 3" xfId="11794"/>
    <cellStyle name="Normal 86 3 4 5 3 2" xfId="22510"/>
    <cellStyle name="Normal 86 3 4 5 4" xfId="15854"/>
    <cellStyle name="Normal 86 3 4 6" xfId="6798"/>
    <cellStyle name="Normal 86 3 4 6 2" xfId="17518"/>
    <cellStyle name="Normal 86 3 4 7" xfId="10130"/>
    <cellStyle name="Normal 86 3 4 7 2" xfId="20846"/>
    <cellStyle name="Normal 86 3 4 8" xfId="14187"/>
    <cellStyle name="Normal 86 3 5" xfId="3200"/>
    <cellStyle name="Normal 86 3 5 2" xfId="4072"/>
    <cellStyle name="Normal 86 3 5 2 2" xfId="4912"/>
    <cellStyle name="Normal 86 3 5 2 2 2" xfId="6580"/>
    <cellStyle name="Normal 86 3 5 2 2 2 2" xfId="9915"/>
    <cellStyle name="Normal 86 3 5 2 2 2 2 2" xfId="20631"/>
    <cellStyle name="Normal 86 3 5 2 2 2 3" xfId="13243"/>
    <cellStyle name="Normal 86 3 5 2 2 2 3 2" xfId="23959"/>
    <cellStyle name="Normal 86 3 5 2 2 2 4" xfId="17303"/>
    <cellStyle name="Normal 86 3 5 2 2 3" xfId="8251"/>
    <cellStyle name="Normal 86 3 5 2 2 3 2" xfId="18967"/>
    <cellStyle name="Normal 86 3 5 2 2 4" xfId="11579"/>
    <cellStyle name="Normal 86 3 5 2 2 4 2" xfId="22295"/>
    <cellStyle name="Normal 86 3 5 2 2 5" xfId="15639"/>
    <cellStyle name="Normal 86 3 5 2 3" xfId="5748"/>
    <cellStyle name="Normal 86 3 5 2 3 2" xfId="9083"/>
    <cellStyle name="Normal 86 3 5 2 3 2 2" xfId="19799"/>
    <cellStyle name="Normal 86 3 5 2 3 3" xfId="12411"/>
    <cellStyle name="Normal 86 3 5 2 3 3 2" xfId="23127"/>
    <cellStyle name="Normal 86 3 5 2 3 4" xfId="16471"/>
    <cellStyle name="Normal 86 3 5 2 4" xfId="7419"/>
    <cellStyle name="Normal 86 3 5 2 4 2" xfId="18135"/>
    <cellStyle name="Normal 86 3 5 2 5" xfId="10747"/>
    <cellStyle name="Normal 86 3 5 2 5 2" xfId="21463"/>
    <cellStyle name="Normal 86 3 5 2 6" xfId="14807"/>
    <cellStyle name="Normal 86 3 5 3" xfId="4496"/>
    <cellStyle name="Normal 86 3 5 3 2" xfId="6164"/>
    <cellStyle name="Normal 86 3 5 3 2 2" xfId="9499"/>
    <cellStyle name="Normal 86 3 5 3 2 2 2" xfId="20215"/>
    <cellStyle name="Normal 86 3 5 3 2 3" xfId="12827"/>
    <cellStyle name="Normal 86 3 5 3 2 3 2" xfId="23543"/>
    <cellStyle name="Normal 86 3 5 3 2 4" xfId="16887"/>
    <cellStyle name="Normal 86 3 5 3 3" xfId="7835"/>
    <cellStyle name="Normal 86 3 5 3 3 2" xfId="18551"/>
    <cellStyle name="Normal 86 3 5 3 4" xfId="11163"/>
    <cellStyle name="Normal 86 3 5 3 4 2" xfId="21879"/>
    <cellStyle name="Normal 86 3 5 3 5" xfId="15223"/>
    <cellStyle name="Normal 86 3 5 4" xfId="5332"/>
    <cellStyle name="Normal 86 3 5 4 2" xfId="8667"/>
    <cellStyle name="Normal 86 3 5 4 2 2" xfId="19383"/>
    <cellStyle name="Normal 86 3 5 4 3" xfId="11995"/>
    <cellStyle name="Normal 86 3 5 4 3 2" xfId="22711"/>
    <cellStyle name="Normal 86 3 5 4 4" xfId="16055"/>
    <cellStyle name="Normal 86 3 5 5" xfId="7002"/>
    <cellStyle name="Normal 86 3 5 5 2" xfId="17719"/>
    <cellStyle name="Normal 86 3 5 6" xfId="10331"/>
    <cellStyle name="Normal 86 3 5 6 2" xfId="21047"/>
    <cellStyle name="Normal 86 3 5 7" xfId="14390"/>
    <cellStyle name="Normal 86 3 6" xfId="3853"/>
    <cellStyle name="Normal 86 3 6 2" xfId="4704"/>
    <cellStyle name="Normal 86 3 6 2 2" xfId="6372"/>
    <cellStyle name="Normal 86 3 6 2 2 2" xfId="9707"/>
    <cellStyle name="Normal 86 3 6 2 2 2 2" xfId="20423"/>
    <cellStyle name="Normal 86 3 6 2 2 3" xfId="13035"/>
    <cellStyle name="Normal 86 3 6 2 2 3 2" xfId="23751"/>
    <cellStyle name="Normal 86 3 6 2 2 4" xfId="17095"/>
    <cellStyle name="Normal 86 3 6 2 3" xfId="8043"/>
    <cellStyle name="Normal 86 3 6 2 3 2" xfId="18759"/>
    <cellStyle name="Normal 86 3 6 2 4" xfId="11371"/>
    <cellStyle name="Normal 86 3 6 2 4 2" xfId="22087"/>
    <cellStyle name="Normal 86 3 6 2 5" xfId="15431"/>
    <cellStyle name="Normal 86 3 6 3" xfId="5540"/>
    <cellStyle name="Normal 86 3 6 3 2" xfId="8875"/>
    <cellStyle name="Normal 86 3 6 3 2 2" xfId="19591"/>
    <cellStyle name="Normal 86 3 6 3 3" xfId="12203"/>
    <cellStyle name="Normal 86 3 6 3 3 2" xfId="22919"/>
    <cellStyle name="Normal 86 3 6 3 4" xfId="16263"/>
    <cellStyle name="Normal 86 3 6 4" xfId="7211"/>
    <cellStyle name="Normal 86 3 6 4 2" xfId="17927"/>
    <cellStyle name="Normal 86 3 6 5" xfId="10539"/>
    <cellStyle name="Normal 86 3 6 5 2" xfId="21255"/>
    <cellStyle name="Normal 86 3 6 6" xfId="14599"/>
    <cellStyle name="Normal 86 3 7" xfId="4286"/>
    <cellStyle name="Normal 86 3 7 2" xfId="5956"/>
    <cellStyle name="Normal 86 3 7 2 2" xfId="9291"/>
    <cellStyle name="Normal 86 3 7 2 2 2" xfId="20007"/>
    <cellStyle name="Normal 86 3 7 2 3" xfId="12619"/>
    <cellStyle name="Normal 86 3 7 2 3 2" xfId="23335"/>
    <cellStyle name="Normal 86 3 7 2 4" xfId="16679"/>
    <cellStyle name="Normal 86 3 7 3" xfId="7627"/>
    <cellStyle name="Normal 86 3 7 3 2" xfId="18343"/>
    <cellStyle name="Normal 86 3 7 4" xfId="10955"/>
    <cellStyle name="Normal 86 3 7 4 2" xfId="21671"/>
    <cellStyle name="Normal 86 3 7 5" xfId="15015"/>
    <cellStyle name="Normal 86 3 8" xfId="5121"/>
    <cellStyle name="Normal 86 3 8 2" xfId="8459"/>
    <cellStyle name="Normal 86 3 8 2 2" xfId="19175"/>
    <cellStyle name="Normal 86 3 8 3" xfId="11787"/>
    <cellStyle name="Normal 86 3 8 3 2" xfId="22503"/>
    <cellStyle name="Normal 86 3 8 4" xfId="15847"/>
    <cellStyle name="Normal 86 3 9" xfId="6791"/>
    <cellStyle name="Normal 86 3 9 2" xfId="17511"/>
    <cellStyle name="Normal 86 4" xfId="1531"/>
    <cellStyle name="Normal 86 4 10" xfId="14188"/>
    <cellStyle name="Normal 86 4 2" xfId="1532"/>
    <cellStyle name="Normal 86 4 2 2" xfId="1533"/>
    <cellStyle name="Normal 86 4 2 2 2" xfId="3210"/>
    <cellStyle name="Normal 86 4 2 2 2 2" xfId="4082"/>
    <cellStyle name="Normal 86 4 2 2 2 2 2" xfId="4922"/>
    <cellStyle name="Normal 86 4 2 2 2 2 2 2" xfId="6590"/>
    <cellStyle name="Normal 86 4 2 2 2 2 2 2 2" xfId="9925"/>
    <cellStyle name="Normal 86 4 2 2 2 2 2 2 2 2" xfId="20641"/>
    <cellStyle name="Normal 86 4 2 2 2 2 2 2 3" xfId="13253"/>
    <cellStyle name="Normal 86 4 2 2 2 2 2 2 3 2" xfId="23969"/>
    <cellStyle name="Normal 86 4 2 2 2 2 2 2 4" xfId="17313"/>
    <cellStyle name="Normal 86 4 2 2 2 2 2 3" xfId="8261"/>
    <cellStyle name="Normal 86 4 2 2 2 2 2 3 2" xfId="18977"/>
    <cellStyle name="Normal 86 4 2 2 2 2 2 4" xfId="11589"/>
    <cellStyle name="Normal 86 4 2 2 2 2 2 4 2" xfId="22305"/>
    <cellStyle name="Normal 86 4 2 2 2 2 2 5" xfId="15649"/>
    <cellStyle name="Normal 86 4 2 2 2 2 3" xfId="5758"/>
    <cellStyle name="Normal 86 4 2 2 2 2 3 2" xfId="9093"/>
    <cellStyle name="Normal 86 4 2 2 2 2 3 2 2" xfId="19809"/>
    <cellStyle name="Normal 86 4 2 2 2 2 3 3" xfId="12421"/>
    <cellStyle name="Normal 86 4 2 2 2 2 3 3 2" xfId="23137"/>
    <cellStyle name="Normal 86 4 2 2 2 2 3 4" xfId="16481"/>
    <cellStyle name="Normal 86 4 2 2 2 2 4" xfId="7429"/>
    <cellStyle name="Normal 86 4 2 2 2 2 4 2" xfId="18145"/>
    <cellStyle name="Normal 86 4 2 2 2 2 5" xfId="10757"/>
    <cellStyle name="Normal 86 4 2 2 2 2 5 2" xfId="21473"/>
    <cellStyle name="Normal 86 4 2 2 2 2 6" xfId="14817"/>
    <cellStyle name="Normal 86 4 2 2 2 3" xfId="4506"/>
    <cellStyle name="Normal 86 4 2 2 2 3 2" xfId="6174"/>
    <cellStyle name="Normal 86 4 2 2 2 3 2 2" xfId="9509"/>
    <cellStyle name="Normal 86 4 2 2 2 3 2 2 2" xfId="20225"/>
    <cellStyle name="Normal 86 4 2 2 2 3 2 3" xfId="12837"/>
    <cellStyle name="Normal 86 4 2 2 2 3 2 3 2" xfId="23553"/>
    <cellStyle name="Normal 86 4 2 2 2 3 2 4" xfId="16897"/>
    <cellStyle name="Normal 86 4 2 2 2 3 3" xfId="7845"/>
    <cellStyle name="Normal 86 4 2 2 2 3 3 2" xfId="18561"/>
    <cellStyle name="Normal 86 4 2 2 2 3 4" xfId="11173"/>
    <cellStyle name="Normal 86 4 2 2 2 3 4 2" xfId="21889"/>
    <cellStyle name="Normal 86 4 2 2 2 3 5" xfId="15233"/>
    <cellStyle name="Normal 86 4 2 2 2 4" xfId="5342"/>
    <cellStyle name="Normal 86 4 2 2 2 4 2" xfId="8677"/>
    <cellStyle name="Normal 86 4 2 2 2 4 2 2" xfId="19393"/>
    <cellStyle name="Normal 86 4 2 2 2 4 3" xfId="12005"/>
    <cellStyle name="Normal 86 4 2 2 2 4 3 2" xfId="22721"/>
    <cellStyle name="Normal 86 4 2 2 2 4 4" xfId="16065"/>
    <cellStyle name="Normal 86 4 2 2 2 5" xfId="7012"/>
    <cellStyle name="Normal 86 4 2 2 2 5 2" xfId="17729"/>
    <cellStyle name="Normal 86 4 2 2 2 6" xfId="10341"/>
    <cellStyle name="Normal 86 4 2 2 2 6 2" xfId="21057"/>
    <cellStyle name="Normal 86 4 2 2 2 7" xfId="14400"/>
    <cellStyle name="Normal 86 4 2 2 3" xfId="3863"/>
    <cellStyle name="Normal 86 4 2 2 3 2" xfId="4714"/>
    <cellStyle name="Normal 86 4 2 2 3 2 2" xfId="6382"/>
    <cellStyle name="Normal 86 4 2 2 3 2 2 2" xfId="9717"/>
    <cellStyle name="Normal 86 4 2 2 3 2 2 2 2" xfId="20433"/>
    <cellStyle name="Normal 86 4 2 2 3 2 2 3" xfId="13045"/>
    <cellStyle name="Normal 86 4 2 2 3 2 2 3 2" xfId="23761"/>
    <cellStyle name="Normal 86 4 2 2 3 2 2 4" xfId="17105"/>
    <cellStyle name="Normal 86 4 2 2 3 2 3" xfId="8053"/>
    <cellStyle name="Normal 86 4 2 2 3 2 3 2" xfId="18769"/>
    <cellStyle name="Normal 86 4 2 2 3 2 4" xfId="11381"/>
    <cellStyle name="Normal 86 4 2 2 3 2 4 2" xfId="22097"/>
    <cellStyle name="Normal 86 4 2 2 3 2 5" xfId="15441"/>
    <cellStyle name="Normal 86 4 2 2 3 3" xfId="5550"/>
    <cellStyle name="Normal 86 4 2 2 3 3 2" xfId="8885"/>
    <cellStyle name="Normal 86 4 2 2 3 3 2 2" xfId="19601"/>
    <cellStyle name="Normal 86 4 2 2 3 3 3" xfId="12213"/>
    <cellStyle name="Normal 86 4 2 2 3 3 3 2" xfId="22929"/>
    <cellStyle name="Normal 86 4 2 2 3 3 4" xfId="16273"/>
    <cellStyle name="Normal 86 4 2 2 3 4" xfId="7221"/>
    <cellStyle name="Normal 86 4 2 2 3 4 2" xfId="17937"/>
    <cellStyle name="Normal 86 4 2 2 3 5" xfId="10549"/>
    <cellStyle name="Normal 86 4 2 2 3 5 2" xfId="21265"/>
    <cellStyle name="Normal 86 4 2 2 3 6" xfId="14609"/>
    <cellStyle name="Normal 86 4 2 2 4" xfId="4296"/>
    <cellStyle name="Normal 86 4 2 2 4 2" xfId="5966"/>
    <cellStyle name="Normal 86 4 2 2 4 2 2" xfId="9301"/>
    <cellStyle name="Normal 86 4 2 2 4 2 2 2" xfId="20017"/>
    <cellStyle name="Normal 86 4 2 2 4 2 3" xfId="12629"/>
    <cellStyle name="Normal 86 4 2 2 4 2 3 2" xfId="23345"/>
    <cellStyle name="Normal 86 4 2 2 4 2 4" xfId="16689"/>
    <cellStyle name="Normal 86 4 2 2 4 3" xfId="7637"/>
    <cellStyle name="Normal 86 4 2 2 4 3 2" xfId="18353"/>
    <cellStyle name="Normal 86 4 2 2 4 4" xfId="10965"/>
    <cellStyle name="Normal 86 4 2 2 4 4 2" xfId="21681"/>
    <cellStyle name="Normal 86 4 2 2 4 5" xfId="15025"/>
    <cellStyle name="Normal 86 4 2 2 5" xfId="5131"/>
    <cellStyle name="Normal 86 4 2 2 5 2" xfId="8469"/>
    <cellStyle name="Normal 86 4 2 2 5 2 2" xfId="19185"/>
    <cellStyle name="Normal 86 4 2 2 5 3" xfId="11797"/>
    <cellStyle name="Normal 86 4 2 2 5 3 2" xfId="22513"/>
    <cellStyle name="Normal 86 4 2 2 5 4" xfId="15857"/>
    <cellStyle name="Normal 86 4 2 2 6" xfId="6801"/>
    <cellStyle name="Normal 86 4 2 2 6 2" xfId="17521"/>
    <cellStyle name="Normal 86 4 2 2 7" xfId="10133"/>
    <cellStyle name="Normal 86 4 2 2 7 2" xfId="20849"/>
    <cellStyle name="Normal 86 4 2 2 8" xfId="14190"/>
    <cellStyle name="Normal 86 4 2 3" xfId="3209"/>
    <cellStyle name="Normal 86 4 2 3 2" xfId="4081"/>
    <cellStyle name="Normal 86 4 2 3 2 2" xfId="4921"/>
    <cellStyle name="Normal 86 4 2 3 2 2 2" xfId="6589"/>
    <cellStyle name="Normal 86 4 2 3 2 2 2 2" xfId="9924"/>
    <cellStyle name="Normal 86 4 2 3 2 2 2 2 2" xfId="20640"/>
    <cellStyle name="Normal 86 4 2 3 2 2 2 3" xfId="13252"/>
    <cellStyle name="Normal 86 4 2 3 2 2 2 3 2" xfId="23968"/>
    <cellStyle name="Normal 86 4 2 3 2 2 2 4" xfId="17312"/>
    <cellStyle name="Normal 86 4 2 3 2 2 3" xfId="8260"/>
    <cellStyle name="Normal 86 4 2 3 2 2 3 2" xfId="18976"/>
    <cellStyle name="Normal 86 4 2 3 2 2 4" xfId="11588"/>
    <cellStyle name="Normal 86 4 2 3 2 2 4 2" xfId="22304"/>
    <cellStyle name="Normal 86 4 2 3 2 2 5" xfId="15648"/>
    <cellStyle name="Normal 86 4 2 3 2 3" xfId="5757"/>
    <cellStyle name="Normal 86 4 2 3 2 3 2" xfId="9092"/>
    <cellStyle name="Normal 86 4 2 3 2 3 2 2" xfId="19808"/>
    <cellStyle name="Normal 86 4 2 3 2 3 3" xfId="12420"/>
    <cellStyle name="Normal 86 4 2 3 2 3 3 2" xfId="23136"/>
    <cellStyle name="Normal 86 4 2 3 2 3 4" xfId="16480"/>
    <cellStyle name="Normal 86 4 2 3 2 4" xfId="7428"/>
    <cellStyle name="Normal 86 4 2 3 2 4 2" xfId="18144"/>
    <cellStyle name="Normal 86 4 2 3 2 5" xfId="10756"/>
    <cellStyle name="Normal 86 4 2 3 2 5 2" xfId="21472"/>
    <cellStyle name="Normal 86 4 2 3 2 6" xfId="14816"/>
    <cellStyle name="Normal 86 4 2 3 3" xfId="4505"/>
    <cellStyle name="Normal 86 4 2 3 3 2" xfId="6173"/>
    <cellStyle name="Normal 86 4 2 3 3 2 2" xfId="9508"/>
    <cellStyle name="Normal 86 4 2 3 3 2 2 2" xfId="20224"/>
    <cellStyle name="Normal 86 4 2 3 3 2 3" xfId="12836"/>
    <cellStyle name="Normal 86 4 2 3 3 2 3 2" xfId="23552"/>
    <cellStyle name="Normal 86 4 2 3 3 2 4" xfId="16896"/>
    <cellStyle name="Normal 86 4 2 3 3 3" xfId="7844"/>
    <cellStyle name="Normal 86 4 2 3 3 3 2" xfId="18560"/>
    <cellStyle name="Normal 86 4 2 3 3 4" xfId="11172"/>
    <cellStyle name="Normal 86 4 2 3 3 4 2" xfId="21888"/>
    <cellStyle name="Normal 86 4 2 3 3 5" xfId="15232"/>
    <cellStyle name="Normal 86 4 2 3 4" xfId="5341"/>
    <cellStyle name="Normal 86 4 2 3 4 2" xfId="8676"/>
    <cellStyle name="Normal 86 4 2 3 4 2 2" xfId="19392"/>
    <cellStyle name="Normal 86 4 2 3 4 3" xfId="12004"/>
    <cellStyle name="Normal 86 4 2 3 4 3 2" xfId="22720"/>
    <cellStyle name="Normal 86 4 2 3 4 4" xfId="16064"/>
    <cellStyle name="Normal 86 4 2 3 5" xfId="7011"/>
    <cellStyle name="Normal 86 4 2 3 5 2" xfId="17728"/>
    <cellStyle name="Normal 86 4 2 3 6" xfId="10340"/>
    <cellStyle name="Normal 86 4 2 3 6 2" xfId="21056"/>
    <cellStyle name="Normal 86 4 2 3 7" xfId="14399"/>
    <cellStyle name="Normal 86 4 2 4" xfId="3862"/>
    <cellStyle name="Normal 86 4 2 4 2" xfId="4713"/>
    <cellStyle name="Normal 86 4 2 4 2 2" xfId="6381"/>
    <cellStyle name="Normal 86 4 2 4 2 2 2" xfId="9716"/>
    <cellStyle name="Normal 86 4 2 4 2 2 2 2" xfId="20432"/>
    <cellStyle name="Normal 86 4 2 4 2 2 3" xfId="13044"/>
    <cellStyle name="Normal 86 4 2 4 2 2 3 2" xfId="23760"/>
    <cellStyle name="Normal 86 4 2 4 2 2 4" xfId="17104"/>
    <cellStyle name="Normal 86 4 2 4 2 3" xfId="8052"/>
    <cellStyle name="Normal 86 4 2 4 2 3 2" xfId="18768"/>
    <cellStyle name="Normal 86 4 2 4 2 4" xfId="11380"/>
    <cellStyle name="Normal 86 4 2 4 2 4 2" xfId="22096"/>
    <cellStyle name="Normal 86 4 2 4 2 5" xfId="15440"/>
    <cellStyle name="Normal 86 4 2 4 3" xfId="5549"/>
    <cellStyle name="Normal 86 4 2 4 3 2" xfId="8884"/>
    <cellStyle name="Normal 86 4 2 4 3 2 2" xfId="19600"/>
    <cellStyle name="Normal 86 4 2 4 3 3" xfId="12212"/>
    <cellStyle name="Normal 86 4 2 4 3 3 2" xfId="22928"/>
    <cellStyle name="Normal 86 4 2 4 3 4" xfId="16272"/>
    <cellStyle name="Normal 86 4 2 4 4" xfId="7220"/>
    <cellStyle name="Normal 86 4 2 4 4 2" xfId="17936"/>
    <cellStyle name="Normal 86 4 2 4 5" xfId="10548"/>
    <cellStyle name="Normal 86 4 2 4 5 2" xfId="21264"/>
    <cellStyle name="Normal 86 4 2 4 6" xfId="14608"/>
    <cellStyle name="Normal 86 4 2 5" xfId="4295"/>
    <cellStyle name="Normal 86 4 2 5 2" xfId="5965"/>
    <cellStyle name="Normal 86 4 2 5 2 2" xfId="9300"/>
    <cellStyle name="Normal 86 4 2 5 2 2 2" xfId="20016"/>
    <cellStyle name="Normal 86 4 2 5 2 3" xfId="12628"/>
    <cellStyle name="Normal 86 4 2 5 2 3 2" xfId="23344"/>
    <cellStyle name="Normal 86 4 2 5 2 4" xfId="16688"/>
    <cellStyle name="Normal 86 4 2 5 3" xfId="7636"/>
    <cellStyle name="Normal 86 4 2 5 3 2" xfId="18352"/>
    <cellStyle name="Normal 86 4 2 5 4" xfId="10964"/>
    <cellStyle name="Normal 86 4 2 5 4 2" xfId="21680"/>
    <cellStyle name="Normal 86 4 2 5 5" xfId="15024"/>
    <cellStyle name="Normal 86 4 2 6" xfId="5130"/>
    <cellStyle name="Normal 86 4 2 6 2" xfId="8468"/>
    <cellStyle name="Normal 86 4 2 6 2 2" xfId="19184"/>
    <cellStyle name="Normal 86 4 2 6 3" xfId="11796"/>
    <cellStyle name="Normal 86 4 2 6 3 2" xfId="22512"/>
    <cellStyle name="Normal 86 4 2 6 4" xfId="15856"/>
    <cellStyle name="Normal 86 4 2 7" xfId="6800"/>
    <cellStyle name="Normal 86 4 2 7 2" xfId="17520"/>
    <cellStyle name="Normal 86 4 2 8" xfId="10132"/>
    <cellStyle name="Normal 86 4 2 8 2" xfId="20848"/>
    <cellStyle name="Normal 86 4 2 9" xfId="14189"/>
    <cellStyle name="Normal 86 4 3" xfId="1534"/>
    <cellStyle name="Normal 86 4 3 2" xfId="3211"/>
    <cellStyle name="Normal 86 4 3 2 2" xfId="4083"/>
    <cellStyle name="Normal 86 4 3 2 2 2" xfId="4923"/>
    <cellStyle name="Normal 86 4 3 2 2 2 2" xfId="6591"/>
    <cellStyle name="Normal 86 4 3 2 2 2 2 2" xfId="9926"/>
    <cellStyle name="Normal 86 4 3 2 2 2 2 2 2" xfId="20642"/>
    <cellStyle name="Normal 86 4 3 2 2 2 2 3" xfId="13254"/>
    <cellStyle name="Normal 86 4 3 2 2 2 2 3 2" xfId="23970"/>
    <cellStyle name="Normal 86 4 3 2 2 2 2 4" xfId="17314"/>
    <cellStyle name="Normal 86 4 3 2 2 2 3" xfId="8262"/>
    <cellStyle name="Normal 86 4 3 2 2 2 3 2" xfId="18978"/>
    <cellStyle name="Normal 86 4 3 2 2 2 4" xfId="11590"/>
    <cellStyle name="Normal 86 4 3 2 2 2 4 2" xfId="22306"/>
    <cellStyle name="Normal 86 4 3 2 2 2 5" xfId="15650"/>
    <cellStyle name="Normal 86 4 3 2 2 3" xfId="5759"/>
    <cellStyle name="Normal 86 4 3 2 2 3 2" xfId="9094"/>
    <cellStyle name="Normal 86 4 3 2 2 3 2 2" xfId="19810"/>
    <cellStyle name="Normal 86 4 3 2 2 3 3" xfId="12422"/>
    <cellStyle name="Normal 86 4 3 2 2 3 3 2" xfId="23138"/>
    <cellStyle name="Normal 86 4 3 2 2 3 4" xfId="16482"/>
    <cellStyle name="Normal 86 4 3 2 2 4" xfId="7430"/>
    <cellStyle name="Normal 86 4 3 2 2 4 2" xfId="18146"/>
    <cellStyle name="Normal 86 4 3 2 2 5" xfId="10758"/>
    <cellStyle name="Normal 86 4 3 2 2 5 2" xfId="21474"/>
    <cellStyle name="Normal 86 4 3 2 2 6" xfId="14818"/>
    <cellStyle name="Normal 86 4 3 2 3" xfId="4507"/>
    <cellStyle name="Normal 86 4 3 2 3 2" xfId="6175"/>
    <cellStyle name="Normal 86 4 3 2 3 2 2" xfId="9510"/>
    <cellStyle name="Normal 86 4 3 2 3 2 2 2" xfId="20226"/>
    <cellStyle name="Normal 86 4 3 2 3 2 3" xfId="12838"/>
    <cellStyle name="Normal 86 4 3 2 3 2 3 2" xfId="23554"/>
    <cellStyle name="Normal 86 4 3 2 3 2 4" xfId="16898"/>
    <cellStyle name="Normal 86 4 3 2 3 3" xfId="7846"/>
    <cellStyle name="Normal 86 4 3 2 3 3 2" xfId="18562"/>
    <cellStyle name="Normal 86 4 3 2 3 4" xfId="11174"/>
    <cellStyle name="Normal 86 4 3 2 3 4 2" xfId="21890"/>
    <cellStyle name="Normal 86 4 3 2 3 5" xfId="15234"/>
    <cellStyle name="Normal 86 4 3 2 4" xfId="5343"/>
    <cellStyle name="Normal 86 4 3 2 4 2" xfId="8678"/>
    <cellStyle name="Normal 86 4 3 2 4 2 2" xfId="19394"/>
    <cellStyle name="Normal 86 4 3 2 4 3" xfId="12006"/>
    <cellStyle name="Normal 86 4 3 2 4 3 2" xfId="22722"/>
    <cellStyle name="Normal 86 4 3 2 4 4" xfId="16066"/>
    <cellStyle name="Normal 86 4 3 2 5" xfId="7013"/>
    <cellStyle name="Normal 86 4 3 2 5 2" xfId="17730"/>
    <cellStyle name="Normal 86 4 3 2 6" xfId="10342"/>
    <cellStyle name="Normal 86 4 3 2 6 2" xfId="21058"/>
    <cellStyle name="Normal 86 4 3 2 7" xfId="14401"/>
    <cellStyle name="Normal 86 4 3 3" xfId="3864"/>
    <cellStyle name="Normal 86 4 3 3 2" xfId="4715"/>
    <cellStyle name="Normal 86 4 3 3 2 2" xfId="6383"/>
    <cellStyle name="Normal 86 4 3 3 2 2 2" xfId="9718"/>
    <cellStyle name="Normal 86 4 3 3 2 2 2 2" xfId="20434"/>
    <cellStyle name="Normal 86 4 3 3 2 2 3" xfId="13046"/>
    <cellStyle name="Normal 86 4 3 3 2 2 3 2" xfId="23762"/>
    <cellStyle name="Normal 86 4 3 3 2 2 4" xfId="17106"/>
    <cellStyle name="Normal 86 4 3 3 2 3" xfId="8054"/>
    <cellStyle name="Normal 86 4 3 3 2 3 2" xfId="18770"/>
    <cellStyle name="Normal 86 4 3 3 2 4" xfId="11382"/>
    <cellStyle name="Normal 86 4 3 3 2 4 2" xfId="22098"/>
    <cellStyle name="Normal 86 4 3 3 2 5" xfId="15442"/>
    <cellStyle name="Normal 86 4 3 3 3" xfId="5551"/>
    <cellStyle name="Normal 86 4 3 3 3 2" xfId="8886"/>
    <cellStyle name="Normal 86 4 3 3 3 2 2" xfId="19602"/>
    <cellStyle name="Normal 86 4 3 3 3 3" xfId="12214"/>
    <cellStyle name="Normal 86 4 3 3 3 3 2" xfId="22930"/>
    <cellStyle name="Normal 86 4 3 3 3 4" xfId="16274"/>
    <cellStyle name="Normal 86 4 3 3 4" xfId="7222"/>
    <cellStyle name="Normal 86 4 3 3 4 2" xfId="17938"/>
    <cellStyle name="Normal 86 4 3 3 5" xfId="10550"/>
    <cellStyle name="Normal 86 4 3 3 5 2" xfId="21266"/>
    <cellStyle name="Normal 86 4 3 3 6" xfId="14610"/>
    <cellStyle name="Normal 86 4 3 4" xfId="4297"/>
    <cellStyle name="Normal 86 4 3 4 2" xfId="5967"/>
    <cellStyle name="Normal 86 4 3 4 2 2" xfId="9302"/>
    <cellStyle name="Normal 86 4 3 4 2 2 2" xfId="20018"/>
    <cellStyle name="Normal 86 4 3 4 2 3" xfId="12630"/>
    <cellStyle name="Normal 86 4 3 4 2 3 2" xfId="23346"/>
    <cellStyle name="Normal 86 4 3 4 2 4" xfId="16690"/>
    <cellStyle name="Normal 86 4 3 4 3" xfId="7638"/>
    <cellStyle name="Normal 86 4 3 4 3 2" xfId="18354"/>
    <cellStyle name="Normal 86 4 3 4 4" xfId="10966"/>
    <cellStyle name="Normal 86 4 3 4 4 2" xfId="21682"/>
    <cellStyle name="Normal 86 4 3 4 5" xfId="15026"/>
    <cellStyle name="Normal 86 4 3 5" xfId="5132"/>
    <cellStyle name="Normal 86 4 3 5 2" xfId="8470"/>
    <cellStyle name="Normal 86 4 3 5 2 2" xfId="19186"/>
    <cellStyle name="Normal 86 4 3 5 3" xfId="11798"/>
    <cellStyle name="Normal 86 4 3 5 3 2" xfId="22514"/>
    <cellStyle name="Normal 86 4 3 5 4" xfId="15858"/>
    <cellStyle name="Normal 86 4 3 6" xfId="6802"/>
    <cellStyle name="Normal 86 4 3 6 2" xfId="17522"/>
    <cellStyle name="Normal 86 4 3 7" xfId="10134"/>
    <cellStyle name="Normal 86 4 3 7 2" xfId="20850"/>
    <cellStyle name="Normal 86 4 3 8" xfId="14191"/>
    <cellStyle name="Normal 86 4 4" xfId="3208"/>
    <cellStyle name="Normal 86 4 4 2" xfId="4080"/>
    <cellStyle name="Normal 86 4 4 2 2" xfId="4920"/>
    <cellStyle name="Normal 86 4 4 2 2 2" xfId="6588"/>
    <cellStyle name="Normal 86 4 4 2 2 2 2" xfId="9923"/>
    <cellStyle name="Normal 86 4 4 2 2 2 2 2" xfId="20639"/>
    <cellStyle name="Normal 86 4 4 2 2 2 3" xfId="13251"/>
    <cellStyle name="Normal 86 4 4 2 2 2 3 2" xfId="23967"/>
    <cellStyle name="Normal 86 4 4 2 2 2 4" xfId="17311"/>
    <cellStyle name="Normal 86 4 4 2 2 3" xfId="8259"/>
    <cellStyle name="Normal 86 4 4 2 2 3 2" xfId="18975"/>
    <cellStyle name="Normal 86 4 4 2 2 4" xfId="11587"/>
    <cellStyle name="Normal 86 4 4 2 2 4 2" xfId="22303"/>
    <cellStyle name="Normal 86 4 4 2 2 5" xfId="15647"/>
    <cellStyle name="Normal 86 4 4 2 3" xfId="5756"/>
    <cellStyle name="Normal 86 4 4 2 3 2" xfId="9091"/>
    <cellStyle name="Normal 86 4 4 2 3 2 2" xfId="19807"/>
    <cellStyle name="Normal 86 4 4 2 3 3" xfId="12419"/>
    <cellStyle name="Normal 86 4 4 2 3 3 2" xfId="23135"/>
    <cellStyle name="Normal 86 4 4 2 3 4" xfId="16479"/>
    <cellStyle name="Normal 86 4 4 2 4" xfId="7427"/>
    <cellStyle name="Normal 86 4 4 2 4 2" xfId="18143"/>
    <cellStyle name="Normal 86 4 4 2 5" xfId="10755"/>
    <cellStyle name="Normal 86 4 4 2 5 2" xfId="21471"/>
    <cellStyle name="Normal 86 4 4 2 6" xfId="14815"/>
    <cellStyle name="Normal 86 4 4 3" xfId="4504"/>
    <cellStyle name="Normal 86 4 4 3 2" xfId="6172"/>
    <cellStyle name="Normal 86 4 4 3 2 2" xfId="9507"/>
    <cellStyle name="Normal 86 4 4 3 2 2 2" xfId="20223"/>
    <cellStyle name="Normal 86 4 4 3 2 3" xfId="12835"/>
    <cellStyle name="Normal 86 4 4 3 2 3 2" xfId="23551"/>
    <cellStyle name="Normal 86 4 4 3 2 4" xfId="16895"/>
    <cellStyle name="Normal 86 4 4 3 3" xfId="7843"/>
    <cellStyle name="Normal 86 4 4 3 3 2" xfId="18559"/>
    <cellStyle name="Normal 86 4 4 3 4" xfId="11171"/>
    <cellStyle name="Normal 86 4 4 3 4 2" xfId="21887"/>
    <cellStyle name="Normal 86 4 4 3 5" xfId="15231"/>
    <cellStyle name="Normal 86 4 4 4" xfId="5340"/>
    <cellStyle name="Normal 86 4 4 4 2" xfId="8675"/>
    <cellStyle name="Normal 86 4 4 4 2 2" xfId="19391"/>
    <cellStyle name="Normal 86 4 4 4 3" xfId="12003"/>
    <cellStyle name="Normal 86 4 4 4 3 2" xfId="22719"/>
    <cellStyle name="Normal 86 4 4 4 4" xfId="16063"/>
    <cellStyle name="Normal 86 4 4 5" xfId="7010"/>
    <cellStyle name="Normal 86 4 4 5 2" xfId="17727"/>
    <cellStyle name="Normal 86 4 4 6" xfId="10339"/>
    <cellStyle name="Normal 86 4 4 6 2" xfId="21055"/>
    <cellStyle name="Normal 86 4 4 7" xfId="14398"/>
    <cellStyle name="Normal 86 4 5" xfId="3861"/>
    <cellStyle name="Normal 86 4 5 2" xfId="4712"/>
    <cellStyle name="Normal 86 4 5 2 2" xfId="6380"/>
    <cellStyle name="Normal 86 4 5 2 2 2" xfId="9715"/>
    <cellStyle name="Normal 86 4 5 2 2 2 2" xfId="20431"/>
    <cellStyle name="Normal 86 4 5 2 2 3" xfId="13043"/>
    <cellStyle name="Normal 86 4 5 2 2 3 2" xfId="23759"/>
    <cellStyle name="Normal 86 4 5 2 2 4" xfId="17103"/>
    <cellStyle name="Normal 86 4 5 2 3" xfId="8051"/>
    <cellStyle name="Normal 86 4 5 2 3 2" xfId="18767"/>
    <cellStyle name="Normal 86 4 5 2 4" xfId="11379"/>
    <cellStyle name="Normal 86 4 5 2 4 2" xfId="22095"/>
    <cellStyle name="Normal 86 4 5 2 5" xfId="15439"/>
    <cellStyle name="Normal 86 4 5 3" xfId="5548"/>
    <cellStyle name="Normal 86 4 5 3 2" xfId="8883"/>
    <cellStyle name="Normal 86 4 5 3 2 2" xfId="19599"/>
    <cellStyle name="Normal 86 4 5 3 3" xfId="12211"/>
    <cellStyle name="Normal 86 4 5 3 3 2" xfId="22927"/>
    <cellStyle name="Normal 86 4 5 3 4" xfId="16271"/>
    <cellStyle name="Normal 86 4 5 4" xfId="7219"/>
    <cellStyle name="Normal 86 4 5 4 2" xfId="17935"/>
    <cellStyle name="Normal 86 4 5 5" xfId="10547"/>
    <cellStyle name="Normal 86 4 5 5 2" xfId="21263"/>
    <cellStyle name="Normal 86 4 5 6" xfId="14607"/>
    <cellStyle name="Normal 86 4 6" xfId="4294"/>
    <cellStyle name="Normal 86 4 6 2" xfId="5964"/>
    <cellStyle name="Normal 86 4 6 2 2" xfId="9299"/>
    <cellStyle name="Normal 86 4 6 2 2 2" xfId="20015"/>
    <cellStyle name="Normal 86 4 6 2 3" xfId="12627"/>
    <cellStyle name="Normal 86 4 6 2 3 2" xfId="23343"/>
    <cellStyle name="Normal 86 4 6 2 4" xfId="16687"/>
    <cellStyle name="Normal 86 4 6 3" xfId="7635"/>
    <cellStyle name="Normal 86 4 6 3 2" xfId="18351"/>
    <cellStyle name="Normal 86 4 6 4" xfId="10963"/>
    <cellStyle name="Normal 86 4 6 4 2" xfId="21679"/>
    <cellStyle name="Normal 86 4 6 5" xfId="15023"/>
    <cellStyle name="Normal 86 4 7" xfId="5129"/>
    <cellStyle name="Normal 86 4 7 2" xfId="8467"/>
    <cellStyle name="Normal 86 4 7 2 2" xfId="19183"/>
    <cellStyle name="Normal 86 4 7 3" xfId="11795"/>
    <cellStyle name="Normal 86 4 7 3 2" xfId="22511"/>
    <cellStyle name="Normal 86 4 7 4" xfId="15855"/>
    <cellStyle name="Normal 86 4 8" xfId="6799"/>
    <cellStyle name="Normal 86 4 8 2" xfId="17519"/>
    <cellStyle name="Normal 86 4 9" xfId="10131"/>
    <cellStyle name="Normal 86 4 9 2" xfId="20847"/>
    <cellStyle name="Normal 86 5" xfId="1535"/>
    <cellStyle name="Normal 86 5 2" xfId="1536"/>
    <cellStyle name="Normal 86 5 2 2" xfId="3213"/>
    <cellStyle name="Normal 86 5 2 2 2" xfId="4085"/>
    <cellStyle name="Normal 86 5 2 2 2 2" xfId="4925"/>
    <cellStyle name="Normal 86 5 2 2 2 2 2" xfId="6593"/>
    <cellStyle name="Normal 86 5 2 2 2 2 2 2" xfId="9928"/>
    <cellStyle name="Normal 86 5 2 2 2 2 2 2 2" xfId="20644"/>
    <cellStyle name="Normal 86 5 2 2 2 2 2 3" xfId="13256"/>
    <cellStyle name="Normal 86 5 2 2 2 2 2 3 2" xfId="23972"/>
    <cellStyle name="Normal 86 5 2 2 2 2 2 4" xfId="17316"/>
    <cellStyle name="Normal 86 5 2 2 2 2 3" xfId="8264"/>
    <cellStyle name="Normal 86 5 2 2 2 2 3 2" xfId="18980"/>
    <cellStyle name="Normal 86 5 2 2 2 2 4" xfId="11592"/>
    <cellStyle name="Normal 86 5 2 2 2 2 4 2" xfId="22308"/>
    <cellStyle name="Normal 86 5 2 2 2 2 5" xfId="15652"/>
    <cellStyle name="Normal 86 5 2 2 2 3" xfId="5761"/>
    <cellStyle name="Normal 86 5 2 2 2 3 2" xfId="9096"/>
    <cellStyle name="Normal 86 5 2 2 2 3 2 2" xfId="19812"/>
    <cellStyle name="Normal 86 5 2 2 2 3 3" xfId="12424"/>
    <cellStyle name="Normal 86 5 2 2 2 3 3 2" xfId="23140"/>
    <cellStyle name="Normal 86 5 2 2 2 3 4" xfId="16484"/>
    <cellStyle name="Normal 86 5 2 2 2 4" xfId="7432"/>
    <cellStyle name="Normal 86 5 2 2 2 4 2" xfId="18148"/>
    <cellStyle name="Normal 86 5 2 2 2 5" xfId="10760"/>
    <cellStyle name="Normal 86 5 2 2 2 5 2" xfId="21476"/>
    <cellStyle name="Normal 86 5 2 2 2 6" xfId="14820"/>
    <cellStyle name="Normal 86 5 2 2 3" xfId="4509"/>
    <cellStyle name="Normal 86 5 2 2 3 2" xfId="6177"/>
    <cellStyle name="Normal 86 5 2 2 3 2 2" xfId="9512"/>
    <cellStyle name="Normal 86 5 2 2 3 2 2 2" xfId="20228"/>
    <cellStyle name="Normal 86 5 2 2 3 2 3" xfId="12840"/>
    <cellStyle name="Normal 86 5 2 2 3 2 3 2" xfId="23556"/>
    <cellStyle name="Normal 86 5 2 2 3 2 4" xfId="16900"/>
    <cellStyle name="Normal 86 5 2 2 3 3" xfId="7848"/>
    <cellStyle name="Normal 86 5 2 2 3 3 2" xfId="18564"/>
    <cellStyle name="Normal 86 5 2 2 3 4" xfId="11176"/>
    <cellStyle name="Normal 86 5 2 2 3 4 2" xfId="21892"/>
    <cellStyle name="Normal 86 5 2 2 3 5" xfId="15236"/>
    <cellStyle name="Normal 86 5 2 2 4" xfId="5345"/>
    <cellStyle name="Normal 86 5 2 2 4 2" xfId="8680"/>
    <cellStyle name="Normal 86 5 2 2 4 2 2" xfId="19396"/>
    <cellStyle name="Normal 86 5 2 2 4 3" xfId="12008"/>
    <cellStyle name="Normal 86 5 2 2 4 3 2" xfId="22724"/>
    <cellStyle name="Normal 86 5 2 2 4 4" xfId="16068"/>
    <cellStyle name="Normal 86 5 2 2 5" xfId="7015"/>
    <cellStyle name="Normal 86 5 2 2 5 2" xfId="17732"/>
    <cellStyle name="Normal 86 5 2 2 6" xfId="10344"/>
    <cellStyle name="Normal 86 5 2 2 6 2" xfId="21060"/>
    <cellStyle name="Normal 86 5 2 2 7" xfId="14403"/>
    <cellStyle name="Normal 86 5 2 3" xfId="3866"/>
    <cellStyle name="Normal 86 5 2 3 2" xfId="4717"/>
    <cellStyle name="Normal 86 5 2 3 2 2" xfId="6385"/>
    <cellStyle name="Normal 86 5 2 3 2 2 2" xfId="9720"/>
    <cellStyle name="Normal 86 5 2 3 2 2 2 2" xfId="20436"/>
    <cellStyle name="Normal 86 5 2 3 2 2 3" xfId="13048"/>
    <cellStyle name="Normal 86 5 2 3 2 2 3 2" xfId="23764"/>
    <cellStyle name="Normal 86 5 2 3 2 2 4" xfId="17108"/>
    <cellStyle name="Normal 86 5 2 3 2 3" xfId="8056"/>
    <cellStyle name="Normal 86 5 2 3 2 3 2" xfId="18772"/>
    <cellStyle name="Normal 86 5 2 3 2 4" xfId="11384"/>
    <cellStyle name="Normal 86 5 2 3 2 4 2" xfId="22100"/>
    <cellStyle name="Normal 86 5 2 3 2 5" xfId="15444"/>
    <cellStyle name="Normal 86 5 2 3 3" xfId="5553"/>
    <cellStyle name="Normal 86 5 2 3 3 2" xfId="8888"/>
    <cellStyle name="Normal 86 5 2 3 3 2 2" xfId="19604"/>
    <cellStyle name="Normal 86 5 2 3 3 3" xfId="12216"/>
    <cellStyle name="Normal 86 5 2 3 3 3 2" xfId="22932"/>
    <cellStyle name="Normal 86 5 2 3 3 4" xfId="16276"/>
    <cellStyle name="Normal 86 5 2 3 4" xfId="7224"/>
    <cellStyle name="Normal 86 5 2 3 4 2" xfId="17940"/>
    <cellStyle name="Normal 86 5 2 3 5" xfId="10552"/>
    <cellStyle name="Normal 86 5 2 3 5 2" xfId="21268"/>
    <cellStyle name="Normal 86 5 2 3 6" xfId="14612"/>
    <cellStyle name="Normal 86 5 2 4" xfId="4299"/>
    <cellStyle name="Normal 86 5 2 4 2" xfId="5969"/>
    <cellStyle name="Normal 86 5 2 4 2 2" xfId="9304"/>
    <cellStyle name="Normal 86 5 2 4 2 2 2" xfId="20020"/>
    <cellStyle name="Normal 86 5 2 4 2 3" xfId="12632"/>
    <cellStyle name="Normal 86 5 2 4 2 3 2" xfId="23348"/>
    <cellStyle name="Normal 86 5 2 4 2 4" xfId="16692"/>
    <cellStyle name="Normal 86 5 2 4 3" xfId="7640"/>
    <cellStyle name="Normal 86 5 2 4 3 2" xfId="18356"/>
    <cellStyle name="Normal 86 5 2 4 4" xfId="10968"/>
    <cellStyle name="Normal 86 5 2 4 4 2" xfId="21684"/>
    <cellStyle name="Normal 86 5 2 4 5" xfId="15028"/>
    <cellStyle name="Normal 86 5 2 5" xfId="5134"/>
    <cellStyle name="Normal 86 5 2 5 2" xfId="8472"/>
    <cellStyle name="Normal 86 5 2 5 2 2" xfId="19188"/>
    <cellStyle name="Normal 86 5 2 5 3" xfId="11800"/>
    <cellStyle name="Normal 86 5 2 5 3 2" xfId="22516"/>
    <cellStyle name="Normal 86 5 2 5 4" xfId="15860"/>
    <cellStyle name="Normal 86 5 2 6" xfId="6804"/>
    <cellStyle name="Normal 86 5 2 6 2" xfId="17524"/>
    <cellStyle name="Normal 86 5 2 7" xfId="10136"/>
    <cellStyle name="Normal 86 5 2 7 2" xfId="20852"/>
    <cellStyle name="Normal 86 5 2 8" xfId="14193"/>
    <cellStyle name="Normal 86 5 3" xfId="3212"/>
    <cellStyle name="Normal 86 5 3 2" xfId="4084"/>
    <cellStyle name="Normal 86 5 3 2 2" xfId="4924"/>
    <cellStyle name="Normal 86 5 3 2 2 2" xfId="6592"/>
    <cellStyle name="Normal 86 5 3 2 2 2 2" xfId="9927"/>
    <cellStyle name="Normal 86 5 3 2 2 2 2 2" xfId="20643"/>
    <cellStyle name="Normal 86 5 3 2 2 2 3" xfId="13255"/>
    <cellStyle name="Normal 86 5 3 2 2 2 3 2" xfId="23971"/>
    <cellStyle name="Normal 86 5 3 2 2 2 4" xfId="17315"/>
    <cellStyle name="Normal 86 5 3 2 2 3" xfId="8263"/>
    <cellStyle name="Normal 86 5 3 2 2 3 2" xfId="18979"/>
    <cellStyle name="Normal 86 5 3 2 2 4" xfId="11591"/>
    <cellStyle name="Normal 86 5 3 2 2 4 2" xfId="22307"/>
    <cellStyle name="Normal 86 5 3 2 2 5" xfId="15651"/>
    <cellStyle name="Normal 86 5 3 2 3" xfId="5760"/>
    <cellStyle name="Normal 86 5 3 2 3 2" xfId="9095"/>
    <cellStyle name="Normal 86 5 3 2 3 2 2" xfId="19811"/>
    <cellStyle name="Normal 86 5 3 2 3 3" xfId="12423"/>
    <cellStyle name="Normal 86 5 3 2 3 3 2" xfId="23139"/>
    <cellStyle name="Normal 86 5 3 2 3 4" xfId="16483"/>
    <cellStyle name="Normal 86 5 3 2 4" xfId="7431"/>
    <cellStyle name="Normal 86 5 3 2 4 2" xfId="18147"/>
    <cellStyle name="Normal 86 5 3 2 5" xfId="10759"/>
    <cellStyle name="Normal 86 5 3 2 5 2" xfId="21475"/>
    <cellStyle name="Normal 86 5 3 2 6" xfId="14819"/>
    <cellStyle name="Normal 86 5 3 3" xfId="4508"/>
    <cellStyle name="Normal 86 5 3 3 2" xfId="6176"/>
    <cellStyle name="Normal 86 5 3 3 2 2" xfId="9511"/>
    <cellStyle name="Normal 86 5 3 3 2 2 2" xfId="20227"/>
    <cellStyle name="Normal 86 5 3 3 2 3" xfId="12839"/>
    <cellStyle name="Normal 86 5 3 3 2 3 2" xfId="23555"/>
    <cellStyle name="Normal 86 5 3 3 2 4" xfId="16899"/>
    <cellStyle name="Normal 86 5 3 3 3" xfId="7847"/>
    <cellStyle name="Normal 86 5 3 3 3 2" xfId="18563"/>
    <cellStyle name="Normal 86 5 3 3 4" xfId="11175"/>
    <cellStyle name="Normal 86 5 3 3 4 2" xfId="21891"/>
    <cellStyle name="Normal 86 5 3 3 5" xfId="15235"/>
    <cellStyle name="Normal 86 5 3 4" xfId="5344"/>
    <cellStyle name="Normal 86 5 3 4 2" xfId="8679"/>
    <cellStyle name="Normal 86 5 3 4 2 2" xfId="19395"/>
    <cellStyle name="Normal 86 5 3 4 3" xfId="12007"/>
    <cellStyle name="Normal 86 5 3 4 3 2" xfId="22723"/>
    <cellStyle name="Normal 86 5 3 4 4" xfId="16067"/>
    <cellStyle name="Normal 86 5 3 5" xfId="7014"/>
    <cellStyle name="Normal 86 5 3 5 2" xfId="17731"/>
    <cellStyle name="Normal 86 5 3 6" xfId="10343"/>
    <cellStyle name="Normal 86 5 3 6 2" xfId="21059"/>
    <cellStyle name="Normal 86 5 3 7" xfId="14402"/>
    <cellStyle name="Normal 86 5 4" xfId="3865"/>
    <cellStyle name="Normal 86 5 4 2" xfId="4716"/>
    <cellStyle name="Normal 86 5 4 2 2" xfId="6384"/>
    <cellStyle name="Normal 86 5 4 2 2 2" xfId="9719"/>
    <cellStyle name="Normal 86 5 4 2 2 2 2" xfId="20435"/>
    <cellStyle name="Normal 86 5 4 2 2 3" xfId="13047"/>
    <cellStyle name="Normal 86 5 4 2 2 3 2" xfId="23763"/>
    <cellStyle name="Normal 86 5 4 2 2 4" xfId="17107"/>
    <cellStyle name="Normal 86 5 4 2 3" xfId="8055"/>
    <cellStyle name="Normal 86 5 4 2 3 2" xfId="18771"/>
    <cellStyle name="Normal 86 5 4 2 4" xfId="11383"/>
    <cellStyle name="Normal 86 5 4 2 4 2" xfId="22099"/>
    <cellStyle name="Normal 86 5 4 2 5" xfId="15443"/>
    <cellStyle name="Normal 86 5 4 3" xfId="5552"/>
    <cellStyle name="Normal 86 5 4 3 2" xfId="8887"/>
    <cellStyle name="Normal 86 5 4 3 2 2" xfId="19603"/>
    <cellStyle name="Normal 86 5 4 3 3" xfId="12215"/>
    <cellStyle name="Normal 86 5 4 3 3 2" xfId="22931"/>
    <cellStyle name="Normal 86 5 4 3 4" xfId="16275"/>
    <cellStyle name="Normal 86 5 4 4" xfId="7223"/>
    <cellStyle name="Normal 86 5 4 4 2" xfId="17939"/>
    <cellStyle name="Normal 86 5 4 5" xfId="10551"/>
    <cellStyle name="Normal 86 5 4 5 2" xfId="21267"/>
    <cellStyle name="Normal 86 5 4 6" xfId="14611"/>
    <cellStyle name="Normal 86 5 5" xfId="4298"/>
    <cellStyle name="Normal 86 5 5 2" xfId="5968"/>
    <cellStyle name="Normal 86 5 5 2 2" xfId="9303"/>
    <cellStyle name="Normal 86 5 5 2 2 2" xfId="20019"/>
    <cellStyle name="Normal 86 5 5 2 3" xfId="12631"/>
    <cellStyle name="Normal 86 5 5 2 3 2" xfId="23347"/>
    <cellStyle name="Normal 86 5 5 2 4" xfId="16691"/>
    <cellStyle name="Normal 86 5 5 3" xfId="7639"/>
    <cellStyle name="Normal 86 5 5 3 2" xfId="18355"/>
    <cellStyle name="Normal 86 5 5 4" xfId="10967"/>
    <cellStyle name="Normal 86 5 5 4 2" xfId="21683"/>
    <cellStyle name="Normal 86 5 5 5" xfId="15027"/>
    <cellStyle name="Normal 86 5 6" xfId="5133"/>
    <cellStyle name="Normal 86 5 6 2" xfId="8471"/>
    <cellStyle name="Normal 86 5 6 2 2" xfId="19187"/>
    <cellStyle name="Normal 86 5 6 3" xfId="11799"/>
    <cellStyle name="Normal 86 5 6 3 2" xfId="22515"/>
    <cellStyle name="Normal 86 5 6 4" xfId="15859"/>
    <cellStyle name="Normal 86 5 7" xfId="6803"/>
    <cellStyle name="Normal 86 5 7 2" xfId="17523"/>
    <cellStyle name="Normal 86 5 8" xfId="10135"/>
    <cellStyle name="Normal 86 5 8 2" xfId="20851"/>
    <cellStyle name="Normal 86 5 9" xfId="14192"/>
    <cellStyle name="Normal 86 6" xfId="1537"/>
    <cellStyle name="Normal 86 6 2" xfId="3214"/>
    <cellStyle name="Normal 86 6 2 2" xfId="4086"/>
    <cellStyle name="Normal 86 6 2 2 2" xfId="4926"/>
    <cellStyle name="Normal 86 6 2 2 2 2" xfId="6594"/>
    <cellStyle name="Normal 86 6 2 2 2 2 2" xfId="9929"/>
    <cellStyle name="Normal 86 6 2 2 2 2 2 2" xfId="20645"/>
    <cellStyle name="Normal 86 6 2 2 2 2 3" xfId="13257"/>
    <cellStyle name="Normal 86 6 2 2 2 2 3 2" xfId="23973"/>
    <cellStyle name="Normal 86 6 2 2 2 2 4" xfId="17317"/>
    <cellStyle name="Normal 86 6 2 2 2 3" xfId="8265"/>
    <cellStyle name="Normal 86 6 2 2 2 3 2" xfId="18981"/>
    <cellStyle name="Normal 86 6 2 2 2 4" xfId="11593"/>
    <cellStyle name="Normal 86 6 2 2 2 4 2" xfId="22309"/>
    <cellStyle name="Normal 86 6 2 2 2 5" xfId="15653"/>
    <cellStyle name="Normal 86 6 2 2 3" xfId="5762"/>
    <cellStyle name="Normal 86 6 2 2 3 2" xfId="9097"/>
    <cellStyle name="Normal 86 6 2 2 3 2 2" xfId="19813"/>
    <cellStyle name="Normal 86 6 2 2 3 3" xfId="12425"/>
    <cellStyle name="Normal 86 6 2 2 3 3 2" xfId="23141"/>
    <cellStyle name="Normal 86 6 2 2 3 4" xfId="16485"/>
    <cellStyle name="Normal 86 6 2 2 4" xfId="7433"/>
    <cellStyle name="Normal 86 6 2 2 4 2" xfId="18149"/>
    <cellStyle name="Normal 86 6 2 2 5" xfId="10761"/>
    <cellStyle name="Normal 86 6 2 2 5 2" xfId="21477"/>
    <cellStyle name="Normal 86 6 2 2 6" xfId="14821"/>
    <cellStyle name="Normal 86 6 2 3" xfId="4510"/>
    <cellStyle name="Normal 86 6 2 3 2" xfId="6178"/>
    <cellStyle name="Normal 86 6 2 3 2 2" xfId="9513"/>
    <cellStyle name="Normal 86 6 2 3 2 2 2" xfId="20229"/>
    <cellStyle name="Normal 86 6 2 3 2 3" xfId="12841"/>
    <cellStyle name="Normal 86 6 2 3 2 3 2" xfId="23557"/>
    <cellStyle name="Normal 86 6 2 3 2 4" xfId="16901"/>
    <cellStyle name="Normal 86 6 2 3 3" xfId="7849"/>
    <cellStyle name="Normal 86 6 2 3 3 2" xfId="18565"/>
    <cellStyle name="Normal 86 6 2 3 4" xfId="11177"/>
    <cellStyle name="Normal 86 6 2 3 4 2" xfId="21893"/>
    <cellStyle name="Normal 86 6 2 3 5" xfId="15237"/>
    <cellStyle name="Normal 86 6 2 4" xfId="5346"/>
    <cellStyle name="Normal 86 6 2 4 2" xfId="8681"/>
    <cellStyle name="Normal 86 6 2 4 2 2" xfId="19397"/>
    <cellStyle name="Normal 86 6 2 4 3" xfId="12009"/>
    <cellStyle name="Normal 86 6 2 4 3 2" xfId="22725"/>
    <cellStyle name="Normal 86 6 2 4 4" xfId="16069"/>
    <cellStyle name="Normal 86 6 2 5" xfId="7016"/>
    <cellStyle name="Normal 86 6 2 5 2" xfId="17733"/>
    <cellStyle name="Normal 86 6 2 6" xfId="10345"/>
    <cellStyle name="Normal 86 6 2 6 2" xfId="21061"/>
    <cellStyle name="Normal 86 6 2 7" xfId="14404"/>
    <cellStyle name="Normal 86 6 3" xfId="3867"/>
    <cellStyle name="Normal 86 6 3 2" xfId="4718"/>
    <cellStyle name="Normal 86 6 3 2 2" xfId="6386"/>
    <cellStyle name="Normal 86 6 3 2 2 2" xfId="9721"/>
    <cellStyle name="Normal 86 6 3 2 2 2 2" xfId="20437"/>
    <cellStyle name="Normal 86 6 3 2 2 3" xfId="13049"/>
    <cellStyle name="Normal 86 6 3 2 2 3 2" xfId="23765"/>
    <cellStyle name="Normal 86 6 3 2 2 4" xfId="17109"/>
    <cellStyle name="Normal 86 6 3 2 3" xfId="8057"/>
    <cellStyle name="Normal 86 6 3 2 3 2" xfId="18773"/>
    <cellStyle name="Normal 86 6 3 2 4" xfId="11385"/>
    <cellStyle name="Normal 86 6 3 2 4 2" xfId="22101"/>
    <cellStyle name="Normal 86 6 3 2 5" xfId="15445"/>
    <cellStyle name="Normal 86 6 3 3" xfId="5554"/>
    <cellStyle name="Normal 86 6 3 3 2" xfId="8889"/>
    <cellStyle name="Normal 86 6 3 3 2 2" xfId="19605"/>
    <cellStyle name="Normal 86 6 3 3 3" xfId="12217"/>
    <cellStyle name="Normal 86 6 3 3 3 2" xfId="22933"/>
    <cellStyle name="Normal 86 6 3 3 4" xfId="16277"/>
    <cellStyle name="Normal 86 6 3 4" xfId="7225"/>
    <cellStyle name="Normal 86 6 3 4 2" xfId="17941"/>
    <cellStyle name="Normal 86 6 3 5" xfId="10553"/>
    <cellStyle name="Normal 86 6 3 5 2" xfId="21269"/>
    <cellStyle name="Normal 86 6 3 6" xfId="14613"/>
    <cellStyle name="Normal 86 6 4" xfId="4300"/>
    <cellStyle name="Normal 86 6 4 2" xfId="5970"/>
    <cellStyle name="Normal 86 6 4 2 2" xfId="9305"/>
    <cellStyle name="Normal 86 6 4 2 2 2" xfId="20021"/>
    <cellStyle name="Normal 86 6 4 2 3" xfId="12633"/>
    <cellStyle name="Normal 86 6 4 2 3 2" xfId="23349"/>
    <cellStyle name="Normal 86 6 4 2 4" xfId="16693"/>
    <cellStyle name="Normal 86 6 4 3" xfId="7641"/>
    <cellStyle name="Normal 86 6 4 3 2" xfId="18357"/>
    <cellStyle name="Normal 86 6 4 4" xfId="10969"/>
    <cellStyle name="Normal 86 6 4 4 2" xfId="21685"/>
    <cellStyle name="Normal 86 6 4 5" xfId="15029"/>
    <cellStyle name="Normal 86 6 5" xfId="5135"/>
    <cellStyle name="Normal 86 6 5 2" xfId="8473"/>
    <cellStyle name="Normal 86 6 5 2 2" xfId="19189"/>
    <cellStyle name="Normal 86 6 5 3" xfId="11801"/>
    <cellStyle name="Normal 86 6 5 3 2" xfId="22517"/>
    <cellStyle name="Normal 86 6 5 4" xfId="15861"/>
    <cellStyle name="Normal 86 6 6" xfId="6805"/>
    <cellStyle name="Normal 86 6 6 2" xfId="17525"/>
    <cellStyle name="Normal 86 6 7" xfId="10137"/>
    <cellStyle name="Normal 86 6 7 2" xfId="20853"/>
    <cellStyle name="Normal 86 6 8" xfId="14194"/>
    <cellStyle name="Normal 86 7" xfId="3198"/>
    <cellStyle name="Normal 86 7 2" xfId="4071"/>
    <cellStyle name="Normal 86 7 2 2" xfId="4911"/>
    <cellStyle name="Normal 86 7 2 2 2" xfId="6579"/>
    <cellStyle name="Normal 86 7 2 2 2 2" xfId="9914"/>
    <cellStyle name="Normal 86 7 2 2 2 2 2" xfId="20630"/>
    <cellStyle name="Normal 86 7 2 2 2 3" xfId="13242"/>
    <cellStyle name="Normal 86 7 2 2 2 3 2" xfId="23958"/>
    <cellStyle name="Normal 86 7 2 2 2 4" xfId="17302"/>
    <cellStyle name="Normal 86 7 2 2 3" xfId="8250"/>
    <cellStyle name="Normal 86 7 2 2 3 2" xfId="18966"/>
    <cellStyle name="Normal 86 7 2 2 4" xfId="11578"/>
    <cellStyle name="Normal 86 7 2 2 4 2" xfId="22294"/>
    <cellStyle name="Normal 86 7 2 2 5" xfId="15638"/>
    <cellStyle name="Normal 86 7 2 3" xfId="5747"/>
    <cellStyle name="Normal 86 7 2 3 2" xfId="9082"/>
    <cellStyle name="Normal 86 7 2 3 2 2" xfId="19798"/>
    <cellStyle name="Normal 86 7 2 3 3" xfId="12410"/>
    <cellStyle name="Normal 86 7 2 3 3 2" xfId="23126"/>
    <cellStyle name="Normal 86 7 2 3 4" xfId="16470"/>
    <cellStyle name="Normal 86 7 2 4" xfId="7418"/>
    <cellStyle name="Normal 86 7 2 4 2" xfId="18134"/>
    <cellStyle name="Normal 86 7 2 5" xfId="10746"/>
    <cellStyle name="Normal 86 7 2 5 2" xfId="21462"/>
    <cellStyle name="Normal 86 7 2 6" xfId="14806"/>
    <cellStyle name="Normal 86 7 3" xfId="4495"/>
    <cellStyle name="Normal 86 7 3 2" xfId="6163"/>
    <cellStyle name="Normal 86 7 3 2 2" xfId="9498"/>
    <cellStyle name="Normal 86 7 3 2 2 2" xfId="20214"/>
    <cellStyle name="Normal 86 7 3 2 3" xfId="12826"/>
    <cellStyle name="Normal 86 7 3 2 3 2" xfId="23542"/>
    <cellStyle name="Normal 86 7 3 2 4" xfId="16886"/>
    <cellStyle name="Normal 86 7 3 3" xfId="7834"/>
    <cellStyle name="Normal 86 7 3 3 2" xfId="18550"/>
    <cellStyle name="Normal 86 7 3 4" xfId="11162"/>
    <cellStyle name="Normal 86 7 3 4 2" xfId="21878"/>
    <cellStyle name="Normal 86 7 3 5" xfId="15222"/>
    <cellStyle name="Normal 86 7 4" xfId="5331"/>
    <cellStyle name="Normal 86 7 4 2" xfId="8666"/>
    <cellStyle name="Normal 86 7 4 2 2" xfId="19382"/>
    <cellStyle name="Normal 86 7 4 3" xfId="11994"/>
    <cellStyle name="Normal 86 7 4 3 2" xfId="22710"/>
    <cellStyle name="Normal 86 7 4 4" xfId="16054"/>
    <cellStyle name="Normal 86 7 5" xfId="7001"/>
    <cellStyle name="Normal 86 7 5 2" xfId="17718"/>
    <cellStyle name="Normal 86 7 6" xfId="10330"/>
    <cellStyle name="Normal 86 7 6 2" xfId="21046"/>
    <cellStyle name="Normal 86 7 7" xfId="14389"/>
    <cellStyle name="Normal 86 8" xfId="3852"/>
    <cellStyle name="Normal 86 8 2" xfId="4703"/>
    <cellStyle name="Normal 86 8 2 2" xfId="6371"/>
    <cellStyle name="Normal 86 8 2 2 2" xfId="9706"/>
    <cellStyle name="Normal 86 8 2 2 2 2" xfId="20422"/>
    <cellStyle name="Normal 86 8 2 2 3" xfId="13034"/>
    <cellStyle name="Normal 86 8 2 2 3 2" xfId="23750"/>
    <cellStyle name="Normal 86 8 2 2 4" xfId="17094"/>
    <cellStyle name="Normal 86 8 2 3" xfId="8042"/>
    <cellStyle name="Normal 86 8 2 3 2" xfId="18758"/>
    <cellStyle name="Normal 86 8 2 4" xfId="11370"/>
    <cellStyle name="Normal 86 8 2 4 2" xfId="22086"/>
    <cellStyle name="Normal 86 8 2 5" xfId="15430"/>
    <cellStyle name="Normal 86 8 3" xfId="5539"/>
    <cellStyle name="Normal 86 8 3 2" xfId="8874"/>
    <cellStyle name="Normal 86 8 3 2 2" xfId="19590"/>
    <cellStyle name="Normal 86 8 3 3" xfId="12202"/>
    <cellStyle name="Normal 86 8 3 3 2" xfId="22918"/>
    <cellStyle name="Normal 86 8 3 4" xfId="16262"/>
    <cellStyle name="Normal 86 8 4" xfId="7210"/>
    <cellStyle name="Normal 86 8 4 2" xfId="17926"/>
    <cellStyle name="Normal 86 8 5" xfId="10538"/>
    <cellStyle name="Normal 86 8 5 2" xfId="21254"/>
    <cellStyle name="Normal 86 8 6" xfId="14598"/>
    <cellStyle name="Normal 86 9" xfId="4285"/>
    <cellStyle name="Normal 86 9 2" xfId="5955"/>
    <cellStyle name="Normal 86 9 2 2" xfId="9290"/>
    <cellStyle name="Normal 86 9 2 2 2" xfId="20006"/>
    <cellStyle name="Normal 86 9 2 3" xfId="12618"/>
    <cellStyle name="Normal 86 9 2 3 2" xfId="23334"/>
    <cellStyle name="Normal 86 9 2 4" xfId="16678"/>
    <cellStyle name="Normal 86 9 3" xfId="7626"/>
    <cellStyle name="Normal 86 9 3 2" xfId="18342"/>
    <cellStyle name="Normal 86 9 4" xfId="10954"/>
    <cellStyle name="Normal 86 9 4 2" xfId="21670"/>
    <cellStyle name="Normal 86 9 5" xfId="15014"/>
    <cellStyle name="Normal 87" xfId="1538"/>
    <cellStyle name="Normal 87 2" xfId="3215"/>
    <cellStyle name="Normal 88" xfId="1539"/>
    <cellStyle name="Normal 88 2" xfId="3216"/>
    <cellStyle name="Normal 89" xfId="1540"/>
    <cellStyle name="Normal 89 2" xfId="3217"/>
    <cellStyle name="Normal 9" xfId="1541"/>
    <cellStyle name="Normal 9 2" xfId="1542"/>
    <cellStyle name="Normal 9 2 2" xfId="3219"/>
    <cellStyle name="Normal 9 3" xfId="1543"/>
    <cellStyle name="Normal 9 3 2" xfId="3220"/>
    <cellStyle name="Normal 9 4" xfId="1544"/>
    <cellStyle name="Normal 9 4 2" xfId="3221"/>
    <cellStyle name="Normal 9 5" xfId="3218"/>
    <cellStyle name="Normal 9 6" xfId="13856"/>
    <cellStyle name="Normal 90" xfId="1545"/>
    <cellStyle name="Normal 90 2" xfId="3222"/>
    <cellStyle name="Normal 91" xfId="1546"/>
    <cellStyle name="Normal 91 2" xfId="3223"/>
    <cellStyle name="Normal 92" xfId="1547"/>
    <cellStyle name="Normal 92 2" xfId="3224"/>
    <cellStyle name="Normal 93" xfId="1548"/>
    <cellStyle name="Normal 93 2" xfId="3225"/>
    <cellStyle name="Normal 94" xfId="1549"/>
    <cellStyle name="Normal 94 2" xfId="3226"/>
    <cellStyle name="Normal 95" xfId="1550"/>
    <cellStyle name="Normal 95 2" xfId="3227"/>
    <cellStyle name="Normal 96" xfId="1551"/>
    <cellStyle name="Normal 96 2" xfId="3228"/>
    <cellStyle name="Normal 97" xfId="1552"/>
    <cellStyle name="Normal 97 2" xfId="3229"/>
    <cellStyle name="Normal 98" xfId="1553"/>
    <cellStyle name="Normal 98 2" xfId="3230"/>
    <cellStyle name="Normal 99" xfId="1554"/>
    <cellStyle name="Normal 99 2" xfId="3231"/>
    <cellStyle name="Normal Bold" xfId="1555"/>
    <cellStyle name="Normal_AMCCBLSH" xfId="1556"/>
    <cellStyle name="Normal_Book3" xfId="1557"/>
    <cellStyle name="Normal_DisclaimerSheet Samples" xfId="23979"/>
    <cellStyle name="Normal_intc(1).o" xfId="1558"/>
    <cellStyle name="NormalItalic" xfId="13857"/>
    <cellStyle name="Note" xfId="1559" builtinId="10" customBuiltin="1"/>
    <cellStyle name="Note 10" xfId="1560"/>
    <cellStyle name="Note 10 2" xfId="1561"/>
    <cellStyle name="Note 10 2 2" xfId="3233"/>
    <cellStyle name="Note 10 3" xfId="3232"/>
    <cellStyle name="Note 2" xfId="1562"/>
    <cellStyle name="Note 2 2" xfId="1563"/>
    <cellStyle name="Note 2 2 2" xfId="1564"/>
    <cellStyle name="Note 2 2 2 2" xfId="3235"/>
    <cellStyle name="Note 2 2 3" xfId="1565"/>
    <cellStyle name="Note 2 2 3 2" xfId="3236"/>
    <cellStyle name="Note 2 2 4" xfId="1566"/>
    <cellStyle name="Note 2 2 4 2" xfId="1567"/>
    <cellStyle name="Note 2 3" xfId="1568"/>
    <cellStyle name="Note 2 3 2" xfId="3237"/>
    <cellStyle name="Note 2 4" xfId="3234"/>
    <cellStyle name="Note 3" xfId="1569"/>
    <cellStyle name="Note 3 2" xfId="1570"/>
    <cellStyle name="Note 3 2 2" xfId="3239"/>
    <cellStyle name="Note 3 3" xfId="3238"/>
    <cellStyle name="Note 4" xfId="1571"/>
    <cellStyle name="Note 4 2" xfId="1572"/>
    <cellStyle name="Note 4 2 2" xfId="3241"/>
    <cellStyle name="Note 4 3" xfId="3240"/>
    <cellStyle name="Note 5" xfId="1573"/>
    <cellStyle name="Note 5 2" xfId="1574"/>
    <cellStyle name="Note 5 2 2" xfId="3243"/>
    <cellStyle name="Note 5 3" xfId="3242"/>
    <cellStyle name="Note 6" xfId="1575"/>
    <cellStyle name="Note 6 2" xfId="1576"/>
    <cellStyle name="Note 6 2 2" xfId="3245"/>
    <cellStyle name="Note 6 3" xfId="3244"/>
    <cellStyle name="Note 7" xfId="1577"/>
    <cellStyle name="Note 7 2" xfId="1578"/>
    <cellStyle name="Note 7 2 2" xfId="3247"/>
    <cellStyle name="Note 7 3" xfId="3246"/>
    <cellStyle name="Note 8" xfId="1579"/>
    <cellStyle name="Note 8 2" xfId="1580"/>
    <cellStyle name="Note 8 2 2" xfId="1581"/>
    <cellStyle name="Note 8 2 2 2" xfId="3250"/>
    <cellStyle name="Note 8 2 3" xfId="3249"/>
    <cellStyle name="Note 8 3" xfId="1582"/>
    <cellStyle name="Note 8 3 2" xfId="1583"/>
    <cellStyle name="Note 8 3 2 2" xfId="3252"/>
    <cellStyle name="Note 8 3 3" xfId="3251"/>
    <cellStyle name="Note 8 4" xfId="1584"/>
    <cellStyle name="Note 8 4 2" xfId="3253"/>
    <cellStyle name="Note 8 5" xfId="3248"/>
    <cellStyle name="Note 9" xfId="1585"/>
    <cellStyle name="Note 9 2" xfId="1586"/>
    <cellStyle name="Note 9 2 2" xfId="3255"/>
    <cellStyle name="Note 9 3" xfId="3254"/>
    <cellStyle name="Notes" xfId="13858"/>
    <cellStyle name="num,nodecpts" xfId="13859"/>
    <cellStyle name="number" xfId="1587"/>
    <cellStyle name="Number 0 d" xfId="13860"/>
    <cellStyle name="Number 0d" xfId="13861"/>
    <cellStyle name="Number 1d" xfId="13862"/>
    <cellStyle name="Number 2" xfId="1588"/>
    <cellStyle name="number 2 2" xfId="1589"/>
    <cellStyle name="Number 2 3" xfId="1590"/>
    <cellStyle name="Number 2 4" xfId="1591"/>
    <cellStyle name="Number 2 5" xfId="1592"/>
    <cellStyle name="Number 2d" xfId="13863"/>
    <cellStyle name="Number 3" xfId="1593"/>
    <cellStyle name="Number 3d" xfId="13864"/>
    <cellStyle name="Number 3d big" xfId="13865"/>
    <cellStyle name="Number 3d_8060CPR" xfId="13866"/>
    <cellStyle name="Number 4" xfId="1594"/>
    <cellStyle name="Number 5" xfId="1595"/>
    <cellStyle name="Number 6" xfId="1596"/>
    <cellStyle name="Number 7" xfId="1597"/>
    <cellStyle name="Number 8" xfId="1598"/>
    <cellStyle name="Number, 3d big" xfId="13867"/>
    <cellStyle name="Number,1d" xfId="13868"/>
    <cellStyle name="Number_Valuation" xfId="13869"/>
    <cellStyle name="Numbers" xfId="13870"/>
    <cellStyle name="Numbers [0]" xfId="13871"/>
    <cellStyle name="Œ…‹æØ‚è [0.00]_GE 3 MINIMUM" xfId="1599"/>
    <cellStyle name="Œ…‹æØ‚è_GE 3 MINIMUM" xfId="1600"/>
    <cellStyle name="Onedec_FT Valuation " xfId="1601"/>
    <cellStyle name="outh America" xfId="1602"/>
    <cellStyle name="Output" xfId="1603" builtinId="21" customBuiltin="1"/>
    <cellStyle name="Output 2" xfId="1604"/>
    <cellStyle name="Output 3" xfId="1605"/>
    <cellStyle name="Override" xfId="13872"/>
    <cellStyle name="p " xfId="1606"/>
    <cellStyle name="Pass" xfId="1607"/>
    <cellStyle name="Pass 2" xfId="1608"/>
    <cellStyle name="Pec (2dec,fs)" xfId="13873"/>
    <cellStyle name="Percent" xfId="1609" builtinId="5"/>
    <cellStyle name="Percent (1)" xfId="13874"/>
    <cellStyle name="Percent [0]" xfId="13875"/>
    <cellStyle name="Percent [00]" xfId="13876"/>
    <cellStyle name="Percent [2]" xfId="1610"/>
    <cellStyle name="Percent [2] 2" xfId="1611"/>
    <cellStyle name="Percent [2] 2 2" xfId="1612"/>
    <cellStyle name="Percent [2] 2 2 2" xfId="1613"/>
    <cellStyle name="Percent [2] 2 2 2 2" xfId="3259"/>
    <cellStyle name="Percent [2] 2 2 3" xfId="3258"/>
    <cellStyle name="Percent [2] 2 3" xfId="1614"/>
    <cellStyle name="Percent [2] 2 3 2" xfId="3260"/>
    <cellStyle name="Percent [2] 2 4" xfId="3257"/>
    <cellStyle name="Percent [2] 3" xfId="1615"/>
    <cellStyle name="Percent [2] 3 2" xfId="1616"/>
    <cellStyle name="Percent [2] 3 2 2" xfId="3262"/>
    <cellStyle name="Percent [2] 3 3" xfId="3261"/>
    <cellStyle name="Percent [2] 4" xfId="1617"/>
    <cellStyle name="Percent [2] 4 2" xfId="3263"/>
    <cellStyle name="Percent [2] 5" xfId="1618"/>
    <cellStyle name="Percent [2] 5 2" xfId="1619"/>
    <cellStyle name="Percent [2] 5 2 2" xfId="3265"/>
    <cellStyle name="Percent [2] 5 3" xfId="3264"/>
    <cellStyle name="Percent [2] 6" xfId="3256"/>
    <cellStyle name="Percent 10" xfId="1620"/>
    <cellStyle name="Percent 10 2" xfId="1621"/>
    <cellStyle name="Percent 10 2 2" xfId="1622"/>
    <cellStyle name="Percent 10 2 2 2" xfId="3268"/>
    <cellStyle name="Percent 10 2 3" xfId="1623"/>
    <cellStyle name="Percent 10 2 3 2" xfId="3269"/>
    <cellStyle name="Percent 10 2 4" xfId="1624"/>
    <cellStyle name="Percent 10 2 5" xfId="3267"/>
    <cellStyle name="Percent 10 3" xfId="1625"/>
    <cellStyle name="Percent 10 3 2" xfId="1626"/>
    <cellStyle name="Percent 10 3 2 2" xfId="3271"/>
    <cellStyle name="Percent 10 3 3" xfId="3270"/>
    <cellStyle name="Percent 10 4" xfId="1627"/>
    <cellStyle name="Percent 10 4 2" xfId="3272"/>
    <cellStyle name="Percent 10 5" xfId="1628"/>
    <cellStyle name="Percent 10 6" xfId="3266"/>
    <cellStyle name="Percent 100" xfId="1629"/>
    <cellStyle name="Percent 100 2" xfId="1630"/>
    <cellStyle name="Percent 100 2 2" xfId="3274"/>
    <cellStyle name="Percent 100 3" xfId="3273"/>
    <cellStyle name="Percent 101" xfId="1631"/>
    <cellStyle name="Percent 101 2" xfId="1632"/>
    <cellStyle name="Percent 101 2 2" xfId="3276"/>
    <cellStyle name="Percent 101 3" xfId="3275"/>
    <cellStyle name="Percent 102" xfId="1633"/>
    <cellStyle name="Percent 102 2" xfId="1634"/>
    <cellStyle name="Percent 102 2 2" xfId="3278"/>
    <cellStyle name="Percent 102 3" xfId="3277"/>
    <cellStyle name="Percent 103" xfId="1635"/>
    <cellStyle name="Percent 103 2" xfId="1636"/>
    <cellStyle name="Percent 103 2 2" xfId="3280"/>
    <cellStyle name="Percent 103 3" xfId="3279"/>
    <cellStyle name="Percent 104" xfId="1637"/>
    <cellStyle name="Percent 104 2" xfId="1638"/>
    <cellStyle name="Percent 104 2 2" xfId="3282"/>
    <cellStyle name="Percent 104 3" xfId="3281"/>
    <cellStyle name="Percent 105" xfId="1639"/>
    <cellStyle name="Percent 105 2" xfId="1640"/>
    <cellStyle name="Percent 105 2 2" xfId="3284"/>
    <cellStyle name="Percent 105 3" xfId="3283"/>
    <cellStyle name="Percent 106" xfId="1641"/>
    <cellStyle name="Percent 106 2" xfId="1642"/>
    <cellStyle name="Percent 106 2 2" xfId="3286"/>
    <cellStyle name="Percent 106 3" xfId="3285"/>
    <cellStyle name="Percent 107" xfId="1643"/>
    <cellStyle name="Percent 107 2" xfId="3287"/>
    <cellStyle name="Percent 108" xfId="1644"/>
    <cellStyle name="Percent 108 2" xfId="3288"/>
    <cellStyle name="Percent 109" xfId="1645"/>
    <cellStyle name="Percent 109 2" xfId="3289"/>
    <cellStyle name="Percent 11" xfId="1646"/>
    <cellStyle name="Percent 11 2" xfId="1647"/>
    <cellStyle name="Percent 11 2 2" xfId="1648"/>
    <cellStyle name="Percent 11 2 2 2" xfId="3292"/>
    <cellStyle name="Percent 11 2 3" xfId="3291"/>
    <cellStyle name="Percent 11 3" xfId="1649"/>
    <cellStyle name="Percent 11 3 2" xfId="1650"/>
    <cellStyle name="Percent 11 3 2 2" xfId="3294"/>
    <cellStyle name="Percent 11 3 3" xfId="3293"/>
    <cellStyle name="Percent 11 4" xfId="1651"/>
    <cellStyle name="Percent 11 4 2" xfId="3295"/>
    <cellStyle name="Percent 11 5" xfId="3290"/>
    <cellStyle name="Percent 110" xfId="1652"/>
    <cellStyle name="Percent 110 2" xfId="3296"/>
    <cellStyle name="Percent 111" xfId="1653"/>
    <cellStyle name="Percent 111 2" xfId="3297"/>
    <cellStyle name="Percent 112" xfId="1654"/>
    <cellStyle name="Percent 112 2" xfId="3298"/>
    <cellStyle name="Percent 113" xfId="1655"/>
    <cellStyle name="Percent 113 2" xfId="3299"/>
    <cellStyle name="Percent 114" xfId="1656"/>
    <cellStyle name="Percent 114 2" xfId="3300"/>
    <cellStyle name="Percent 115" xfId="1657"/>
    <cellStyle name="Percent 115 2" xfId="3301"/>
    <cellStyle name="Percent 116" xfId="1658"/>
    <cellStyle name="Percent 116 2" xfId="3302"/>
    <cellStyle name="Percent 117" xfId="1659"/>
    <cellStyle name="Percent 117 2" xfId="3868"/>
    <cellStyle name="Percent 118" xfId="1660"/>
    <cellStyle name="Percent 118 2" xfId="3869"/>
    <cellStyle name="Percent 119" xfId="1661"/>
    <cellStyle name="Percent 119 2" xfId="3870"/>
    <cellStyle name="Percent 12" xfId="1662"/>
    <cellStyle name="Percent 12 2" xfId="1663"/>
    <cellStyle name="Percent 12 2 2" xfId="1664"/>
    <cellStyle name="Percent 12 2 2 2" xfId="3305"/>
    <cellStyle name="Percent 12 2 3" xfId="3304"/>
    <cellStyle name="Percent 12 3" xfId="1665"/>
    <cellStyle name="Percent 12 3 2" xfId="1666"/>
    <cellStyle name="Percent 12 3 2 2" xfId="3307"/>
    <cellStyle name="Percent 12 3 3" xfId="3306"/>
    <cellStyle name="Percent 12 4" xfId="1667"/>
    <cellStyle name="Percent 12 4 2" xfId="3308"/>
    <cellStyle name="Percent 12 5" xfId="3303"/>
    <cellStyle name="Percent 120" xfId="1668"/>
    <cellStyle name="Percent 120 2" xfId="3871"/>
    <cellStyle name="Percent 121" xfId="1669"/>
    <cellStyle name="Percent 121 2" xfId="3872"/>
    <cellStyle name="Percent 13" xfId="1670"/>
    <cellStyle name="Percent 13 2" xfId="1671"/>
    <cellStyle name="Percent 13 2 2" xfId="3310"/>
    <cellStyle name="Percent 13 3" xfId="1672"/>
    <cellStyle name="Percent 13 3 2" xfId="3311"/>
    <cellStyle name="Percent 13 4" xfId="3309"/>
    <cellStyle name="Percent 14" xfId="1673"/>
    <cellStyle name="Percent 14 2" xfId="1674"/>
    <cellStyle name="Percent 14 2 2" xfId="3313"/>
    <cellStyle name="Percent 14 3" xfId="1675"/>
    <cellStyle name="Percent 14 3 2" xfId="3314"/>
    <cellStyle name="Percent 14 4" xfId="3312"/>
    <cellStyle name="Percent 15" xfId="1676"/>
    <cellStyle name="Percent 15 2" xfId="1677"/>
    <cellStyle name="Percent 15 2 2" xfId="3316"/>
    <cellStyle name="Percent 15 3" xfId="1678"/>
    <cellStyle name="Percent 15 3 2" xfId="3317"/>
    <cellStyle name="Percent 15 4" xfId="3315"/>
    <cellStyle name="Percent 16" xfId="1679"/>
    <cellStyle name="Percent 16 2" xfId="1680"/>
    <cellStyle name="Percent 16 2 2" xfId="3319"/>
    <cellStyle name="Percent 16 3" xfId="1681"/>
    <cellStyle name="Percent 16 3 2" xfId="3320"/>
    <cellStyle name="Percent 16 4" xfId="3318"/>
    <cellStyle name="Percent 17" xfId="1682"/>
    <cellStyle name="Percent 17 2" xfId="1683"/>
    <cellStyle name="Percent 17 2 2" xfId="1684"/>
    <cellStyle name="Percent 17 2 2 2" xfId="3323"/>
    <cellStyle name="Percent 17 2 3" xfId="3322"/>
    <cellStyle name="Percent 17 3" xfId="1685"/>
    <cellStyle name="Percent 17 3 2" xfId="3324"/>
    <cellStyle name="Percent 17 4" xfId="3321"/>
    <cellStyle name="Percent 18" xfId="1686"/>
    <cellStyle name="Percent 18 2" xfId="1687"/>
    <cellStyle name="Percent 18 2 2" xfId="1688"/>
    <cellStyle name="Percent 18 2 2 2" xfId="3327"/>
    <cellStyle name="Percent 18 2 3" xfId="3326"/>
    <cellStyle name="Percent 18 3" xfId="1689"/>
    <cellStyle name="Percent 18 3 2" xfId="3328"/>
    <cellStyle name="Percent 18 4" xfId="3325"/>
    <cellStyle name="Percent 19" xfId="1690"/>
    <cellStyle name="Percent 19 2" xfId="1691"/>
    <cellStyle name="Percent 19 2 2" xfId="1692"/>
    <cellStyle name="Percent 19 2 2 2" xfId="3331"/>
    <cellStyle name="Percent 19 2 3" xfId="3330"/>
    <cellStyle name="Percent 19 3" xfId="1693"/>
    <cellStyle name="Percent 19 3 2" xfId="3332"/>
    <cellStyle name="Percent 19 4" xfId="3329"/>
    <cellStyle name="Percent 1d" xfId="13877"/>
    <cellStyle name="Percent 2" xfId="1694"/>
    <cellStyle name="Percent 2 2" xfId="1695"/>
    <cellStyle name="Percent 2 2 2" xfId="1696"/>
    <cellStyle name="Percent 2 2 2 2" xfId="3334"/>
    <cellStyle name="Percent 2 2 3" xfId="1697"/>
    <cellStyle name="Percent 2 3" xfId="1698"/>
    <cellStyle name="Percent 2 3 2" xfId="1699"/>
    <cellStyle name="Percent 2 3 2 2" xfId="3336"/>
    <cellStyle name="Percent 2 3 3" xfId="1700"/>
    <cellStyle name="Percent 2 3 4" xfId="3335"/>
    <cellStyle name="Percent 2 4" xfId="3333"/>
    <cellStyle name="Percent 2_Pivot Table Tips" xfId="1701"/>
    <cellStyle name="Percent 20" xfId="1702"/>
    <cellStyle name="Percent 20 2" xfId="1703"/>
    <cellStyle name="Percent 20 2 2" xfId="1704"/>
    <cellStyle name="Percent 20 2 2 2" xfId="3339"/>
    <cellStyle name="Percent 20 2 3" xfId="3338"/>
    <cellStyle name="Percent 20 3" xfId="1705"/>
    <cellStyle name="Percent 20 3 2" xfId="3340"/>
    <cellStyle name="Percent 20 4" xfId="3337"/>
    <cellStyle name="Percent 21" xfId="1706"/>
    <cellStyle name="Percent 21 2" xfId="1707"/>
    <cellStyle name="Percent 21 2 2" xfId="1708"/>
    <cellStyle name="Percent 21 2 2 2" xfId="3343"/>
    <cellStyle name="Percent 21 2 3" xfId="3342"/>
    <cellStyle name="Percent 21 3" xfId="1709"/>
    <cellStyle name="Percent 21 3 2" xfId="3344"/>
    <cellStyle name="Percent 21 4" xfId="1710"/>
    <cellStyle name="Percent 21 4 2" xfId="1711"/>
    <cellStyle name="Percent 21 4 2 2" xfId="1712"/>
    <cellStyle name="Percent 21 4 2 2 2" xfId="1713"/>
    <cellStyle name="Percent 21 4 2 2 3" xfId="1714"/>
    <cellStyle name="Percent 21 4 2 2 3 2" xfId="1715"/>
    <cellStyle name="Percent 21 4 2 2 4" xfId="1716"/>
    <cellStyle name="Percent 21 4 2 2 4 2" xfId="1717"/>
    <cellStyle name="Percent 21 4 2 3" xfId="1718"/>
    <cellStyle name="Percent 21 4 2 4" xfId="1719"/>
    <cellStyle name="Percent 21 4 2 4 2" xfId="1720"/>
    <cellStyle name="Percent 21 4 2 5" xfId="1721"/>
    <cellStyle name="Percent 21 4 2 5 2" xfId="1722"/>
    <cellStyle name="Percent 21 4 3" xfId="1723"/>
    <cellStyle name="Percent 21 4 3 2" xfId="1724"/>
    <cellStyle name="Percent 21 4 3 3" xfId="1725"/>
    <cellStyle name="Percent 21 4 3 3 2" xfId="1726"/>
    <cellStyle name="Percent 21 4 3 4" xfId="1727"/>
    <cellStyle name="Percent 21 4 3 4 2" xfId="1728"/>
    <cellStyle name="Percent 21 4 4" xfId="1729"/>
    <cellStyle name="Percent 21 4 5" xfId="1730"/>
    <cellStyle name="Percent 21 4 5 2" xfId="1731"/>
    <cellStyle name="Percent 21 4 6" xfId="1732"/>
    <cellStyle name="Percent 21 4 6 2" xfId="1733"/>
    <cellStyle name="Percent 21 5" xfId="1734"/>
    <cellStyle name="Percent 21 5 2" xfId="1735"/>
    <cellStyle name="Percent 21 5 2 2" xfId="1736"/>
    <cellStyle name="Percent 21 5 2 3" xfId="1737"/>
    <cellStyle name="Percent 21 5 2 3 2" xfId="1738"/>
    <cellStyle name="Percent 21 5 2 4" xfId="1739"/>
    <cellStyle name="Percent 21 5 2 4 2" xfId="1740"/>
    <cellStyle name="Percent 21 5 3" xfId="1741"/>
    <cellStyle name="Percent 21 5 4" xfId="1742"/>
    <cellStyle name="Percent 21 5 4 2" xfId="1743"/>
    <cellStyle name="Percent 21 5 5" xfId="1744"/>
    <cellStyle name="Percent 21 5 5 2" xfId="1745"/>
    <cellStyle name="Percent 21 6" xfId="1746"/>
    <cellStyle name="Percent 21 6 2" xfId="1747"/>
    <cellStyle name="Percent 21 6 2 2" xfId="1748"/>
    <cellStyle name="Percent 21 6 3" xfId="1749"/>
    <cellStyle name="Percent 21 7" xfId="1750"/>
    <cellStyle name="Percent 21 7 2" xfId="1751"/>
    <cellStyle name="Percent 21 7 2 2" xfId="1752"/>
    <cellStyle name="Percent 21 7 3" xfId="1753"/>
    <cellStyle name="Percent 21 8" xfId="3341"/>
    <cellStyle name="Percent 22" xfId="1754"/>
    <cellStyle name="Percent 22 2" xfId="1755"/>
    <cellStyle name="Percent 22 2 2" xfId="3346"/>
    <cellStyle name="Percent 22 3" xfId="3345"/>
    <cellStyle name="Percent 23" xfId="1756"/>
    <cellStyle name="Percent 23 2" xfId="1757"/>
    <cellStyle name="Percent 23 2 2" xfId="1758"/>
    <cellStyle name="Percent 23 2 2 2" xfId="3349"/>
    <cellStyle name="Percent 23 2 3" xfId="3348"/>
    <cellStyle name="Percent 23 3" xfId="1759"/>
    <cellStyle name="Percent 23 3 2" xfId="3350"/>
    <cellStyle name="Percent 23 4" xfId="3347"/>
    <cellStyle name="Percent 24" xfId="1760"/>
    <cellStyle name="Percent 24 2" xfId="1761"/>
    <cellStyle name="Percent 24 2 2" xfId="3352"/>
    <cellStyle name="Percent 24 3" xfId="3351"/>
    <cellStyle name="Percent 25" xfId="1762"/>
    <cellStyle name="Percent 25 2" xfId="1763"/>
    <cellStyle name="Percent 25 2 2" xfId="1764"/>
    <cellStyle name="Percent 25 2 2 2" xfId="3355"/>
    <cellStyle name="Percent 25 2 3" xfId="3354"/>
    <cellStyle name="Percent 25 3" xfId="1765"/>
    <cellStyle name="Percent 25 3 2" xfId="3356"/>
    <cellStyle name="Percent 25 4" xfId="3353"/>
    <cellStyle name="Percent 26" xfId="1766"/>
    <cellStyle name="Percent 26 2" xfId="1767"/>
    <cellStyle name="Percent 26 2 2" xfId="3358"/>
    <cellStyle name="Percent 26 3" xfId="3357"/>
    <cellStyle name="Percent 27" xfId="1768"/>
    <cellStyle name="Percent 27 2" xfId="1769"/>
    <cellStyle name="Percent 27 2 2" xfId="3360"/>
    <cellStyle name="Percent 27 3" xfId="3359"/>
    <cellStyle name="Percent 28" xfId="1770"/>
    <cellStyle name="Percent 28 2" xfId="1771"/>
    <cellStyle name="Percent 28 2 2" xfId="3362"/>
    <cellStyle name="Percent 28 3" xfId="3361"/>
    <cellStyle name="Percent 29" xfId="1772"/>
    <cellStyle name="Percent 29 2" xfId="1773"/>
    <cellStyle name="Percent 29 2 2" xfId="3364"/>
    <cellStyle name="Percent 29 3" xfId="3363"/>
    <cellStyle name="Percent 3" xfId="1774"/>
    <cellStyle name="Percent 3 2" xfId="1775"/>
    <cellStyle name="Percent 3 2 2" xfId="1776"/>
    <cellStyle name="Percent 3 2 2 2" xfId="1777"/>
    <cellStyle name="Percent 3 2 2 2 2" xfId="3366"/>
    <cellStyle name="Percent 3 2 2 3" xfId="3365"/>
    <cellStyle name="Percent 3 2 3" xfId="1778"/>
    <cellStyle name="Percent 3 2 3 2" xfId="3367"/>
    <cellStyle name="Percent 3 2 4" xfId="1779"/>
    <cellStyle name="Percent 3 2 4 2" xfId="3368"/>
    <cellStyle name="Percent 3 2 5" xfId="1780"/>
    <cellStyle name="Percent 3 3" xfId="1781"/>
    <cellStyle name="Percent 3 3 2" xfId="1782"/>
    <cellStyle name="Percent 3 3 2 2" xfId="3370"/>
    <cellStyle name="Percent 3 3 3" xfId="3369"/>
    <cellStyle name="Percent 3 4" xfId="1783"/>
    <cellStyle name="Percent 3 4 2" xfId="3371"/>
    <cellStyle name="Percent 3 5" xfId="1784"/>
    <cellStyle name="Percent 3 5 2" xfId="1785"/>
    <cellStyle name="Percent 3 5 2 2" xfId="1786"/>
    <cellStyle name="Percent 3 5 2 3" xfId="1787"/>
    <cellStyle name="Percent 3 5 2 3 2" xfId="1788"/>
    <cellStyle name="Percent 3 5 2 4" xfId="1789"/>
    <cellStyle name="Percent 3 5 2 4 2" xfId="1790"/>
    <cellStyle name="Percent 3 5 3" xfId="1791"/>
    <cellStyle name="Percent 3 5 4" xfId="1792"/>
    <cellStyle name="Percent 3 5 4 2" xfId="1793"/>
    <cellStyle name="Percent 3 5 5" xfId="1794"/>
    <cellStyle name="Percent 3 5 5 2" xfId="1795"/>
    <cellStyle name="Percent 3 6" xfId="1796"/>
    <cellStyle name="Percent 3 6 2" xfId="1797"/>
    <cellStyle name="Percent 30" xfId="1798"/>
    <cellStyle name="Percent 30 2" xfId="1799"/>
    <cellStyle name="Percent 30 2 2" xfId="3373"/>
    <cellStyle name="Percent 30 3" xfId="3372"/>
    <cellStyle name="Percent 31" xfId="1800"/>
    <cellStyle name="Percent 31 2" xfId="3374"/>
    <cellStyle name="Percent 32" xfId="1801"/>
    <cellStyle name="Percent 32 2" xfId="1802"/>
    <cellStyle name="Percent 32 2 2" xfId="3376"/>
    <cellStyle name="Percent 32 3" xfId="3375"/>
    <cellStyle name="Percent 33" xfId="1803"/>
    <cellStyle name="Percent 33 2" xfId="1804"/>
    <cellStyle name="Percent 33 2 2" xfId="3378"/>
    <cellStyle name="Percent 33 3" xfId="1805"/>
    <cellStyle name="Percent 33 3 2" xfId="3379"/>
    <cellStyle name="Percent 33 4" xfId="3377"/>
    <cellStyle name="Percent 34" xfId="1806"/>
    <cellStyle name="Percent 34 2" xfId="1807"/>
    <cellStyle name="Percent 34 2 2" xfId="3381"/>
    <cellStyle name="Percent 34 3" xfId="3380"/>
    <cellStyle name="Percent 35" xfId="1808"/>
    <cellStyle name="Percent 35 2" xfId="1809"/>
    <cellStyle name="Percent 35 2 2" xfId="3383"/>
    <cellStyle name="Percent 35 3" xfId="3382"/>
    <cellStyle name="Percent 36" xfId="1810"/>
    <cellStyle name="Percent 36 2" xfId="1811"/>
    <cellStyle name="Percent 36 2 2" xfId="3385"/>
    <cellStyle name="Percent 36 3" xfId="1812"/>
    <cellStyle name="Percent 36 3 2" xfId="3386"/>
    <cellStyle name="Percent 36 4" xfId="3384"/>
    <cellStyle name="Percent 37" xfId="1813"/>
    <cellStyle name="Percent 37 2" xfId="1814"/>
    <cellStyle name="Percent 37 2 2" xfId="3388"/>
    <cellStyle name="Percent 37 3" xfId="1815"/>
    <cellStyle name="Percent 37 3 2" xfId="3389"/>
    <cellStyle name="Percent 37 4" xfId="3387"/>
    <cellStyle name="Percent 38" xfId="1816"/>
    <cellStyle name="Percent 38 2" xfId="1817"/>
    <cellStyle name="Percent 38 2 2" xfId="3391"/>
    <cellStyle name="Percent 38 3" xfId="1818"/>
    <cellStyle name="Percent 38 3 2" xfId="3392"/>
    <cellStyle name="Percent 38 4" xfId="3390"/>
    <cellStyle name="Percent 39" xfId="1819"/>
    <cellStyle name="Percent 39 2" xfId="1820"/>
    <cellStyle name="Percent 39 2 2" xfId="3394"/>
    <cellStyle name="Percent 39 3" xfId="3393"/>
    <cellStyle name="Percent 4" xfId="1821"/>
    <cellStyle name="Percent 4 2" xfId="1822"/>
    <cellStyle name="Percent 4 2 2" xfId="1823"/>
    <cellStyle name="Percent 4 2 2 2" xfId="3397"/>
    <cellStyle name="Percent 4 2 3" xfId="3396"/>
    <cellStyle name="Percent 4 3" xfId="1824"/>
    <cellStyle name="Percent 4 3 2" xfId="3398"/>
    <cellStyle name="Percent 4 4" xfId="3395"/>
    <cellStyle name="Percent 4 5" xfId="13878"/>
    <cellStyle name="Percent 40" xfId="1825"/>
    <cellStyle name="Percent 40 2" xfId="3399"/>
    <cellStyle name="Percent 41" xfId="1826"/>
    <cellStyle name="Percent 41 2" xfId="3400"/>
    <cellStyle name="Percent 42" xfId="1827"/>
    <cellStyle name="Percent 42 2" xfId="1828"/>
    <cellStyle name="Percent 42 2 2" xfId="3402"/>
    <cellStyle name="Percent 42 3" xfId="3401"/>
    <cellStyle name="Percent 43" xfId="1829"/>
    <cellStyle name="Percent 43 2" xfId="1830"/>
    <cellStyle name="Percent 43 2 2" xfId="3404"/>
    <cellStyle name="Percent 43 3" xfId="3403"/>
    <cellStyle name="Percent 44" xfId="1831"/>
    <cellStyle name="Percent 44 2" xfId="1832"/>
    <cellStyle name="Percent 44 2 2" xfId="3405"/>
    <cellStyle name="Percent 44 3" xfId="1833"/>
    <cellStyle name="Percent 44 3 2" xfId="3406"/>
    <cellStyle name="Percent 45" xfId="1834"/>
    <cellStyle name="Percent 45 2" xfId="1835"/>
    <cellStyle name="Percent 45 2 2" xfId="3407"/>
    <cellStyle name="Percent 45 3" xfId="1836"/>
    <cellStyle name="Percent 45 3 2" xfId="3408"/>
    <cellStyle name="Percent 46" xfId="1837"/>
    <cellStyle name="Percent 46 2" xfId="1838"/>
    <cellStyle name="Percent 46 2 2" xfId="3409"/>
    <cellStyle name="Percent 46 3" xfId="1839"/>
    <cellStyle name="Percent 46 3 2" xfId="3410"/>
    <cellStyle name="Percent 47" xfId="1840"/>
    <cellStyle name="Percent 47 2" xfId="1841"/>
    <cellStyle name="Percent 47 2 2" xfId="3411"/>
    <cellStyle name="Percent 47 3" xfId="1842"/>
    <cellStyle name="Percent 47 3 2" xfId="3412"/>
    <cellStyle name="Percent 48" xfId="1843"/>
    <cellStyle name="Percent 48 2" xfId="1844"/>
    <cellStyle name="Percent 48 2 2" xfId="3413"/>
    <cellStyle name="Percent 48 3" xfId="1845"/>
    <cellStyle name="Percent 48 3 2" xfId="3414"/>
    <cellStyle name="Percent 49" xfId="1846"/>
    <cellStyle name="Percent 49 2" xfId="1847"/>
    <cellStyle name="Percent 49 2 2" xfId="3416"/>
    <cellStyle name="Percent 49 3" xfId="3415"/>
    <cellStyle name="Percent 5" xfId="1848"/>
    <cellStyle name="Percent 5 2" xfId="1849"/>
    <cellStyle name="Percent 5 2 2" xfId="1850"/>
    <cellStyle name="Percent 5 2 2 2" xfId="3419"/>
    <cellStyle name="Percent 5 2 3" xfId="3418"/>
    <cellStyle name="Percent 5 3" xfId="1851"/>
    <cellStyle name="Percent 5 3 2" xfId="3420"/>
    <cellStyle name="Percent 5 4" xfId="3417"/>
    <cellStyle name="Percent 50" xfId="1852"/>
    <cellStyle name="Percent 50 2" xfId="1853"/>
    <cellStyle name="Percent 50 2 2" xfId="3422"/>
    <cellStyle name="Percent 50 3" xfId="3421"/>
    <cellStyle name="Percent 51" xfId="1854"/>
    <cellStyle name="Percent 51 2" xfId="1855"/>
    <cellStyle name="Percent 51 2 2" xfId="3424"/>
    <cellStyle name="Percent 51 3" xfId="3423"/>
    <cellStyle name="Percent 52" xfId="1856"/>
    <cellStyle name="Percent 52 2" xfId="1857"/>
    <cellStyle name="Percent 52 2 2" xfId="3425"/>
    <cellStyle name="Percent 52 3" xfId="1858"/>
    <cellStyle name="Percent 52 3 2" xfId="3426"/>
    <cellStyle name="Percent 52 4" xfId="1859"/>
    <cellStyle name="Percent 52 4 2" xfId="1860"/>
    <cellStyle name="Percent 52 4 3" xfId="1861"/>
    <cellStyle name="Percent 52 4 3 2" xfId="1862"/>
    <cellStyle name="Percent 52 4 4" xfId="1863"/>
    <cellStyle name="Percent 52 4 4 2" xfId="1864"/>
    <cellStyle name="Percent 52 5" xfId="1865"/>
    <cellStyle name="Percent 52 6" xfId="1866"/>
    <cellStyle name="Percent 52 6 2" xfId="1867"/>
    <cellStyle name="Percent 52 7" xfId="1868"/>
    <cellStyle name="Percent 52 7 2" xfId="1869"/>
    <cellStyle name="Percent 53" xfId="1870"/>
    <cellStyle name="Percent 53 2" xfId="1871"/>
    <cellStyle name="Percent 53 2 2" xfId="3427"/>
    <cellStyle name="Percent 53 3" xfId="1872"/>
    <cellStyle name="Percent 53 3 2" xfId="3428"/>
    <cellStyle name="Percent 53 4" xfId="1873"/>
    <cellStyle name="Percent 53 4 2" xfId="1874"/>
    <cellStyle name="Percent 53 4 3" xfId="1875"/>
    <cellStyle name="Percent 53 4 3 2" xfId="1876"/>
    <cellStyle name="Percent 53 4 4" xfId="1877"/>
    <cellStyle name="Percent 53 4 4 2" xfId="1878"/>
    <cellStyle name="Percent 53 5" xfId="1879"/>
    <cellStyle name="Percent 53 6" xfId="1880"/>
    <cellStyle name="Percent 53 6 2" xfId="1881"/>
    <cellStyle name="Percent 53 7" xfId="1882"/>
    <cellStyle name="Percent 53 7 2" xfId="1883"/>
    <cellStyle name="Percent 54" xfId="1884"/>
    <cellStyle name="Percent 54 2" xfId="1885"/>
    <cellStyle name="Percent 54 2 2" xfId="3430"/>
    <cellStyle name="Percent 54 3" xfId="3429"/>
    <cellStyle name="Percent 55" xfId="1886"/>
    <cellStyle name="Percent 55 2" xfId="1887"/>
    <cellStyle name="Percent 55 2 2" xfId="3432"/>
    <cellStyle name="Percent 55 3" xfId="3431"/>
    <cellStyle name="Percent 56" xfId="1888"/>
    <cellStyle name="Percent 56 2" xfId="3433"/>
    <cellStyle name="Percent 57" xfId="1889"/>
    <cellStyle name="Percent 57 2" xfId="3434"/>
    <cellStyle name="Percent 58" xfId="1890"/>
    <cellStyle name="Percent 58 2" xfId="3435"/>
    <cellStyle name="Percent 59" xfId="1891"/>
    <cellStyle name="Percent 59 2" xfId="3436"/>
    <cellStyle name="Percent 6" xfId="1892"/>
    <cellStyle name="Percent 6 2" xfId="1893"/>
    <cellStyle name="Percent 6 2 2" xfId="1894"/>
    <cellStyle name="Percent 6 2 2 2" xfId="3439"/>
    <cellStyle name="Percent 6 2 3" xfId="3438"/>
    <cellStyle name="Percent 6 3" xfId="1895"/>
    <cellStyle name="Percent 6 3 2" xfId="3440"/>
    <cellStyle name="Percent 6 4" xfId="3437"/>
    <cellStyle name="Percent 60" xfId="1896"/>
    <cellStyle name="Percent 60 2" xfId="3441"/>
    <cellStyle name="Percent 61" xfId="1897"/>
    <cellStyle name="Percent 61 2" xfId="3442"/>
    <cellStyle name="Percent 62" xfId="1898"/>
    <cellStyle name="Percent 62 2" xfId="3443"/>
    <cellStyle name="Percent 63" xfId="1899"/>
    <cellStyle name="Percent 63 2" xfId="3444"/>
    <cellStyle name="Percent 64" xfId="1900"/>
    <cellStyle name="Percent 64 2" xfId="1901"/>
    <cellStyle name="Percent 64 2 2" xfId="3446"/>
    <cellStyle name="Percent 64 3" xfId="3445"/>
    <cellStyle name="Percent 65" xfId="1902"/>
    <cellStyle name="Percent 65 2" xfId="1903"/>
    <cellStyle name="Percent 65 2 2" xfId="3448"/>
    <cellStyle name="Percent 65 3" xfId="3447"/>
    <cellStyle name="Percent 66" xfId="1904"/>
    <cellStyle name="Percent 66 2" xfId="1905"/>
    <cellStyle name="Percent 66 2 2" xfId="3450"/>
    <cellStyle name="Percent 66 3" xfId="3449"/>
    <cellStyle name="Percent 67" xfId="1906"/>
    <cellStyle name="Percent 67 2" xfId="1907"/>
    <cellStyle name="Percent 67 2 2" xfId="3452"/>
    <cellStyle name="Percent 67 3" xfId="3451"/>
    <cellStyle name="Percent 68" xfId="1908"/>
    <cellStyle name="Percent 68 2" xfId="1909"/>
    <cellStyle name="Percent 68 2 2" xfId="3454"/>
    <cellStyle name="Percent 68 3" xfId="3453"/>
    <cellStyle name="Percent 69" xfId="1910"/>
    <cellStyle name="Percent 69 2" xfId="1911"/>
    <cellStyle name="Percent 69 2 2" xfId="3456"/>
    <cellStyle name="Percent 69 3" xfId="3455"/>
    <cellStyle name="Percent 7" xfId="1912"/>
    <cellStyle name="Percent 7 2" xfId="1913"/>
    <cellStyle name="Percent 7 2 2" xfId="1914"/>
    <cellStyle name="Percent 7 2 2 2" xfId="3459"/>
    <cellStyle name="Percent 7 2 3" xfId="3458"/>
    <cellStyle name="Percent 7 3" xfId="1915"/>
    <cellStyle name="Percent 7 3 2" xfId="3460"/>
    <cellStyle name="Percent 7 4" xfId="3457"/>
    <cellStyle name="Percent 70" xfId="1916"/>
    <cellStyle name="Percent 70 2" xfId="1917"/>
    <cellStyle name="Percent 70 2 2" xfId="3462"/>
    <cellStyle name="Percent 70 3" xfId="3461"/>
    <cellStyle name="Percent 71" xfId="1918"/>
    <cellStyle name="Percent 71 2" xfId="3463"/>
    <cellStyle name="Percent 72" xfId="1919"/>
    <cellStyle name="Percent 72 2" xfId="3464"/>
    <cellStyle name="Percent 73" xfId="1920"/>
    <cellStyle name="Percent 73 2" xfId="3465"/>
    <cellStyle name="Percent 74" xfId="1921"/>
    <cellStyle name="Percent 74 2" xfId="3466"/>
    <cellStyle name="Percent 75" xfId="1922"/>
    <cellStyle name="Percent 75 2" xfId="3467"/>
    <cellStyle name="Percent 76" xfId="1923"/>
    <cellStyle name="Percent 76 2" xfId="3468"/>
    <cellStyle name="Percent 77" xfId="1924"/>
    <cellStyle name="Percent 77 2" xfId="1925"/>
    <cellStyle name="Percent 77 2 2" xfId="1926"/>
    <cellStyle name="Percent 77 2 3" xfId="1927"/>
    <cellStyle name="Percent 77 2 3 2" xfId="1928"/>
    <cellStyle name="Percent 77 2 4" xfId="1929"/>
    <cellStyle name="Percent 77 2 4 2" xfId="1930"/>
    <cellStyle name="Percent 77 3" xfId="1931"/>
    <cellStyle name="Percent 77 4" xfId="1932"/>
    <cellStyle name="Percent 77 4 2" xfId="1933"/>
    <cellStyle name="Percent 77 5" xfId="1934"/>
    <cellStyle name="Percent 77 5 2" xfId="1935"/>
    <cellStyle name="Percent 78" xfId="1936"/>
    <cellStyle name="Percent 78 2" xfId="1937"/>
    <cellStyle name="Percent 78 2 2" xfId="3470"/>
    <cellStyle name="Percent 78 3" xfId="1938"/>
    <cellStyle name="Percent 78 4" xfId="3469"/>
    <cellStyle name="Percent 79" xfId="1939"/>
    <cellStyle name="Percent 79 2" xfId="3471"/>
    <cellStyle name="Percent 8" xfId="1940"/>
    <cellStyle name="Percent 8 2" xfId="1941"/>
    <cellStyle name="Percent 8 2 2" xfId="3473"/>
    <cellStyle name="Percent 8 3" xfId="1942"/>
    <cellStyle name="Percent 8 3 2" xfId="3474"/>
    <cellStyle name="Percent 8 4" xfId="3472"/>
    <cellStyle name="Percent 80" xfId="1943"/>
    <cellStyle name="Percent 80 2" xfId="3475"/>
    <cellStyle name="Percent 81" xfId="1944"/>
    <cellStyle name="Percent 81 2" xfId="3476"/>
    <cellStyle name="Percent 82" xfId="1945"/>
    <cellStyle name="Percent 82 2" xfId="3477"/>
    <cellStyle name="Percent 83" xfId="1946"/>
    <cellStyle name="Percent 83 2" xfId="1947"/>
    <cellStyle name="Percent 83 2 2" xfId="1948"/>
    <cellStyle name="Percent 83 2 2 2" xfId="3480"/>
    <cellStyle name="Percent 83 2 3" xfId="3479"/>
    <cellStyle name="Percent 83 3" xfId="1949"/>
    <cellStyle name="Percent 83 3 2" xfId="1950"/>
    <cellStyle name="Percent 83 3 2 2" xfId="3482"/>
    <cellStyle name="Percent 83 3 3" xfId="3481"/>
    <cellStyle name="Percent 83 4" xfId="1951"/>
    <cellStyle name="Percent 83 4 2" xfId="3483"/>
    <cellStyle name="Percent 83 5" xfId="3478"/>
    <cellStyle name="Percent 84" xfId="1952"/>
    <cellStyle name="Percent 84 2" xfId="1953"/>
    <cellStyle name="Percent 84 2 2" xfId="1954"/>
    <cellStyle name="Percent 84 2 2 2" xfId="3486"/>
    <cellStyle name="Percent 84 2 3" xfId="3485"/>
    <cellStyle name="Percent 84 3" xfId="1955"/>
    <cellStyle name="Percent 84 3 2" xfId="1956"/>
    <cellStyle name="Percent 84 3 2 2" xfId="3488"/>
    <cellStyle name="Percent 84 3 3" xfId="3487"/>
    <cellStyle name="Percent 84 4" xfId="1957"/>
    <cellStyle name="Percent 84 4 2" xfId="3489"/>
    <cellStyle name="Percent 84 5" xfId="3484"/>
    <cellStyle name="Percent 85" xfId="1958"/>
    <cellStyle name="Percent 85 2" xfId="1959"/>
    <cellStyle name="Percent 85 2 2" xfId="1960"/>
    <cellStyle name="Percent 85 2 2 2" xfId="3492"/>
    <cellStyle name="Percent 85 2 3" xfId="3491"/>
    <cellStyle name="Percent 85 3" xfId="1961"/>
    <cellStyle name="Percent 85 3 2" xfId="1962"/>
    <cellStyle name="Percent 85 3 2 2" xfId="3494"/>
    <cellStyle name="Percent 85 3 3" xfId="3493"/>
    <cellStyle name="Percent 85 4" xfId="1963"/>
    <cellStyle name="Percent 85 4 2" xfId="3495"/>
    <cellStyle name="Percent 85 5" xfId="3490"/>
    <cellStyle name="Percent 86" xfId="1964"/>
    <cellStyle name="Percent 86 2" xfId="1965"/>
    <cellStyle name="Percent 86 2 2" xfId="1966"/>
    <cellStyle name="Percent 86 2 2 2" xfId="3498"/>
    <cellStyle name="Percent 86 2 3" xfId="3497"/>
    <cellStyle name="Percent 86 3" xfId="3496"/>
    <cellStyle name="Percent 87" xfId="1967"/>
    <cellStyle name="Percent 87 2" xfId="1968"/>
    <cellStyle name="Percent 87 2 2" xfId="1969"/>
    <cellStyle name="Percent 87 2 2 2" xfId="3501"/>
    <cellStyle name="Percent 87 2 3" xfId="3500"/>
    <cellStyle name="Percent 87 3" xfId="3499"/>
    <cellStyle name="Percent 88" xfId="1970"/>
    <cellStyle name="Percent 88 2" xfId="1971"/>
    <cellStyle name="Percent 88 2 2" xfId="1972"/>
    <cellStyle name="Percent 88 2 2 2" xfId="3504"/>
    <cellStyle name="Percent 88 2 3" xfId="3503"/>
    <cellStyle name="Percent 88 3" xfId="3502"/>
    <cellStyle name="Percent 89" xfId="1973"/>
    <cellStyle name="Percent 89 2" xfId="1974"/>
    <cellStyle name="Percent 89 2 2" xfId="1975"/>
    <cellStyle name="Percent 89 2 2 2" xfId="3506"/>
    <cellStyle name="Percent 89 2 3" xfId="3505"/>
    <cellStyle name="Percent 9" xfId="1976"/>
    <cellStyle name="Percent 9 2" xfId="1977"/>
    <cellStyle name="Percent 9 2 2" xfId="1978"/>
    <cellStyle name="Percent 9 2 2 2" xfId="3509"/>
    <cellStyle name="Percent 9 2 3" xfId="1979"/>
    <cellStyle name="Percent 9 2 4" xfId="3508"/>
    <cellStyle name="Percent 9 3" xfId="1980"/>
    <cellStyle name="Percent 9 3 2" xfId="3510"/>
    <cellStyle name="Percent 9 4" xfId="1981"/>
    <cellStyle name="Percent 9 5" xfId="1982"/>
    <cellStyle name="Percent 9 5 2" xfId="3511"/>
    <cellStyle name="Percent 9 6" xfId="1983"/>
    <cellStyle name="Percent 9 7" xfId="3507"/>
    <cellStyle name="Percent 90" xfId="1984"/>
    <cellStyle name="Percent 90 2" xfId="1985"/>
    <cellStyle name="Percent 90 2 2" xfId="1986"/>
    <cellStyle name="Percent 90 2 2 2" xfId="3513"/>
    <cellStyle name="Percent 90 2 3" xfId="3512"/>
    <cellStyle name="Percent 91" xfId="1987"/>
    <cellStyle name="Percent 91 2" xfId="1988"/>
    <cellStyle name="Percent 91 2 2" xfId="1989"/>
    <cellStyle name="Percent 91 2 2 2" xfId="3515"/>
    <cellStyle name="Percent 91 2 3" xfId="3514"/>
    <cellStyle name="Percent 92" xfId="1990"/>
    <cellStyle name="Percent 92 2" xfId="1991"/>
    <cellStyle name="Percent 92 2 2" xfId="1992"/>
    <cellStyle name="Percent 92 2 2 2" xfId="3517"/>
    <cellStyle name="Percent 92 2 3" xfId="3516"/>
    <cellStyle name="Percent 93" xfId="1993"/>
    <cellStyle name="Percent 93 2" xfId="1994"/>
    <cellStyle name="Percent 93 2 2" xfId="1995"/>
    <cellStyle name="Percent 93 2 2 2" xfId="3520"/>
    <cellStyle name="Percent 93 2 3" xfId="3519"/>
    <cellStyle name="Percent 93 3" xfId="3518"/>
    <cellStyle name="Percent 94" xfId="1996"/>
    <cellStyle name="Percent 94 2" xfId="1997"/>
    <cellStyle name="Percent 94 2 2" xfId="1998"/>
    <cellStyle name="Percent 94 2 2 2" xfId="3523"/>
    <cellStyle name="Percent 94 2 3" xfId="3522"/>
    <cellStyle name="Percent 94 3" xfId="3521"/>
    <cellStyle name="Percent 95" xfId="1999"/>
    <cellStyle name="Percent 95 2" xfId="2000"/>
    <cellStyle name="Percent 95 2 2" xfId="3525"/>
    <cellStyle name="Percent 95 3" xfId="3524"/>
    <cellStyle name="Percent 96" xfId="2001"/>
    <cellStyle name="Percent 96 2" xfId="2002"/>
    <cellStyle name="Percent 96 2 2" xfId="3527"/>
    <cellStyle name="Percent 96 3" xfId="3526"/>
    <cellStyle name="Percent 97" xfId="2003"/>
    <cellStyle name="Percent 97 2" xfId="2004"/>
    <cellStyle name="Percent 97 2 2" xfId="3529"/>
    <cellStyle name="Percent 97 3" xfId="3528"/>
    <cellStyle name="Percent 98" xfId="2005"/>
    <cellStyle name="Percent 98 2" xfId="2006"/>
    <cellStyle name="Percent 98 2 2" xfId="3531"/>
    <cellStyle name="Percent 98 3" xfId="3530"/>
    <cellStyle name="Percent 99" xfId="2007"/>
    <cellStyle name="Percent 99 2" xfId="2008"/>
    <cellStyle name="Percent 99 2 2" xfId="3533"/>
    <cellStyle name="Percent 99 3" xfId="3532"/>
    <cellStyle name="Percent.0" xfId="2009"/>
    <cellStyle name="Percent.0 2" xfId="3534"/>
    <cellStyle name="Percent0" xfId="13879"/>
    <cellStyle name="Percent1" xfId="13880"/>
    <cellStyle name="Percent2" xfId="13881"/>
    <cellStyle name="Percentage[1]" xfId="13882"/>
    <cellStyle name="PercentChange" xfId="13883"/>
    <cellStyle name="PrePop Currency (0)" xfId="13884"/>
    <cellStyle name="PrePop Currency (2)" xfId="13885"/>
    <cellStyle name="PrePop Units (0)" xfId="13886"/>
    <cellStyle name="PrePop Units (1)" xfId="13887"/>
    <cellStyle name="PrePop Units (2)" xfId="13888"/>
    <cellStyle name="ProgramVariable" xfId="13889"/>
    <cellStyle name="ProtectedDates" xfId="2010"/>
    <cellStyle name="Ratio" xfId="13890"/>
    <cellStyle name="Ratios" xfId="13891"/>
    <cellStyle name="RatioX" xfId="13892"/>
    <cellStyle name="RED" xfId="2011"/>
    <cellStyle name="RED 2" xfId="2012"/>
    <cellStyle name="Ref Numbers" xfId="2013"/>
    <cellStyle name="Ref Numbers 2" xfId="2014"/>
    <cellStyle name="Report" xfId="13893"/>
    <cellStyle name="Restruct" xfId="2015"/>
    <cellStyle name="Restruct 2" xfId="2016"/>
    <cellStyle name="Restruct 2 2" xfId="2017"/>
    <cellStyle name="Restruct 2 2 2" xfId="2018"/>
    <cellStyle name="Restruct 2 3" xfId="2019"/>
    <cellStyle name="Restruct 3" xfId="2020"/>
    <cellStyle name="Restruct 3 2" xfId="2021"/>
    <cellStyle name="Restruct 3 2 2" xfId="2022"/>
    <cellStyle name="Restruct 3 3" xfId="2023"/>
    <cellStyle name="Restruct 4" xfId="2024"/>
    <cellStyle name="Restruct 4 2" xfId="2025"/>
    <cellStyle name="Restruct 4 2 2" xfId="2026"/>
    <cellStyle name="Restruct 4 2 2 2" xfId="2027"/>
    <cellStyle name="Restruct 4 2 2 2 2" xfId="2028"/>
    <cellStyle name="Restruct 4 2 2 2 3" xfId="2029"/>
    <cellStyle name="Restruct 4 2 2 2 3 2" xfId="3874"/>
    <cellStyle name="Restruct 4 2 3" xfId="2030"/>
    <cellStyle name="Restruct 4 2 3 2" xfId="2031"/>
    <cellStyle name="Restruct 4 3" xfId="2032"/>
    <cellStyle name="Restruct 4 3 2" xfId="2033"/>
    <cellStyle name="Restruct 5" xfId="13894"/>
    <cellStyle name="Right" xfId="2034"/>
    <cellStyle name="Role" xfId="13895"/>
    <cellStyle name="RRSInstruction" xfId="2035"/>
    <cellStyle name="RRSInstruction 2" xfId="2036"/>
    <cellStyle name="RRSInstruction 2 2" xfId="3536"/>
    <cellStyle name="RRSInstruction 3" xfId="3535"/>
    <cellStyle name="s_DCFLBO Code_Wireline Tel Forecast " xfId="2037"/>
    <cellStyle name="s_DCFLBO Code_Wireline Tel Forecast  2" xfId="2038"/>
    <cellStyle name="s_DCFLBO Code_Wireline Tel Forecast  2 2" xfId="2039"/>
    <cellStyle name="s_HardInc " xfId="2040"/>
    <cellStyle name="s_HardInc  2" xfId="2041"/>
    <cellStyle name="s_HardInc  2 2" xfId="2042"/>
    <cellStyle name="s_HardInc _RRST1" xfId="2043"/>
    <cellStyle name="s_HardInc _RRST1 2" xfId="2044"/>
    <cellStyle name="s_HardInc _RRST12" xfId="2045"/>
    <cellStyle name="s_HardInc _RRST19" xfId="2046"/>
    <cellStyle name="s_HardInc _RRST19 2" xfId="2047"/>
    <cellStyle name="s_HardInc _RRST20" xfId="2048"/>
    <cellStyle name="s_HardInc _RRST20 2" xfId="2049"/>
    <cellStyle name="s_HardInc _RRST3" xfId="2050"/>
    <cellStyle name="s_HardInc _RRST6" xfId="2051"/>
    <cellStyle name="s_HardInc _RRST6 2" xfId="2052"/>
    <cellStyle name="s_HardInc _RRST9" xfId="2053"/>
    <cellStyle name="s_HardInc _RRST9 2" xfId="2054"/>
    <cellStyle name="s_HardInc _tablet" xfId="13896"/>
    <cellStyle name="s_Valuation " xfId="2055"/>
    <cellStyle name="s_Valuation  2" xfId="2056"/>
    <cellStyle name="s_Valuation  2 2" xfId="2057"/>
    <cellStyle name="s_Valuation _RRST1" xfId="2058"/>
    <cellStyle name="s_Valuation _RRST1 2" xfId="2059"/>
    <cellStyle name="s_Valuation _RRST12" xfId="2060"/>
    <cellStyle name="s_Valuation _RRST19" xfId="2061"/>
    <cellStyle name="s_Valuation _RRST19 2" xfId="2062"/>
    <cellStyle name="s_Valuation _RRST20" xfId="2063"/>
    <cellStyle name="s_Valuation _RRST20 2" xfId="2064"/>
    <cellStyle name="s_Valuation _RRST3" xfId="2065"/>
    <cellStyle name="s_Valuation _RRST6" xfId="2066"/>
    <cellStyle name="s_Valuation _RRST6 2" xfId="2067"/>
    <cellStyle name="s_Valuation _RRST9" xfId="2068"/>
    <cellStyle name="s_Valuation _RRST9 2" xfId="2069"/>
    <cellStyle name="s_Valuation _tablet" xfId="13897"/>
    <cellStyle name="ScripFactor" xfId="13898"/>
    <cellStyle name="SectionHeading" xfId="13899"/>
    <cellStyle name="SGW E" xfId="13900"/>
    <cellStyle name="Shade" xfId="13901"/>
    <cellStyle name="Source Line" xfId="2070"/>
    <cellStyle name="Source Line 2" xfId="2071"/>
    <cellStyle name="SPEC" xfId="13903"/>
    <cellStyle name="ssp " xfId="2072"/>
    <cellStyle name="Standard" xfId="13904"/>
    <cellStyle name="Style 1" xfId="2073"/>
    <cellStyle name="Style 1 10" xfId="2074"/>
    <cellStyle name="Style 1 10 2" xfId="3537"/>
    <cellStyle name="Style 1 11" xfId="2075"/>
    <cellStyle name="Style 1 11 2" xfId="3538"/>
    <cellStyle name="Style 1 12" xfId="2076"/>
    <cellStyle name="Style 1 12 2" xfId="2077"/>
    <cellStyle name="Style 1 12 2 2" xfId="2078"/>
    <cellStyle name="Style 1 12 2 2 2" xfId="3541"/>
    <cellStyle name="Style 1 12 2 3" xfId="3540"/>
    <cellStyle name="Style 1 12 3" xfId="2079"/>
    <cellStyle name="Style 1 12 3 2" xfId="2080"/>
    <cellStyle name="Style 1 12 3 2 2" xfId="3543"/>
    <cellStyle name="Style 1 12 3 3" xfId="3542"/>
    <cellStyle name="Style 1 12 4" xfId="2081"/>
    <cellStyle name="Style 1 12 4 2" xfId="3544"/>
    <cellStyle name="Style 1 12 5" xfId="3539"/>
    <cellStyle name="Style 1 13" xfId="2082"/>
    <cellStyle name="Style 1 13 2" xfId="2083"/>
    <cellStyle name="Style 1 13 2 2" xfId="3546"/>
    <cellStyle name="Style 1 13 3" xfId="3545"/>
    <cellStyle name="Style 1 14" xfId="2084"/>
    <cellStyle name="Style 1 14 2" xfId="2085"/>
    <cellStyle name="Style 1 14 2 2" xfId="3548"/>
    <cellStyle name="Style 1 14 3" xfId="3547"/>
    <cellStyle name="Style 1 15" xfId="13905"/>
    <cellStyle name="Style 1 2" xfId="2086"/>
    <cellStyle name="Style 1 2 2" xfId="2087"/>
    <cellStyle name="Style 1 2 2 2" xfId="2088"/>
    <cellStyle name="Style 1 2 2 2 2" xfId="2089"/>
    <cellStyle name="Style 1 2 2 2 2 2" xfId="3551"/>
    <cellStyle name="Style 1 2 2 2 3" xfId="3550"/>
    <cellStyle name="Style 1 2 2 3" xfId="2090"/>
    <cellStyle name="Style 1 2 2 3 2" xfId="2091"/>
    <cellStyle name="Style 1 2 2 3 2 2" xfId="3553"/>
    <cellStyle name="Style 1 2 2 3 3" xfId="3552"/>
    <cellStyle name="Style 1 2 2 4" xfId="2092"/>
    <cellStyle name="Style 1 2 2 4 2" xfId="3554"/>
    <cellStyle name="Style 1 2 2 5" xfId="2093"/>
    <cellStyle name="Style 1 2 3" xfId="2094"/>
    <cellStyle name="Style 1 2 3 2" xfId="2095"/>
    <cellStyle name="Style 1 2 3 2 2" xfId="3556"/>
    <cellStyle name="Style 1 2 3 3" xfId="3555"/>
    <cellStyle name="Style 1 2 4" xfId="2096"/>
    <cellStyle name="Style 1 2 4 2" xfId="3557"/>
    <cellStyle name="Style 1 2 5" xfId="2097"/>
    <cellStyle name="Style 1 2 5 2" xfId="2098"/>
    <cellStyle name="Style 1 2 5 3" xfId="3558"/>
    <cellStyle name="Style 1 2 6" xfId="2099"/>
    <cellStyle name="Style 1 2 6 2" xfId="3559"/>
    <cellStyle name="Style 1 2 7" xfId="2100"/>
    <cellStyle name="Style 1 2 7 2" xfId="3560"/>
    <cellStyle name="Style 1 2 8" xfId="3549"/>
    <cellStyle name="Style 1 3" xfId="2101"/>
    <cellStyle name="Style 1 3 2" xfId="2102"/>
    <cellStyle name="Style 1 3 2 2" xfId="2103"/>
    <cellStyle name="Style 1 3 2 2 2" xfId="2104"/>
    <cellStyle name="Style 1 3 2 2 2 2" xfId="3564"/>
    <cellStyle name="Style 1 3 2 2 3" xfId="3563"/>
    <cellStyle name="Style 1 3 2 3" xfId="2105"/>
    <cellStyle name="Style 1 3 2 3 2" xfId="3565"/>
    <cellStyle name="Style 1 3 2 4" xfId="2106"/>
    <cellStyle name="Style 1 3 2 4 2" xfId="3566"/>
    <cellStyle name="Style 1 3 2 5" xfId="2107"/>
    <cellStyle name="Style 1 3 2 5 2" xfId="3567"/>
    <cellStyle name="Style 1 3 2 6" xfId="2108"/>
    <cellStyle name="Style 1 3 2 6 2" xfId="3568"/>
    <cellStyle name="Style 1 3 2 7" xfId="3562"/>
    <cellStyle name="Style 1 3 3" xfId="2109"/>
    <cellStyle name="Style 1 3 3 2" xfId="2110"/>
    <cellStyle name="Style 1 3 3 2 2" xfId="3570"/>
    <cellStyle name="Style 1 3 3 3" xfId="3569"/>
    <cellStyle name="Style 1 3 4" xfId="2111"/>
    <cellStyle name="Style 1 3 4 2" xfId="3571"/>
    <cellStyle name="Style 1 3 5" xfId="2112"/>
    <cellStyle name="Style 1 3 5 2" xfId="3572"/>
    <cellStyle name="Style 1 3 6" xfId="2113"/>
    <cellStyle name="Style 1 3 6 2" xfId="3573"/>
    <cellStyle name="Style 1 3 7" xfId="2114"/>
    <cellStyle name="Style 1 3 7 2" xfId="3574"/>
    <cellStyle name="Style 1 3 8" xfId="3561"/>
    <cellStyle name="Style 1 4" xfId="2115"/>
    <cellStyle name="Style 1 4 2" xfId="2116"/>
    <cellStyle name="Style 1 4 2 2" xfId="2117"/>
    <cellStyle name="Style 1 4 2 2 2" xfId="2118"/>
    <cellStyle name="Style 1 4 2 2 2 2" xfId="3578"/>
    <cellStyle name="Style 1 4 2 2 3" xfId="3577"/>
    <cellStyle name="Style 1 4 2 3" xfId="2119"/>
    <cellStyle name="Style 1 4 2 3 2" xfId="3579"/>
    <cellStyle name="Style 1 4 2 4" xfId="2120"/>
    <cellStyle name="Style 1 4 2 4 2" xfId="3580"/>
    <cellStyle name="Style 1 4 2 5" xfId="2121"/>
    <cellStyle name="Style 1 4 2 5 2" xfId="3581"/>
    <cellStyle name="Style 1 4 2 6" xfId="3576"/>
    <cellStyle name="Style 1 4 3" xfId="2122"/>
    <cellStyle name="Style 1 4 3 2" xfId="2123"/>
    <cellStyle name="Style 1 4 3 2 2" xfId="3583"/>
    <cellStyle name="Style 1 4 3 3" xfId="2124"/>
    <cellStyle name="Style 1 4 3 3 2" xfId="3584"/>
    <cellStyle name="Style 1 4 3 4" xfId="3582"/>
    <cellStyle name="Style 1 4 4" xfId="2125"/>
    <cellStyle name="Style 1 4 4 2" xfId="2126"/>
    <cellStyle name="Style 1 4 4 2 2" xfId="3586"/>
    <cellStyle name="Style 1 4 4 3" xfId="3585"/>
    <cellStyle name="Style 1 4 5" xfId="2127"/>
    <cellStyle name="Style 1 4 5 2" xfId="3587"/>
    <cellStyle name="Style 1 4 6" xfId="2128"/>
    <cellStyle name="Style 1 4 6 2" xfId="3588"/>
    <cellStyle name="Style 1 4 7" xfId="3575"/>
    <cellStyle name="Style 1 5" xfId="2129"/>
    <cellStyle name="Style 1 5 2" xfId="2130"/>
    <cellStyle name="Style 1 5 2 2" xfId="2131"/>
    <cellStyle name="Style 1 5 2 2 2" xfId="2132"/>
    <cellStyle name="Style 1 5 2 2 2 2" xfId="3592"/>
    <cellStyle name="Style 1 5 2 2 3" xfId="3591"/>
    <cellStyle name="Style 1 5 2 3" xfId="2133"/>
    <cellStyle name="Style 1 5 2 3 2" xfId="3593"/>
    <cellStyle name="Style 1 5 2 4" xfId="3590"/>
    <cellStyle name="Style 1 5 3" xfId="2134"/>
    <cellStyle name="Style 1 5 3 2" xfId="3594"/>
    <cellStyle name="Style 1 5 4" xfId="2135"/>
    <cellStyle name="Style 1 5 4 2" xfId="3595"/>
    <cellStyle name="Style 1 5 5" xfId="2136"/>
    <cellStyle name="Style 1 5 5 2" xfId="3596"/>
    <cellStyle name="Style 1 5 6" xfId="2137"/>
    <cellStyle name="Style 1 5 6 2" xfId="3597"/>
    <cellStyle name="Style 1 5 7" xfId="3589"/>
    <cellStyle name="Style 1 6" xfId="2138"/>
    <cellStyle name="Style 1 6 2" xfId="2139"/>
    <cellStyle name="Style 1 6 2 2" xfId="2140"/>
    <cellStyle name="Style 1 6 2 2 2" xfId="2141"/>
    <cellStyle name="Style 1 6 2 2 2 2" xfId="3601"/>
    <cellStyle name="Style 1 6 2 2 3" xfId="3600"/>
    <cellStyle name="Style 1 6 2 3" xfId="2142"/>
    <cellStyle name="Style 1 6 2 3 2" xfId="2143"/>
    <cellStyle name="Style 1 6 2 3 2 2" xfId="3603"/>
    <cellStyle name="Style 1 6 2 3 3" xfId="3602"/>
    <cellStyle name="Style 1 6 2 4" xfId="3599"/>
    <cellStyle name="Style 1 6 3" xfId="2144"/>
    <cellStyle name="Style 1 6 3 2" xfId="2145"/>
    <cellStyle name="Style 1 6 3 2 2" xfId="3605"/>
    <cellStyle name="Style 1 6 3 3" xfId="3604"/>
    <cellStyle name="Style 1 6 4" xfId="2146"/>
    <cellStyle name="Style 1 6 4 2" xfId="2147"/>
    <cellStyle name="Style 1 6 4 2 2" xfId="3607"/>
    <cellStyle name="Style 1 6 4 3" xfId="3606"/>
    <cellStyle name="Style 1 6 5" xfId="3598"/>
    <cellStyle name="Style 1 7" xfId="2148"/>
    <cellStyle name="Style 1 7 2" xfId="2149"/>
    <cellStyle name="Style 1 7 2 2" xfId="3609"/>
    <cellStyle name="Style 1 7 3" xfId="2150"/>
    <cellStyle name="Style 1 7 3 2" xfId="2151"/>
    <cellStyle name="Style 1 7 3 2 2" xfId="3611"/>
    <cellStyle name="Style 1 7 3 3" xfId="3610"/>
    <cellStyle name="Style 1 7 4" xfId="2152"/>
    <cellStyle name="Style 1 7 4 2" xfId="2153"/>
    <cellStyle name="Style 1 7 4 2 2" xfId="3613"/>
    <cellStyle name="Style 1 7 4 3" xfId="3612"/>
    <cellStyle name="Style 1 7 5" xfId="3608"/>
    <cellStyle name="Style 1 8" xfId="2154"/>
    <cellStyle name="Style 1 8 2" xfId="2155"/>
    <cellStyle name="Style 1 8 2 2" xfId="3615"/>
    <cellStyle name="Style 1 8 3" xfId="2156"/>
    <cellStyle name="Style 1 8 3 2" xfId="3616"/>
    <cellStyle name="Style 1 8 4" xfId="3614"/>
    <cellStyle name="Style 1 9" xfId="2157"/>
    <cellStyle name="Style 1 9 2" xfId="2158"/>
    <cellStyle name="Style 1 9 2 2" xfId="3618"/>
    <cellStyle name="Style 1 9 3" xfId="3617"/>
    <cellStyle name="Style 1_Exhibits" xfId="2159"/>
    <cellStyle name="Style 10" xfId="13906"/>
    <cellStyle name="Style 11" xfId="13907"/>
    <cellStyle name="Style 12" xfId="13908"/>
    <cellStyle name="Style 13" xfId="13909"/>
    <cellStyle name="Style 14" xfId="13910"/>
    <cellStyle name="Style 15" xfId="13911"/>
    <cellStyle name="Style 16" xfId="13912"/>
    <cellStyle name="Style 17" xfId="13913"/>
    <cellStyle name="Style 18" xfId="13914"/>
    <cellStyle name="Style 19" xfId="13915"/>
    <cellStyle name="Style 2" xfId="2160"/>
    <cellStyle name="Style 2 2" xfId="2161"/>
    <cellStyle name="Style 2 2 2" xfId="2162"/>
    <cellStyle name="Style 2 2 2 2" xfId="3621"/>
    <cellStyle name="Style 2 2 3" xfId="3620"/>
    <cellStyle name="Style 2 3" xfId="2163"/>
    <cellStyle name="Style 2 3 2" xfId="2164"/>
    <cellStyle name="Style 2 3 2 2" xfId="3623"/>
    <cellStyle name="Style 2 3 3" xfId="3622"/>
    <cellStyle name="Style 2 4" xfId="2165"/>
    <cellStyle name="Style 2 4 2" xfId="3624"/>
    <cellStyle name="Style 2 5" xfId="2166"/>
    <cellStyle name="Style 2 5 2" xfId="3625"/>
    <cellStyle name="Style 2 6" xfId="3619"/>
    <cellStyle name="Style 20" xfId="13916"/>
    <cellStyle name="Style 21" xfId="2167"/>
    <cellStyle name="Style 21 2" xfId="13917"/>
    <cellStyle name="Style 22" xfId="2168"/>
    <cellStyle name="Style 22 2" xfId="13918"/>
    <cellStyle name="Style 23" xfId="2169"/>
    <cellStyle name="Style 23 2" xfId="13919"/>
    <cellStyle name="Style 24" xfId="2170"/>
    <cellStyle name="Style 24 2" xfId="13920"/>
    <cellStyle name="Style 25" xfId="2171"/>
    <cellStyle name="Style 25 2" xfId="13921"/>
    <cellStyle name="Style 26" xfId="2172"/>
    <cellStyle name="Style 26 2" xfId="13922"/>
    <cellStyle name="Style 27" xfId="2173"/>
    <cellStyle name="Style 27 2" xfId="13923"/>
    <cellStyle name="Style 28" xfId="13924"/>
    <cellStyle name="Style 29" xfId="13925"/>
    <cellStyle name="Style 3" xfId="2174"/>
    <cellStyle name="Style 3 2" xfId="2175"/>
    <cellStyle name="Style 3 3" xfId="13926"/>
    <cellStyle name="Style 30" xfId="13927"/>
    <cellStyle name="Style 31" xfId="13928"/>
    <cellStyle name="Style 32" xfId="13929"/>
    <cellStyle name="Style 33" xfId="13930"/>
    <cellStyle name="Style 34" xfId="13931"/>
    <cellStyle name="Style 35" xfId="13932"/>
    <cellStyle name="Style 36" xfId="13933"/>
    <cellStyle name="Style 37" xfId="13934"/>
    <cellStyle name="Style 38" xfId="13935"/>
    <cellStyle name="Style 39" xfId="13936"/>
    <cellStyle name="Style 4" xfId="2176"/>
    <cellStyle name="Style 4 2" xfId="2177"/>
    <cellStyle name="Style 4 3" xfId="13937"/>
    <cellStyle name="Style 40" xfId="13938"/>
    <cellStyle name="Style 41" xfId="13939"/>
    <cellStyle name="Style 42" xfId="13940"/>
    <cellStyle name="Style 43" xfId="13941"/>
    <cellStyle name="Style 44" xfId="13942"/>
    <cellStyle name="Style 45" xfId="13943"/>
    <cellStyle name="Style 46" xfId="13944"/>
    <cellStyle name="Style 47" xfId="13945"/>
    <cellStyle name="Style 5" xfId="2178"/>
    <cellStyle name="Style 5 2" xfId="2179"/>
    <cellStyle name="Style 5 2 2" xfId="2180"/>
    <cellStyle name="Style 5 2 2 2" xfId="2181"/>
    <cellStyle name="Style 5 2 2 2 2" xfId="3629"/>
    <cellStyle name="Style 5 2 2 3" xfId="3628"/>
    <cellStyle name="Style 5 2 3" xfId="2182"/>
    <cellStyle name="Style 5 2 3 2" xfId="3630"/>
    <cellStyle name="Style 5 2 4" xfId="3627"/>
    <cellStyle name="Style 5 3" xfId="2183"/>
    <cellStyle name="Style 5 3 2" xfId="2184"/>
    <cellStyle name="Style 5 3 2 2" xfId="3632"/>
    <cellStyle name="Style 5 3 3" xfId="3631"/>
    <cellStyle name="Style 5 4" xfId="2185"/>
    <cellStyle name="Style 5 4 2" xfId="3633"/>
    <cellStyle name="Style 5 5" xfId="2186"/>
    <cellStyle name="Style 5 5 2" xfId="2187"/>
    <cellStyle name="Style 5 5 2 2" xfId="3635"/>
    <cellStyle name="Style 5 5 3" xfId="3634"/>
    <cellStyle name="Style 5 6" xfId="3626"/>
    <cellStyle name="Style 5 7" xfId="13946"/>
    <cellStyle name="Style 6" xfId="13947"/>
    <cellStyle name="Style 7" xfId="13948"/>
    <cellStyle name="Style 8" xfId="13949"/>
    <cellStyle name="Style 9" xfId="13950"/>
    <cellStyle name="Subtotal_left" xfId="2188"/>
    <cellStyle name="Synopsis" xfId="13951"/>
    <cellStyle name="Table Heading" xfId="2189"/>
    <cellStyle name="TableName" xfId="13952"/>
    <cellStyle name="Text Indent A" xfId="13953"/>
    <cellStyle name="Text Indent B" xfId="13954"/>
    <cellStyle name="Text Indent C" xfId="13955"/>
    <cellStyle name="textbold" xfId="2190"/>
    <cellStyle name="textbold 2" xfId="2191"/>
    <cellStyle name="textbold 3" xfId="2192"/>
    <cellStyle name="Text-fin statements" xfId="13956"/>
    <cellStyle name="Title" xfId="2193" builtinId="15" customBuiltin="1"/>
    <cellStyle name="Title 2" xfId="2194"/>
    <cellStyle name="Title 3" xfId="2195"/>
    <cellStyle name="Title Line" xfId="2196"/>
    <cellStyle name="title1" xfId="2197"/>
    <cellStyle name="title2" xfId="2198"/>
    <cellStyle name="TitleBar" xfId="13957"/>
    <cellStyle name="Titles" xfId="2199"/>
    <cellStyle name="Top Line" xfId="2200"/>
    <cellStyle name="Top Row" xfId="2201"/>
    <cellStyle name="Top Row 10" xfId="2202"/>
    <cellStyle name="Top Row 11" xfId="2203"/>
    <cellStyle name="Top Row 2" xfId="2204"/>
    <cellStyle name="Top Row 3" xfId="2205"/>
    <cellStyle name="Top Row 4" xfId="2206"/>
    <cellStyle name="Top Row 5" xfId="2207"/>
    <cellStyle name="Top Row 6" xfId="2208"/>
    <cellStyle name="Top Row 7" xfId="2209"/>
    <cellStyle name="Top Row 8" xfId="2210"/>
    <cellStyle name="Top Row 9" xfId="2211"/>
    <cellStyle name="Top Row_10794" xfId="2212"/>
    <cellStyle name="topline" xfId="13958"/>
    <cellStyle name="Total" xfId="2213" builtinId="25" customBuiltin="1"/>
    <cellStyle name="Total 2" xfId="2214"/>
    <cellStyle name="Total 3" xfId="2215"/>
    <cellStyle name="Total Row" xfId="2216"/>
    <cellStyle name="Totals" xfId="2217"/>
    <cellStyle name="Tusental (0)_1998-Q2" xfId="13959"/>
    <cellStyle name="Tusental_1999-Q2-SVERIGE" xfId="13960"/>
    <cellStyle name="underline 1 decimal" xfId="2218"/>
    <cellStyle name="UnderlineNormal" xfId="13961"/>
    <cellStyle name="UnProtectedCalc" xfId="2219"/>
    <cellStyle name="Upload Only" xfId="2220"/>
    <cellStyle name="Use_1dp" xfId="13962"/>
    <cellStyle name="UseB_1dp" xfId="13963"/>
    <cellStyle name="Valuta (0)_1998-Q2" xfId="13964"/>
    <cellStyle name="Warning Text" xfId="2221" builtinId="11" customBuiltin="1"/>
    <cellStyle name="Warning Text 2" xfId="2222"/>
    <cellStyle name="Warning Text 3" xfId="2223"/>
    <cellStyle name="Year" xfId="2224"/>
    <cellStyle name="Year 2" xfId="2225"/>
    <cellStyle name="Year 2 2" xfId="2226"/>
    <cellStyle name="Year 2 2 2" xfId="2227"/>
    <cellStyle name="Year 2 2 2 2" xfId="3639"/>
    <cellStyle name="Year 2 2 3" xfId="3638"/>
    <cellStyle name="Year 2 3" xfId="2228"/>
    <cellStyle name="Year 2 3 2" xfId="3640"/>
    <cellStyle name="Year 2 4" xfId="3637"/>
    <cellStyle name="Year 3" xfId="2229"/>
    <cellStyle name="Year 3 2" xfId="2230"/>
    <cellStyle name="Year 3 2 2" xfId="3642"/>
    <cellStyle name="Year 3 3" xfId="3641"/>
    <cellStyle name="Year 4" xfId="2231"/>
    <cellStyle name="Year 4 2" xfId="3643"/>
    <cellStyle name="Year 5" xfId="2232"/>
    <cellStyle name="Year 5 2" xfId="2233"/>
    <cellStyle name="Year 5 2 2" xfId="3645"/>
    <cellStyle name="Year 5 3" xfId="3644"/>
    <cellStyle name="Year 6" xfId="3636"/>
    <cellStyle name="パーセント_PCSHIP46" xfId="13966"/>
    <cellStyle name="ハイパーリンク" xfId="13967"/>
    <cellStyle name="뷭?_BOOKSHIP_실적현황 " xfId="13968"/>
    <cellStyle name="쬞\?1@" xfId="2234"/>
    <cellStyle name="쬞\?1@ 2" xfId="3646"/>
    <cellStyle name="콤마 [0]_   " xfId="13969"/>
    <cellStyle name="콤마_   " xfId="13970"/>
    <cellStyle name="통화 [0]_(별지1호서식)의뢰 및 승인서" xfId="13971"/>
    <cellStyle name="통화_(별지1호서식)의뢰 및 승인서" xfId="13972"/>
    <cellStyle name="표준_(별표1)업무흐름도" xfId="13973"/>
    <cellStyle name="一般_24991" xfId="13974"/>
    <cellStyle name="常规 2" xfId="13975"/>
    <cellStyle name="常规_Changchun1" xfId="13976"/>
    <cellStyle name="桁区切り [0.00]_6781 (2)" xfId="13977"/>
    <cellStyle name="桁区切り_6781 (2)" xfId="13978"/>
    <cellStyle name="標準_2000marketing2" xfId="13979"/>
    <cellStyle name="表示済みのハイパーリンク" xfId="13980"/>
    <cellStyle name="貨幣[0]_AP17 (2)" xfId="13981"/>
    <cellStyle name="通貨 [0.00]_6501J" xfId="13982"/>
    <cellStyle name="通貨_6501J" xfId="1398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externalLinks/externalLink4.xml" Type="http://schemas.openxmlformats.org/officeDocument/2006/relationships/externalLink"/>
<Relationship Id="rId14" Target="externalLinks/externalLink5.xml" Type="http://schemas.openxmlformats.org/officeDocument/2006/relationships/externalLink"/>
<Relationship Id="rId15" Target="externalLinks/externalLink6.xml" Type="http://schemas.openxmlformats.org/officeDocument/2006/relationships/externalLink"/>
<Relationship Id="rId16" Target="externalLinks/externalLink7.xml" Type="http://schemas.openxmlformats.org/officeDocument/2006/relationships/externalLink"/>
<Relationship Id="rId17" Target="externalLinks/externalLink8.xml" Type="http://schemas.openxmlformats.org/officeDocument/2006/relationships/externalLink"/>
<Relationship Id="rId18" Target="externalLinks/externalLink9.xml" Type="http://schemas.openxmlformats.org/officeDocument/2006/relationships/externalLink"/>
<Relationship Id="rId19" Target="externalLinks/externalLink10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11.xml" Type="http://schemas.openxmlformats.org/officeDocument/2006/relationships/externalLink"/>
<Relationship Id="rId21" Target="externalLinks/externalLink12.xml" Type="http://schemas.openxmlformats.org/officeDocument/2006/relationships/externalLink"/>
<Relationship Id="rId22" Target="externalLinks/externalLink13.xml" Type="http://schemas.openxmlformats.org/officeDocument/2006/relationships/externalLink"/>
<Relationship Id="rId23" Target="theme/theme1.xml" Type="http://schemas.openxmlformats.org/officeDocument/2006/relationships/theme"/>
<Relationship Id="rId24" Target="styles.xml" Type="http://schemas.openxmlformats.org/officeDocument/2006/relationships/styles"/>
<Relationship Id="rId25" Target="sharedStrings.xml" Type="http://schemas.openxmlformats.org/officeDocument/2006/relationships/sharedStrings"/>
<Relationship Id="rId26" Target="calcChain.xml" Type="http://schemas.openxmlformats.org/officeDocument/2006/relationships/calcChain"/>
<Relationship Id="rId27" Target="vbaProject.bin" Type="http://schemas.microsoft.com/office/2006/relationships/vbaProjec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5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7</xdr:col>
      <xdr:colOff>390525</xdr:colOff>
      <xdr:row>193</xdr:row>
      <xdr:rowOff>104775</xdr:rowOff>
    </xdr:to>
    <xdr:pic>
      <xdr:nvPicPr>
        <xdr:cNvPr id="33497089" name="Picture 1" descr="C:\Users\vinayakr\AppData\Local\Temp\MercuryPriceRatingHistoryChart\SWKS.O_2018_02_05_18_55_09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556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57150</xdr:rowOff>
    </xdr:from>
    <xdr:to>
      <xdr:col>1</xdr:col>
      <xdr:colOff>2095500</xdr:colOff>
      <xdr:row>0</xdr:row>
      <xdr:rowOff>828675</xdr:rowOff>
    </xdr:to>
    <xdr:pic>
      <xdr:nvPicPr>
        <xdr:cNvPr id="44131608" name="Picture 2" descr="skyworks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20383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57150</xdr:rowOff>
    </xdr:from>
    <xdr:to>
      <xdr:col>1</xdr:col>
      <xdr:colOff>2095500</xdr:colOff>
      <xdr:row>0</xdr:row>
      <xdr:rowOff>828675</xdr:rowOff>
    </xdr:to>
    <xdr:pic>
      <xdr:nvPicPr>
        <xdr:cNvPr id="49559648" name="Picture 3" descr="skyworks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20383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57150</xdr:rowOff>
    </xdr:from>
    <xdr:to>
      <xdr:col>1</xdr:col>
      <xdr:colOff>2095500</xdr:colOff>
      <xdr:row>0</xdr:row>
      <xdr:rowOff>838200</xdr:rowOff>
    </xdr:to>
    <xdr:pic>
      <xdr:nvPicPr>
        <xdr:cNvPr id="11008985" name="Picture 2" descr="skyworks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203835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57150</xdr:rowOff>
    </xdr:from>
    <xdr:to>
      <xdr:col>1</xdr:col>
      <xdr:colOff>2095500</xdr:colOff>
      <xdr:row>0</xdr:row>
      <xdr:rowOff>828675</xdr:rowOff>
    </xdr:to>
    <xdr:pic>
      <xdr:nvPicPr>
        <xdr:cNvPr id="27483725" name="Picture 1" descr="skyworks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20383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ER43/TechHW/Industry/CIO%20Surveys/CIO%20Survey%202012/Jan_2012_CIO_Hardware_Charts.xls" TargetMode="External" Type="http://schemas.microsoft.com/office/2006/relationships/xlExternalLinkPath/xlAlternateStartup"/>
</Relationships>

</file>

<file path=xl/externalLinks/_rels/externalLink3.xml.rels><?xml version="1.0" encoding="UTF-8" standalone="yes"?>
<Relationships xmlns="http://schemas.openxmlformats.org/package/2006/relationships">
<Relationship Id="rId1" Target="ITServices/Industry%20Reports/CIO%20Surveys/CIO%202011-2Q/11Q2%20MS%20CIO%20FINAL%20-%20Rozof.xls" TargetMode="External" Type="http://schemas.microsoft.com/office/2006/relationships/xlExternalLinkPath/xlAlternateStartup"/>
</Relationships>

</file>

<file path=xl/externalLinks/_rels/externalLink4.xml.rels><?xml version="1.0" encoding="UTF-8" standalone="yes"?>
<Relationships xmlns="http://schemas.openxmlformats.org/package/2006/relationships">
<Relationship Id="rId1" Target="ER43/TechHW/Industry/CIO%20Surveys/CIO%20Survey%202011/Apr2011%20CIO%20Survey_HW_Charts.xls" TargetMode="External" Type="http://schemas.microsoft.com/office/2006/relationships/xlExternalLinkPath/xlAlternateStartup"/>
</Relationships>

</file>

<file path=xl/externalLinks/_rels/externalLink5.xml.rels><?xml version="1.0" encoding="UTF-8" standalone="yes"?>
<Relationships xmlns="http://schemas.openxmlformats.org/package/2006/relationships">
<Relationship Id="rId1" Target="ER43/TechHW/Industry/CIO%20Surveys/CIO%20Survey%202011/Jul2011%20CIO%20Survey_HW_Charts.xls" TargetMode="External" Type="http://schemas.microsoft.com/office/2006/relationships/xlExternalLinkPath/xlAlternateStartup"/>
</Relationships>

</file>

<file path=xl/externalLinks/_rels/externalLink6.xml.rels><?xml version="1.0" encoding="UTF-8" standalone="yes"?>
<Relationships xmlns="http://schemas.openxmlformats.org/package/2006/relationships">
<Relationship Id="rId1" Target="TECH/Gelblum/Surveys/CIO%20Survey/September%202011/Nov_2011_CIO_Macro_Charts_v1.xls" TargetMode="External" Type="http://schemas.microsoft.com/office/2006/relationships/xlExternalLinkPath/xlAlternateStartup"/>
</Relationships>

</file>

<file path=xl/externalLinks/_rels/externalLink7.xml.rels><?xml version="1.0" encoding="UTF-8" standalone="yes"?>
<Relationships xmlns="http://schemas.openxmlformats.org/package/2006/relationships">
<Relationship Id="rId1" Target="file://///MSAD/root/Models/valuation/MS%20Systems%20&amp;%20PC%20Hardware%20Comps.xls" TargetMode="External" Type="http://schemas.openxmlformats.org/officeDocument/2006/relationships/externalLinkPath"/>
</Relationships>

</file>

<file path=xl/externalLinks/_rels/externalLink8.xml.rels><?xml version="1.0" encoding="UTF-8" standalone="yes"?>
<Relationships xmlns="http://schemas.openxmlformats.org/package/2006/relationships">
<Relationship Id="rId1" Target="ER43/TechHW/Industry/CIO%20Surveys/CIO%20Survey%202012/Jul%202012%20Macro%20Charts.xls" TargetMode="External" Type="http://schemas.microsoft.com/office/2006/relationships/xlExternalLinkPath/xlAlternateStartup"/>
</Relationships>

</file>

<file path=xl/externalLinks/_rels/externalLink9.xml.rels><?xml version="1.0" encoding="UTF-8" standalone="yes"?>
<Relationships xmlns="http://schemas.openxmlformats.org/package/2006/relationships">
<Relationship Id="rId1" Target="ER43/TechHW/Industry/CIO%20Surveys/CIO%20Survey%202011/Jul2011%20CIO%20Survey_Macro%20Services_Charts.xls" TargetMode="External" Type="http://schemas.microsoft.com/office/2006/relationships/xlExternalLinkPath/xlAlternateStartup"/>
</Relationships>

</file>

<file path=xl/externalLinks/_rels/externalLink10.xml.rels><?xml version="1.0" encoding="UTF-8" standalone="yes"?>
<Relationships xmlns="http://schemas.openxmlformats.org/package/2006/relationships">
<Relationship Id="rId1" Target="ER43/TechHW/Industry/CIO%20Surveys/CIO%20Survey%202012/Jan%202012%20Hardware%20Charts.xls" TargetMode="External" Type="http://schemas.microsoft.com/office/2006/relationships/xlExternalLinkPath/xlAlternateStartup"/>
</Relationships>

</file>

<file path=xl/externalLinks/_rels/externalLink11.xml.rels><?xml version="1.0" encoding="UTF-8" standalone="yes"?>
<Relationships xmlns="http://schemas.openxmlformats.org/package/2006/relationships">
<Relationship Id="rId1" Target="ER43/TechHW/Industry/CIO%20Surveys/CIO%20Survey%202010/Oct2010%20CIO%20Survey%20Macro%20analysis.xls" TargetMode="External" Type="http://schemas.microsoft.com/office/2006/relationships/xlExternalLinkPath/xlAlternateStartup"/>
</Relationships>

</file>

<file path=xl/externalLinks/_rels/externalLink1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13.xml.rels><?xml version="1.0" encoding="UTF-8" standalone="yes"?>
<Relationships xmlns="http://schemas.openxmlformats.org/package/2006/relationships">
<Relationship Id="rId1" Target="SEMI%20CAP/Joe%20Files/RF%20Initiation/RF%20TAM%20Analysis.xls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#11"/>
      <sheetName val="#12"/>
      <sheetName val="#13"/>
      <sheetName val="#14"/>
      <sheetName val="#15"/>
      <sheetName val="DATASHEET"/>
      <sheetName val="Macro #2"/>
    </sheetNames>
    <sheetDataSet>
      <sheetData sheetId="0"/>
      <sheetData sheetId="1">
        <row r="1">
          <cell r="A1" t="str">
            <v>Morgan Stanley Hardware Survey - November 2011</v>
          </cell>
        </row>
        <row r="3">
          <cell r="A3" t="str">
            <v>2.  How do you expect your adoption of desktop virtualization to impact your PC, Server, Storage</v>
          </cell>
          <cell r="H3" t="str">
            <v>PCs</v>
          </cell>
          <cell r="I3" t="str">
            <v>Servers</v>
          </cell>
          <cell r="J3" t="str">
            <v>Networking</v>
          </cell>
          <cell r="O3" t="str">
            <v>EU</v>
          </cell>
          <cell r="P3" t="str">
            <v>PCs</v>
          </cell>
          <cell r="Q3" t="str">
            <v>Servers</v>
          </cell>
          <cell r="R3" t="str">
            <v>Networking</v>
          </cell>
        </row>
        <row r="4">
          <cell r="A4" t="str">
            <v xml:space="preserve"> Systems, and Networking spend to change? </v>
          </cell>
          <cell r="G4" t="str">
            <v>Up 11-20%</v>
          </cell>
          <cell r="H4">
            <v>2</v>
          </cell>
          <cell r="I4">
            <v>7</v>
          </cell>
          <cell r="J4">
            <v>3</v>
          </cell>
          <cell r="L4">
            <v>0.15</v>
          </cell>
          <cell r="O4" t="str">
            <v>Up 11-20%</v>
          </cell>
          <cell r="P4">
            <v>0</v>
          </cell>
          <cell r="Q4">
            <v>0</v>
          </cell>
          <cell r="R4">
            <v>0</v>
          </cell>
        </row>
        <row r="5">
          <cell r="G5" t="str">
            <v>Up 1-10%</v>
          </cell>
          <cell r="H5">
            <v>8</v>
          </cell>
          <cell r="I5">
            <v>8</v>
          </cell>
          <cell r="J5">
            <v>7</v>
          </cell>
          <cell r="L5">
            <v>0.05</v>
          </cell>
          <cell r="O5" t="str">
            <v>Up 1-10%</v>
          </cell>
          <cell r="P5">
            <v>2</v>
          </cell>
          <cell r="Q5">
            <v>5</v>
          </cell>
          <cell r="R5">
            <v>6</v>
          </cell>
        </row>
        <row r="6">
          <cell r="A6" t="str">
            <v>US / EU</v>
          </cell>
          <cell r="B6" t="str">
            <v>US</v>
          </cell>
          <cell r="D6" t="str">
            <v>US / EU</v>
          </cell>
          <cell r="E6" t="str">
            <v>US</v>
          </cell>
          <cell r="G6" t="str">
            <v>Flat</v>
          </cell>
          <cell r="H6">
            <v>16</v>
          </cell>
          <cell r="I6">
            <v>17</v>
          </cell>
          <cell r="J6">
            <v>27</v>
          </cell>
          <cell r="L6">
            <v>0</v>
          </cell>
          <cell r="O6" t="str">
            <v>Flat</v>
          </cell>
          <cell r="P6">
            <v>8</v>
          </cell>
          <cell r="Q6">
            <v>9</v>
          </cell>
          <cell r="R6">
            <v>9</v>
          </cell>
        </row>
        <row r="7">
          <cell r="A7" t="str">
            <v>Industry</v>
          </cell>
          <cell r="B7" t="str">
            <v>(All)</v>
          </cell>
          <cell r="D7" t="str">
            <v>Industry</v>
          </cell>
          <cell r="E7" t="str">
            <v>(All)</v>
          </cell>
          <cell r="G7" t="str">
            <v>Down 1-10%</v>
          </cell>
          <cell r="H7">
            <v>13</v>
          </cell>
          <cell r="I7">
            <v>15</v>
          </cell>
          <cell r="J7">
            <v>9</v>
          </cell>
          <cell r="L7">
            <v>-0.05</v>
          </cell>
          <cell r="O7" t="str">
            <v>Down 1-10%</v>
          </cell>
          <cell r="P7">
            <v>7</v>
          </cell>
          <cell r="Q7">
            <v>5</v>
          </cell>
          <cell r="R7">
            <v>6</v>
          </cell>
        </row>
        <row r="8">
          <cell r="A8" t="str">
            <v>Revenue</v>
          </cell>
          <cell r="B8" t="str">
            <v>(All)</v>
          </cell>
          <cell r="D8" t="str">
            <v>Revenue</v>
          </cell>
          <cell r="E8" t="str">
            <v>(All)</v>
          </cell>
          <cell r="G8" t="str">
            <v>Down 11-20%</v>
          </cell>
          <cell r="H8">
            <v>8</v>
          </cell>
          <cell r="I8">
            <v>2</v>
          </cell>
          <cell r="J8">
            <v>3</v>
          </cell>
          <cell r="L8">
            <v>-0.15</v>
          </cell>
          <cell r="O8" t="str">
            <v>Down 11-20%</v>
          </cell>
          <cell r="P8">
            <v>3</v>
          </cell>
          <cell r="Q8">
            <v>2</v>
          </cell>
          <cell r="R8">
            <v>1</v>
          </cell>
        </row>
        <row r="9">
          <cell r="G9" t="str">
            <v>NA / Unsure</v>
          </cell>
          <cell r="H9">
            <v>3</v>
          </cell>
          <cell r="I9">
            <v>1</v>
          </cell>
          <cell r="J9">
            <v>1</v>
          </cell>
          <cell r="O9" t="str">
            <v>NA / Unsure</v>
          </cell>
          <cell r="P9">
            <v>5</v>
          </cell>
          <cell r="Q9">
            <v>4</v>
          </cell>
          <cell r="R9">
            <v>3</v>
          </cell>
        </row>
        <row r="10">
          <cell r="A10" t="str">
            <v>Count of 2 PCs</v>
          </cell>
          <cell r="D10" t="str">
            <v>Count of 2 Servers</v>
          </cell>
        </row>
        <row r="11">
          <cell r="A11" t="str">
            <v>2 PCs</v>
          </cell>
          <cell r="B11" t="str">
            <v>Total</v>
          </cell>
          <cell r="D11" t="str">
            <v>2 Servers</v>
          </cell>
          <cell r="E11" t="str">
            <v>Total</v>
          </cell>
          <cell r="P11" t="str">
            <v>PCs</v>
          </cell>
          <cell r="Q11" t="str">
            <v>Servers</v>
          </cell>
          <cell r="R11" t="str">
            <v>Networking</v>
          </cell>
        </row>
        <row r="12">
          <cell r="A12" t="str">
            <v>Up 11-20%</v>
          </cell>
          <cell r="B12">
            <v>2</v>
          </cell>
          <cell r="D12" t="str">
            <v>Up 11-20%</v>
          </cell>
          <cell r="E12">
            <v>7</v>
          </cell>
          <cell r="H12" t="str">
            <v>PCs</v>
          </cell>
          <cell r="I12" t="str">
            <v>Servers</v>
          </cell>
          <cell r="J12" t="str">
            <v>Networking</v>
          </cell>
          <cell r="O12" t="str">
            <v>Up</v>
          </cell>
          <cell r="P12">
            <v>0.1</v>
          </cell>
          <cell r="Q12">
            <v>0.23809523809523808</v>
          </cell>
          <cell r="R12">
            <v>0.27272727272727271</v>
          </cell>
        </row>
        <row r="13">
          <cell r="A13" t="str">
            <v>Up 1-10%</v>
          </cell>
          <cell r="B13">
            <v>8</v>
          </cell>
          <cell r="D13" t="str">
            <v>Up 1-10%</v>
          </cell>
          <cell r="E13">
            <v>8</v>
          </cell>
          <cell r="G13" t="str">
            <v>Up</v>
          </cell>
          <cell r="H13">
            <v>0.21276595744680851</v>
          </cell>
          <cell r="I13">
            <v>0.30612244897959184</v>
          </cell>
          <cell r="J13">
            <v>0.20408163265306123</v>
          </cell>
          <cell r="O13" t="str">
            <v>Flat</v>
          </cell>
          <cell r="P13">
            <v>0.4</v>
          </cell>
          <cell r="Q13">
            <v>0.42857142857142855</v>
          </cell>
          <cell r="R13">
            <v>0.40909090909090912</v>
          </cell>
        </row>
        <row r="14">
          <cell r="A14" t="str">
            <v>Flat</v>
          </cell>
          <cell r="B14">
            <v>16</v>
          </cell>
          <cell r="D14" t="str">
            <v>Flat</v>
          </cell>
          <cell r="E14">
            <v>17</v>
          </cell>
          <cell r="G14" t="str">
            <v>Flat</v>
          </cell>
          <cell r="H14">
            <v>0.34042553191489361</v>
          </cell>
          <cell r="I14">
            <v>0.34693877551020408</v>
          </cell>
          <cell r="J14">
            <v>0.55102040816326525</v>
          </cell>
          <cell r="O14" t="str">
            <v>Down</v>
          </cell>
          <cell r="P14">
            <v>-0.5</v>
          </cell>
          <cell r="Q14">
            <v>-0.33333333333333331</v>
          </cell>
          <cell r="R14">
            <v>-0.31818181818181818</v>
          </cell>
        </row>
        <row r="15">
          <cell r="A15" t="str">
            <v>Down 1-10%</v>
          </cell>
          <cell r="B15">
            <v>13</v>
          </cell>
          <cell r="D15" t="str">
            <v>Down 1-10%</v>
          </cell>
          <cell r="E15">
            <v>15</v>
          </cell>
          <cell r="G15" t="str">
            <v>Down</v>
          </cell>
          <cell r="H15">
            <v>-0.44680851063829785</v>
          </cell>
          <cell r="I15">
            <v>-0.34693877551020408</v>
          </cell>
          <cell r="J15">
            <v>-0.24489795918367346</v>
          </cell>
        </row>
        <row r="16">
          <cell r="A16" t="str">
            <v>Down 11-20%</v>
          </cell>
          <cell r="B16">
            <v>8</v>
          </cell>
          <cell r="D16" t="str">
            <v>Down 11-20%</v>
          </cell>
          <cell r="E16">
            <v>2</v>
          </cell>
          <cell r="P16">
            <v>-0.4</v>
          </cell>
          <cell r="Q16">
            <v>-9.5238095238095233E-2</v>
          </cell>
          <cell r="R16">
            <v>-4.545454545454547E-2</v>
          </cell>
        </row>
        <row r="17">
          <cell r="A17" t="str">
            <v>NA / Unsure</v>
          </cell>
          <cell r="B17">
            <v>3</v>
          </cell>
          <cell r="D17" t="str">
            <v>NA / Unsure</v>
          </cell>
          <cell r="E17">
            <v>1</v>
          </cell>
          <cell r="G17" t="str">
            <v>Net Up</v>
          </cell>
        </row>
        <row r="18">
          <cell r="A18" t="str">
            <v>Grand Total</v>
          </cell>
          <cell r="B18">
            <v>50</v>
          </cell>
          <cell r="D18" t="str">
            <v>Grand Total</v>
          </cell>
          <cell r="E18">
            <v>50</v>
          </cell>
          <cell r="G18" t="str">
            <v>Oct 10 Survey</v>
          </cell>
          <cell r="H18">
            <v>-0.23684210526315788</v>
          </cell>
          <cell r="I18">
            <v>7.4999999999999997E-2</v>
          </cell>
          <cell r="J18">
            <v>0.29729729729729731</v>
          </cell>
        </row>
        <row r="19">
          <cell r="G19" t="str">
            <v>Jan 11 Survey</v>
          </cell>
          <cell r="H19">
            <v>-0.19047619047619049</v>
          </cell>
          <cell r="I19">
            <v>0</v>
          </cell>
          <cell r="J19">
            <v>0.13953488372093023</v>
          </cell>
        </row>
        <row r="20">
          <cell r="A20" t="str">
            <v>US / EU</v>
          </cell>
          <cell r="B20" t="str">
            <v>US</v>
          </cell>
          <cell r="D20" t="str">
            <v>US / EU</v>
          </cell>
          <cell r="E20" t="str">
            <v>US</v>
          </cell>
          <cell r="G20" t="str">
            <v>Apr 11 Survey</v>
          </cell>
          <cell r="H20">
            <v>-0.14285714285714282</v>
          </cell>
          <cell r="I20">
            <v>6.1224489795918324E-2</v>
          </cell>
          <cell r="J20">
            <v>6.122448979591838E-2</v>
          </cell>
        </row>
        <row r="21">
          <cell r="A21" t="str">
            <v>Industry</v>
          </cell>
          <cell r="B21" t="str">
            <v>(All)</v>
          </cell>
          <cell r="D21" t="str">
            <v>Industry</v>
          </cell>
          <cell r="E21" t="str">
            <v>(All)</v>
          </cell>
          <cell r="G21" t="str">
            <v>Jul 11 Survey</v>
          </cell>
          <cell r="H21">
            <v>-0.25</v>
          </cell>
          <cell r="I21">
            <v>4.166666666666663E-2</v>
          </cell>
          <cell r="J21">
            <v>-2.0833333333333343E-2</v>
          </cell>
        </row>
        <row r="22">
          <cell r="A22" t="str">
            <v>Revenue</v>
          </cell>
          <cell r="B22" t="str">
            <v>(All)</v>
          </cell>
          <cell r="D22" t="str">
            <v>Revenue</v>
          </cell>
          <cell r="E22" t="str">
            <v>(All)</v>
          </cell>
          <cell r="G22" t="str">
            <v>Oct 11 Survey</v>
          </cell>
          <cell r="H22">
            <v>-0.23404255319148934</v>
          </cell>
          <cell r="I22">
            <v>-4.0816326530612235E-2</v>
          </cell>
          <cell r="J22">
            <v>-4.0816326530612235E-2</v>
          </cell>
        </row>
        <row r="24">
          <cell r="A24" t="str">
            <v>Count of 2 Storage</v>
          </cell>
          <cell r="D24" t="str">
            <v>Count of 2 Networking</v>
          </cell>
        </row>
        <row r="25">
          <cell r="A25" t="str">
            <v>2 Storage</v>
          </cell>
          <cell r="B25" t="str">
            <v>Total</v>
          </cell>
          <cell r="D25" t="str">
            <v>2 Networking</v>
          </cell>
          <cell r="E25" t="str">
            <v>Total</v>
          </cell>
        </row>
        <row r="26">
          <cell r="A26" t="str">
            <v>Up 11-20%</v>
          </cell>
          <cell r="B26">
            <v>5</v>
          </cell>
          <cell r="D26" t="str">
            <v>Up 11-20%</v>
          </cell>
          <cell r="E26">
            <v>3</v>
          </cell>
        </row>
        <row r="27">
          <cell r="A27" t="str">
            <v>Up 1-10%</v>
          </cell>
          <cell r="B27">
            <v>11</v>
          </cell>
          <cell r="D27" t="str">
            <v>Up 1-10%</v>
          </cell>
          <cell r="E27">
            <v>7</v>
          </cell>
        </row>
        <row r="28">
          <cell r="A28" t="str">
            <v>Flat</v>
          </cell>
          <cell r="B28">
            <v>13</v>
          </cell>
          <cell r="D28" t="str">
            <v>Flat</v>
          </cell>
          <cell r="E28">
            <v>27</v>
          </cell>
        </row>
        <row r="29">
          <cell r="A29" t="str">
            <v>Down 1-10%</v>
          </cell>
          <cell r="B29">
            <v>14</v>
          </cell>
          <cell r="D29" t="str">
            <v>Down 1-10%</v>
          </cell>
          <cell r="E29">
            <v>9</v>
          </cell>
        </row>
        <row r="30">
          <cell r="A30" t="str">
            <v>Down 11-20%</v>
          </cell>
          <cell r="B30">
            <v>5</v>
          </cell>
          <cell r="D30" t="str">
            <v>Down 11-20%</v>
          </cell>
          <cell r="E30">
            <v>3</v>
          </cell>
        </row>
        <row r="31">
          <cell r="A31" t="str">
            <v>NA / Unsure</v>
          </cell>
          <cell r="B31">
            <v>2</v>
          </cell>
          <cell r="D31" t="str">
            <v>NA / Unsure</v>
          </cell>
          <cell r="E31">
            <v>1</v>
          </cell>
        </row>
        <row r="32">
          <cell r="A32" t="str">
            <v>Grand Total</v>
          </cell>
          <cell r="B32">
            <v>50</v>
          </cell>
          <cell r="D32" t="str">
            <v>Grand Total</v>
          </cell>
          <cell r="E32">
            <v>50</v>
          </cell>
        </row>
      </sheetData>
      <sheetData sheetId="2">
        <row r="1">
          <cell r="A1" t="str">
            <v>Morgan Stanley Hardware Survey - November 2011</v>
          </cell>
        </row>
        <row r="3">
          <cell r="A3" t="str">
            <v>3.  How much of your PC installed base do you plan to refresh each quarter / year?</v>
          </cell>
        </row>
        <row r="4">
          <cell r="G4">
            <v>2011</v>
          </cell>
          <cell r="K4">
            <v>2012</v>
          </cell>
          <cell r="M4">
            <v>2013</v>
          </cell>
          <cell r="O4">
            <v>2014</v>
          </cell>
        </row>
        <row r="5">
          <cell r="A5" t="str">
            <v>US / EU</v>
          </cell>
          <cell r="B5" t="str">
            <v>US</v>
          </cell>
          <cell r="D5" t="str">
            <v>US / EU</v>
          </cell>
          <cell r="E5" t="str">
            <v>US</v>
          </cell>
          <cell r="G5" t="str">
            <v>3Q</v>
          </cell>
          <cell r="H5" t="str">
            <v>3Q</v>
          </cell>
          <cell r="I5" t="str">
            <v>4Q</v>
          </cell>
          <cell r="J5" t="str">
            <v>4Q</v>
          </cell>
        </row>
        <row r="6">
          <cell r="A6" t="str">
            <v>Industry</v>
          </cell>
          <cell r="B6" t="str">
            <v>(All)</v>
          </cell>
          <cell r="D6" t="str">
            <v>Industry</v>
          </cell>
          <cell r="E6" t="str">
            <v>(All)</v>
          </cell>
          <cell r="G6">
            <v>25</v>
          </cell>
          <cell r="H6">
            <v>1</v>
          </cell>
          <cell r="I6">
            <v>20</v>
          </cell>
          <cell r="J6">
            <v>2</v>
          </cell>
          <cell r="K6">
            <v>40</v>
          </cell>
          <cell r="L6">
            <v>1</v>
          </cell>
          <cell r="M6">
            <v>80</v>
          </cell>
          <cell r="N6">
            <v>1</v>
          </cell>
          <cell r="O6">
            <v>35</v>
          </cell>
          <cell r="P6">
            <v>1</v>
          </cell>
        </row>
        <row r="7">
          <cell r="A7" t="str">
            <v>Revenue</v>
          </cell>
          <cell r="B7" t="str">
            <v>(All)</v>
          </cell>
          <cell r="D7" t="str">
            <v>Revenue</v>
          </cell>
          <cell r="E7" t="str">
            <v>(All)</v>
          </cell>
          <cell r="G7">
            <v>22</v>
          </cell>
          <cell r="H7">
            <v>1</v>
          </cell>
          <cell r="I7">
            <v>17</v>
          </cell>
          <cell r="J7">
            <v>1</v>
          </cell>
          <cell r="K7">
            <v>35</v>
          </cell>
          <cell r="L7">
            <v>2</v>
          </cell>
          <cell r="M7">
            <v>40</v>
          </cell>
          <cell r="N7">
            <v>1</v>
          </cell>
          <cell r="O7">
            <v>30</v>
          </cell>
          <cell r="P7">
            <v>5</v>
          </cell>
        </row>
        <row r="8">
          <cell r="G8">
            <v>20</v>
          </cell>
          <cell r="H8">
            <v>1</v>
          </cell>
          <cell r="I8">
            <v>15</v>
          </cell>
          <cell r="J8">
            <v>4</v>
          </cell>
          <cell r="K8">
            <v>33</v>
          </cell>
          <cell r="L8">
            <v>2</v>
          </cell>
          <cell r="M8">
            <v>35</v>
          </cell>
          <cell r="N8">
            <v>3</v>
          </cell>
          <cell r="O8">
            <v>25</v>
          </cell>
          <cell r="P8">
            <v>21</v>
          </cell>
        </row>
        <row r="9">
          <cell r="A9" t="str">
            <v>Count of 3 PC Refresh 3Q11</v>
          </cell>
          <cell r="D9" t="str">
            <v>Count of 3 PC Refresh 4Q11</v>
          </cell>
          <cell r="G9">
            <v>17</v>
          </cell>
          <cell r="H9">
            <v>1</v>
          </cell>
          <cell r="I9">
            <v>12</v>
          </cell>
          <cell r="J9">
            <v>1</v>
          </cell>
          <cell r="K9">
            <v>30</v>
          </cell>
          <cell r="L9">
            <v>6</v>
          </cell>
          <cell r="M9">
            <v>30</v>
          </cell>
          <cell r="N9">
            <v>4</v>
          </cell>
          <cell r="O9">
            <v>20</v>
          </cell>
          <cell r="P9">
            <v>9</v>
          </cell>
        </row>
        <row r="10">
          <cell r="A10" t="str">
            <v>3 PC Refresh 3Q11</v>
          </cell>
          <cell r="B10" t="str">
            <v>Total</v>
          </cell>
          <cell r="D10" t="str">
            <v>3 PC Refresh 4Q11</v>
          </cell>
          <cell r="E10" t="str">
            <v>Total</v>
          </cell>
          <cell r="G10">
            <v>15</v>
          </cell>
          <cell r="H10">
            <v>6</v>
          </cell>
          <cell r="I10">
            <v>10</v>
          </cell>
          <cell r="J10">
            <v>13</v>
          </cell>
          <cell r="K10">
            <v>25</v>
          </cell>
          <cell r="L10">
            <v>15</v>
          </cell>
          <cell r="M10">
            <v>25</v>
          </cell>
          <cell r="N10">
            <v>22</v>
          </cell>
          <cell r="O10">
            <v>15</v>
          </cell>
          <cell r="P10">
            <v>4</v>
          </cell>
        </row>
        <row r="11">
          <cell r="A11">
            <v>25</v>
          </cell>
          <cell r="B11">
            <v>1</v>
          </cell>
          <cell r="D11">
            <v>20</v>
          </cell>
          <cell r="E11">
            <v>2</v>
          </cell>
          <cell r="G11">
            <v>13</v>
          </cell>
          <cell r="H11">
            <v>1</v>
          </cell>
          <cell r="I11">
            <v>8</v>
          </cell>
          <cell r="J11">
            <v>1</v>
          </cell>
          <cell r="K11">
            <v>22</v>
          </cell>
          <cell r="L11">
            <v>1</v>
          </cell>
          <cell r="M11">
            <v>20</v>
          </cell>
          <cell r="N11">
            <v>11</v>
          </cell>
          <cell r="O11">
            <v>10</v>
          </cell>
          <cell r="P11">
            <v>2</v>
          </cell>
        </row>
        <row r="12">
          <cell r="A12">
            <v>22</v>
          </cell>
          <cell r="B12">
            <v>1</v>
          </cell>
          <cell r="D12">
            <v>17</v>
          </cell>
          <cell r="E12">
            <v>1</v>
          </cell>
          <cell r="G12">
            <v>12</v>
          </cell>
          <cell r="H12">
            <v>3</v>
          </cell>
          <cell r="I12">
            <v>7</v>
          </cell>
          <cell r="J12">
            <v>1</v>
          </cell>
          <cell r="K12">
            <v>20</v>
          </cell>
          <cell r="L12">
            <v>13</v>
          </cell>
          <cell r="M12">
            <v>15</v>
          </cell>
          <cell r="N12">
            <v>4</v>
          </cell>
          <cell r="O12">
            <v>0</v>
          </cell>
          <cell r="P12">
            <v>1</v>
          </cell>
        </row>
        <row r="13">
          <cell r="A13">
            <v>20</v>
          </cell>
          <cell r="B13">
            <v>1</v>
          </cell>
          <cell r="D13">
            <v>15</v>
          </cell>
          <cell r="E13">
            <v>4</v>
          </cell>
          <cell r="G13">
            <v>10</v>
          </cell>
          <cell r="H13">
            <v>11</v>
          </cell>
          <cell r="I13">
            <v>5</v>
          </cell>
          <cell r="J13">
            <v>9</v>
          </cell>
          <cell r="K13">
            <v>15</v>
          </cell>
          <cell r="L13">
            <v>6</v>
          </cell>
          <cell r="M13">
            <v>10</v>
          </cell>
          <cell r="N13">
            <v>1</v>
          </cell>
        </row>
        <row r="14">
          <cell r="A14">
            <v>17</v>
          </cell>
          <cell r="B14">
            <v>1</v>
          </cell>
          <cell r="D14">
            <v>12</v>
          </cell>
          <cell r="E14">
            <v>1</v>
          </cell>
          <cell r="G14">
            <v>7</v>
          </cell>
          <cell r="H14">
            <v>1</v>
          </cell>
          <cell r="I14">
            <v>3</v>
          </cell>
          <cell r="J14">
            <v>1</v>
          </cell>
          <cell r="K14">
            <v>12</v>
          </cell>
          <cell r="L14">
            <v>1</v>
          </cell>
          <cell r="M14">
            <v>0</v>
          </cell>
          <cell r="N14">
            <v>1</v>
          </cell>
        </row>
        <row r="15">
          <cell r="A15">
            <v>15</v>
          </cell>
          <cell r="B15">
            <v>6</v>
          </cell>
          <cell r="D15">
            <v>10</v>
          </cell>
          <cell r="E15">
            <v>13</v>
          </cell>
          <cell r="G15">
            <v>5</v>
          </cell>
          <cell r="H15">
            <v>8</v>
          </cell>
          <cell r="I15">
            <v>0</v>
          </cell>
          <cell r="J15">
            <v>13</v>
          </cell>
          <cell r="K15">
            <v>10</v>
          </cell>
          <cell r="L15">
            <v>2</v>
          </cell>
        </row>
        <row r="16">
          <cell r="A16">
            <v>13</v>
          </cell>
          <cell r="B16">
            <v>1</v>
          </cell>
          <cell r="D16">
            <v>8</v>
          </cell>
          <cell r="E16">
            <v>1</v>
          </cell>
          <cell r="G16">
            <v>3</v>
          </cell>
          <cell r="H16">
            <v>1</v>
          </cell>
          <cell r="K16">
            <v>5</v>
          </cell>
          <cell r="L16">
            <v>1</v>
          </cell>
        </row>
        <row r="17">
          <cell r="A17">
            <v>12</v>
          </cell>
          <cell r="B17">
            <v>3</v>
          </cell>
          <cell r="D17">
            <v>7</v>
          </cell>
          <cell r="E17">
            <v>1</v>
          </cell>
          <cell r="G17">
            <v>0</v>
          </cell>
          <cell r="H17">
            <v>11</v>
          </cell>
        </row>
        <row r="18">
          <cell r="A18">
            <v>10</v>
          </cell>
          <cell r="B18">
            <v>11</v>
          </cell>
          <cell r="D18">
            <v>5</v>
          </cell>
          <cell r="E18">
            <v>9</v>
          </cell>
        </row>
        <row r="19">
          <cell r="A19">
            <v>7</v>
          </cell>
          <cell r="B19">
            <v>1</v>
          </cell>
          <cell r="D19">
            <v>3</v>
          </cell>
          <cell r="E19">
            <v>1</v>
          </cell>
        </row>
        <row r="20">
          <cell r="A20">
            <v>5</v>
          </cell>
          <cell r="B20">
            <v>8</v>
          </cell>
          <cell r="D20">
            <v>0</v>
          </cell>
          <cell r="E20">
            <v>13</v>
          </cell>
        </row>
        <row r="21">
          <cell r="A21">
            <v>3</v>
          </cell>
          <cell r="B21">
            <v>1</v>
          </cell>
          <cell r="D21" t="str">
            <v>NA / DK</v>
          </cell>
          <cell r="E21">
            <v>4</v>
          </cell>
        </row>
        <row r="22">
          <cell r="A22">
            <v>0</v>
          </cell>
          <cell r="B22">
            <v>11</v>
          </cell>
          <cell r="D22" t="str">
            <v>Grand Total</v>
          </cell>
          <cell r="E22">
            <v>50</v>
          </cell>
          <cell r="I22">
            <v>2011</v>
          </cell>
          <cell r="J22">
            <v>2012</v>
          </cell>
          <cell r="K22">
            <v>2013</v>
          </cell>
          <cell r="L22">
            <v>2014</v>
          </cell>
          <cell r="O22" t="str">
            <v>In the next 2 years</v>
          </cell>
        </row>
        <row r="23">
          <cell r="A23" t="str">
            <v>NA / DK</v>
          </cell>
          <cell r="B23">
            <v>4</v>
          </cell>
          <cell r="H23" t="str">
            <v>Feb 10 Survey</v>
          </cell>
          <cell r="I23">
            <v>0.28079999999999999</v>
          </cell>
          <cell r="J23">
            <v>0.2828</v>
          </cell>
          <cell r="N23" t="str">
            <v>Feb 10 Survey</v>
          </cell>
          <cell r="O23">
            <v>0.28179999999999999</v>
          </cell>
        </row>
        <row r="24">
          <cell r="A24" t="str">
            <v>Grand Total</v>
          </cell>
          <cell r="B24">
            <v>50</v>
          </cell>
          <cell r="H24" t="str">
            <v>Oct 10 Survey</v>
          </cell>
          <cell r="I24">
            <v>0.21379999999999999</v>
          </cell>
          <cell r="J24">
            <v>0.23583333333333331</v>
          </cell>
          <cell r="N24" t="str">
            <v>Jan 11 Survey</v>
          </cell>
          <cell r="O24">
            <v>0.24299999999999999</v>
          </cell>
        </row>
        <row r="25">
          <cell r="H25" t="str">
            <v>Jan 11 Survey</v>
          </cell>
          <cell r="I25">
            <v>0.18739999999999998</v>
          </cell>
          <cell r="J25">
            <v>0.23600000000000002</v>
          </cell>
          <cell r="K25">
            <v>0.25</v>
          </cell>
          <cell r="N25" t="str">
            <v>Oct 11 Survey</v>
          </cell>
          <cell r="O25">
            <v>0.23743750000000002</v>
          </cell>
        </row>
        <row r="26">
          <cell r="H26" t="str">
            <v>Apr 11 Survey</v>
          </cell>
          <cell r="I26">
            <v>0.23025999999999999</v>
          </cell>
          <cell r="J26">
            <v>0.24308000000000005</v>
          </cell>
          <cell r="K26">
            <v>0.23085999999999998</v>
          </cell>
        </row>
        <row r="27">
          <cell r="H27" t="str">
            <v>Oct 11 Survey</v>
          </cell>
          <cell r="I27">
            <v>0.15326086956521739</v>
          </cell>
          <cell r="J27">
            <v>0.22800000000000001</v>
          </cell>
          <cell r="K27">
            <v>0.24687500000000001</v>
          </cell>
          <cell r="L27">
            <v>0.22558139534883723</v>
          </cell>
        </row>
        <row r="28">
          <cell r="D28" t="str">
            <v>US / EU</v>
          </cell>
          <cell r="E28" t="str">
            <v>US</v>
          </cell>
        </row>
        <row r="29">
          <cell r="A29" t="str">
            <v>US / EU</v>
          </cell>
          <cell r="B29" t="str">
            <v>US</v>
          </cell>
          <cell r="D29" t="str">
            <v>Industry</v>
          </cell>
          <cell r="E29" t="str">
            <v>(All)</v>
          </cell>
        </row>
        <row r="30">
          <cell r="A30" t="str">
            <v>Industry</v>
          </cell>
          <cell r="B30" t="str">
            <v>(All)</v>
          </cell>
          <cell r="D30" t="str">
            <v>Revenue</v>
          </cell>
          <cell r="E30" t="str">
            <v>(All)</v>
          </cell>
        </row>
        <row r="31">
          <cell r="A31" t="str">
            <v>Revenue</v>
          </cell>
          <cell r="B31" t="str">
            <v>(All)</v>
          </cell>
        </row>
        <row r="32">
          <cell r="D32" t="str">
            <v>Count of 3 PC Refresh 2013</v>
          </cell>
        </row>
        <row r="33">
          <cell r="A33" t="str">
            <v>Count of 3 PC Refresh 2012</v>
          </cell>
          <cell r="D33" t="str">
            <v>3 PC Refresh 2013</v>
          </cell>
          <cell r="E33" t="str">
            <v>Total</v>
          </cell>
        </row>
        <row r="34">
          <cell r="A34" t="str">
            <v>3 PC Refresh 2012</v>
          </cell>
          <cell r="B34" t="str">
            <v>Total</v>
          </cell>
          <cell r="D34">
            <v>80</v>
          </cell>
          <cell r="E34">
            <v>1</v>
          </cell>
        </row>
        <row r="35">
          <cell r="A35">
            <v>40</v>
          </cell>
          <cell r="B35">
            <v>1</v>
          </cell>
          <cell r="D35">
            <v>40</v>
          </cell>
          <cell r="E35">
            <v>1</v>
          </cell>
        </row>
        <row r="36">
          <cell r="A36">
            <v>35</v>
          </cell>
          <cell r="B36">
            <v>2</v>
          </cell>
          <cell r="D36">
            <v>35</v>
          </cell>
          <cell r="E36">
            <v>3</v>
          </cell>
        </row>
        <row r="37">
          <cell r="A37">
            <v>33</v>
          </cell>
          <cell r="B37">
            <v>2</v>
          </cell>
          <cell r="D37">
            <v>30</v>
          </cell>
          <cell r="E37">
            <v>4</v>
          </cell>
        </row>
        <row r="38">
          <cell r="A38">
            <v>30</v>
          </cell>
          <cell r="B38">
            <v>6</v>
          </cell>
          <cell r="D38">
            <v>25</v>
          </cell>
          <cell r="E38">
            <v>22</v>
          </cell>
        </row>
        <row r="39">
          <cell r="A39">
            <v>25</v>
          </cell>
          <cell r="B39">
            <v>15</v>
          </cell>
          <cell r="D39">
            <v>20</v>
          </cell>
          <cell r="E39">
            <v>11</v>
          </cell>
        </row>
        <row r="40">
          <cell r="A40">
            <v>22</v>
          </cell>
          <cell r="B40">
            <v>1</v>
          </cell>
          <cell r="D40">
            <v>15</v>
          </cell>
          <cell r="E40">
            <v>4</v>
          </cell>
        </row>
        <row r="41">
          <cell r="A41">
            <v>20</v>
          </cell>
          <cell r="B41">
            <v>13</v>
          </cell>
          <cell r="D41">
            <v>10</v>
          </cell>
          <cell r="E41">
            <v>1</v>
          </cell>
        </row>
        <row r="42">
          <cell r="A42">
            <v>15</v>
          </cell>
          <cell r="B42">
            <v>6</v>
          </cell>
          <cell r="D42">
            <v>0</v>
          </cell>
          <cell r="E42">
            <v>1</v>
          </cell>
        </row>
        <row r="43">
          <cell r="A43">
            <v>12</v>
          </cell>
          <cell r="B43">
            <v>1</v>
          </cell>
          <cell r="D43" t="str">
            <v>NA / DK</v>
          </cell>
          <cell r="E43">
            <v>2</v>
          </cell>
        </row>
        <row r="44">
          <cell r="A44">
            <v>10</v>
          </cell>
          <cell r="B44">
            <v>2</v>
          </cell>
          <cell r="D44" t="str">
            <v>Grand Total</v>
          </cell>
          <cell r="E44">
            <v>50</v>
          </cell>
        </row>
        <row r="45">
          <cell r="A45">
            <v>5</v>
          </cell>
          <cell r="B45">
            <v>1</v>
          </cell>
        </row>
        <row r="46">
          <cell r="A46" t="str">
            <v>Grand Total</v>
          </cell>
          <cell r="B46">
            <v>50</v>
          </cell>
        </row>
        <row r="48">
          <cell r="A48" t="str">
            <v>US / EU</v>
          </cell>
          <cell r="B48" t="str">
            <v>US</v>
          </cell>
        </row>
        <row r="49">
          <cell r="A49" t="str">
            <v>Industry</v>
          </cell>
          <cell r="B49" t="str">
            <v>(All)</v>
          </cell>
        </row>
        <row r="50">
          <cell r="A50" t="str">
            <v>Revenue</v>
          </cell>
          <cell r="B50" t="str">
            <v>(All)</v>
          </cell>
        </row>
        <row r="52">
          <cell r="A52" t="str">
            <v>Count of 3 PC Refresh 2014</v>
          </cell>
        </row>
        <row r="53">
          <cell r="A53" t="str">
            <v>3 PC Refresh 2014</v>
          </cell>
          <cell r="B53" t="str">
            <v>Total</v>
          </cell>
        </row>
        <row r="54">
          <cell r="A54">
            <v>35</v>
          </cell>
          <cell r="B54">
            <v>1</v>
          </cell>
        </row>
        <row r="55">
          <cell r="A55">
            <v>30</v>
          </cell>
          <cell r="B55">
            <v>5</v>
          </cell>
        </row>
        <row r="56">
          <cell r="A56">
            <v>25</v>
          </cell>
          <cell r="B56">
            <v>21</v>
          </cell>
        </row>
        <row r="57">
          <cell r="A57">
            <v>20</v>
          </cell>
          <cell r="B57">
            <v>9</v>
          </cell>
        </row>
        <row r="58">
          <cell r="A58">
            <v>15</v>
          </cell>
          <cell r="B58">
            <v>4</v>
          </cell>
        </row>
        <row r="59">
          <cell r="A59">
            <v>10</v>
          </cell>
          <cell r="B59">
            <v>2</v>
          </cell>
        </row>
        <row r="60">
          <cell r="A60">
            <v>0</v>
          </cell>
          <cell r="B60">
            <v>1</v>
          </cell>
        </row>
        <row r="61">
          <cell r="A61" t="str">
            <v>NA / DK</v>
          </cell>
          <cell r="B61">
            <v>7</v>
          </cell>
        </row>
        <row r="62">
          <cell r="A62" t="str">
            <v>Grand Total</v>
          </cell>
          <cell r="B62">
            <v>50</v>
          </cell>
        </row>
      </sheetData>
      <sheetData sheetId="3">
        <row r="1">
          <cell r="A1" t="str">
            <v>Morgan Stanley Hardware Survey - November 2011</v>
          </cell>
        </row>
        <row r="3">
          <cell r="A3" t="str">
            <v>4.  Do you currently purchase tablets for corporate use? Do you allow employee owned tablets to</v>
          </cell>
        </row>
        <row r="4">
          <cell r="A4" t="str">
            <v xml:space="preserve"> access the company network?  What are your plans one year from now?</v>
          </cell>
        </row>
        <row r="6">
          <cell r="A6" t="str">
            <v>US / EU</v>
          </cell>
          <cell r="B6" t="str">
            <v>US</v>
          </cell>
          <cell r="D6" t="str">
            <v>US / EU</v>
          </cell>
          <cell r="E6" t="str">
            <v>US</v>
          </cell>
          <cell r="H6" t="str">
            <v>Currently</v>
          </cell>
          <cell r="L6" t="str">
            <v>In 1 Year</v>
          </cell>
        </row>
        <row r="7">
          <cell r="A7" t="str">
            <v>Industry</v>
          </cell>
          <cell r="B7" t="str">
            <v>(All)</v>
          </cell>
          <cell r="D7" t="str">
            <v>Industry</v>
          </cell>
          <cell r="E7" t="str">
            <v>(All)</v>
          </cell>
          <cell r="H7" t="str">
            <v>Jan 11 Survey</v>
          </cell>
          <cell r="I7" t="str">
            <v>Apr 11 Survey</v>
          </cell>
          <cell r="J7" t="str">
            <v>Jul 11 Survey</v>
          </cell>
          <cell r="K7" t="str">
            <v>Oct 11 Survey</v>
          </cell>
          <cell r="L7" t="str">
            <v>Jan 11 Survey</v>
          </cell>
          <cell r="M7" t="str">
            <v>Apr 11 Survey</v>
          </cell>
          <cell r="N7" t="str">
            <v>Jul 11 Survey</v>
          </cell>
          <cell r="O7" t="str">
            <v>Oct 11 Survey</v>
          </cell>
        </row>
        <row r="8">
          <cell r="A8" t="str">
            <v>Revenue</v>
          </cell>
          <cell r="B8" t="str">
            <v>(All)</v>
          </cell>
          <cell r="D8" t="str">
            <v>Revenue</v>
          </cell>
          <cell r="E8" t="str">
            <v>(All)</v>
          </cell>
          <cell r="G8" t="str">
            <v>Purchase for Employees</v>
          </cell>
          <cell r="H8">
            <v>0.21153846153846154</v>
          </cell>
          <cell r="I8">
            <v>0.31481481481481483</v>
          </cell>
          <cell r="J8">
            <v>0.44</v>
          </cell>
          <cell r="K8">
            <v>0.52</v>
          </cell>
          <cell r="L8">
            <v>0.50877192982456143</v>
          </cell>
          <cell r="M8">
            <v>0.4642857142857143</v>
          </cell>
          <cell r="N8">
            <v>0.54</v>
          </cell>
          <cell r="O8">
            <v>0.6</v>
          </cell>
        </row>
        <row r="9">
          <cell r="G9" t="str">
            <v>Allow Employee-Owned Tablet on Network</v>
          </cell>
          <cell r="H9">
            <v>7.6923076923076927E-2</v>
          </cell>
          <cell r="I9">
            <v>0.29629629629629628</v>
          </cell>
          <cell r="J9">
            <v>0.36</v>
          </cell>
          <cell r="K9">
            <v>0.4</v>
          </cell>
          <cell r="L9">
            <v>0.15789473684210525</v>
          </cell>
          <cell r="M9">
            <v>0.32142857142857145</v>
          </cell>
          <cell r="N9">
            <v>0.54</v>
          </cell>
          <cell r="O9">
            <v>0.62</v>
          </cell>
        </row>
        <row r="10">
          <cell r="A10" t="str">
            <v>Count of 4 Currently - Purchase for % Employees</v>
          </cell>
          <cell r="D10" t="str">
            <v>Count of 4 In 1 Year - Purchase for % Employees</v>
          </cell>
        </row>
        <row r="11">
          <cell r="A11" t="str">
            <v>4 Currently - Purchase for % Employees</v>
          </cell>
          <cell r="B11" t="str">
            <v>Total</v>
          </cell>
          <cell r="D11" t="str">
            <v>4 In 1 Year - Purchase for % Employees</v>
          </cell>
          <cell r="E11" t="str">
            <v>Total</v>
          </cell>
        </row>
        <row r="12">
          <cell r="A12">
            <v>30</v>
          </cell>
          <cell r="B12">
            <v>1</v>
          </cell>
          <cell r="D12">
            <v>50</v>
          </cell>
          <cell r="E12">
            <v>3</v>
          </cell>
        </row>
        <row r="13">
          <cell r="A13">
            <v>25</v>
          </cell>
          <cell r="B13">
            <v>2</v>
          </cell>
          <cell r="D13">
            <v>35</v>
          </cell>
          <cell r="E13">
            <v>1</v>
          </cell>
        </row>
        <row r="14">
          <cell r="A14">
            <v>20</v>
          </cell>
          <cell r="B14">
            <v>1</v>
          </cell>
          <cell r="D14">
            <v>25</v>
          </cell>
          <cell r="E14">
            <v>2</v>
          </cell>
        </row>
        <row r="15">
          <cell r="A15">
            <v>15</v>
          </cell>
          <cell r="B15">
            <v>1</v>
          </cell>
          <cell r="D15">
            <v>23</v>
          </cell>
          <cell r="E15">
            <v>1</v>
          </cell>
        </row>
        <row r="16">
          <cell r="A16">
            <v>13</v>
          </cell>
          <cell r="B16">
            <v>1</v>
          </cell>
          <cell r="D16">
            <v>20</v>
          </cell>
          <cell r="E16">
            <v>1</v>
          </cell>
        </row>
        <row r="17">
          <cell r="A17">
            <v>12</v>
          </cell>
          <cell r="B17">
            <v>1</v>
          </cell>
          <cell r="D17">
            <v>15</v>
          </cell>
          <cell r="E17">
            <v>4</v>
          </cell>
        </row>
        <row r="18">
          <cell r="A18">
            <v>10</v>
          </cell>
          <cell r="B18">
            <v>6</v>
          </cell>
          <cell r="D18">
            <v>10</v>
          </cell>
          <cell r="E18">
            <v>7</v>
          </cell>
        </row>
        <row r="19">
          <cell r="A19">
            <v>7</v>
          </cell>
          <cell r="B19">
            <v>1</v>
          </cell>
          <cell r="D19">
            <v>5</v>
          </cell>
          <cell r="E19">
            <v>7</v>
          </cell>
        </row>
        <row r="20">
          <cell r="A20">
            <v>5</v>
          </cell>
          <cell r="B20">
            <v>6</v>
          </cell>
          <cell r="D20">
            <v>3</v>
          </cell>
          <cell r="E20">
            <v>2</v>
          </cell>
        </row>
        <row r="21">
          <cell r="A21">
            <v>3</v>
          </cell>
          <cell r="B21">
            <v>1</v>
          </cell>
          <cell r="D21">
            <v>2.5</v>
          </cell>
          <cell r="E21">
            <v>1</v>
          </cell>
        </row>
        <row r="22">
          <cell r="A22">
            <v>2</v>
          </cell>
          <cell r="B22">
            <v>1</v>
          </cell>
          <cell r="D22">
            <v>1</v>
          </cell>
          <cell r="E22">
            <v>1</v>
          </cell>
        </row>
        <row r="23">
          <cell r="A23">
            <v>1</v>
          </cell>
          <cell r="B23">
            <v>4</v>
          </cell>
          <cell r="D23">
            <v>0</v>
          </cell>
          <cell r="E23">
            <v>20</v>
          </cell>
        </row>
        <row r="24">
          <cell r="A24">
            <v>0</v>
          </cell>
          <cell r="B24">
            <v>24</v>
          </cell>
          <cell r="D24" t="str">
            <v>Grand Total</v>
          </cell>
          <cell r="E24">
            <v>50</v>
          </cell>
        </row>
        <row r="25">
          <cell r="A25" t="str">
            <v>Grand Total</v>
          </cell>
          <cell r="B25">
            <v>50</v>
          </cell>
        </row>
        <row r="27">
          <cell r="B27" t="str">
            <v>Response</v>
          </cell>
        </row>
        <row r="28">
          <cell r="A28" t="str">
            <v>Currently allow employee owned tablets</v>
          </cell>
          <cell r="B28">
            <v>20</v>
          </cell>
        </row>
        <row r="29">
          <cell r="A29" t="str">
            <v>Allow employee owned tablets in 1 year</v>
          </cell>
          <cell r="B29">
            <v>31</v>
          </cell>
        </row>
      </sheetData>
      <sheetData sheetId="4"/>
      <sheetData sheetId="5">
        <row r="1">
          <cell r="A1" t="str">
            <v>Morgan Stanley Hardware Survey - November 2011</v>
          </cell>
        </row>
        <row r="2">
          <cell r="A2" t="str">
            <v xml:space="preserve"> </v>
          </cell>
        </row>
        <row r="3">
          <cell r="A3" t="str">
            <v>6.  How do you expect your adoption of server virtualization to impact your PC, Server, Storage Systems,</v>
          </cell>
          <cell r="S3" t="str">
            <v>EU</v>
          </cell>
          <cell r="T3" t="str">
            <v>Servers</v>
          </cell>
          <cell r="U3" t="str">
            <v>Storage</v>
          </cell>
          <cell r="V3" t="str">
            <v>Networking</v>
          </cell>
        </row>
        <row r="4">
          <cell r="A4" t="str">
            <v xml:space="preserve"> and Networking spend to change? </v>
          </cell>
          <cell r="S4" t="str">
            <v>Spend More</v>
          </cell>
          <cell r="T4">
            <v>3</v>
          </cell>
          <cell r="U4">
            <v>9</v>
          </cell>
          <cell r="V4">
            <v>0</v>
          </cell>
        </row>
        <row r="5">
          <cell r="S5" t="str">
            <v>Spend Same</v>
          </cell>
          <cell r="T5">
            <v>9</v>
          </cell>
          <cell r="U5">
            <v>9</v>
          </cell>
          <cell r="V5">
            <v>19</v>
          </cell>
        </row>
        <row r="6">
          <cell r="A6" t="str">
            <v>US / EU</v>
          </cell>
          <cell r="B6" t="str">
            <v>US</v>
          </cell>
          <cell r="E6" t="str">
            <v>US / EU</v>
          </cell>
          <cell r="F6" t="str">
            <v>US</v>
          </cell>
          <cell r="J6" t="str">
            <v>Servers</v>
          </cell>
          <cell r="K6" t="str">
            <v>Storage</v>
          </cell>
          <cell r="L6" t="str">
            <v>Networking</v>
          </cell>
          <cell r="S6" t="str">
            <v>Spend Less</v>
          </cell>
          <cell r="T6">
            <v>10</v>
          </cell>
          <cell r="U6">
            <v>5</v>
          </cell>
          <cell r="V6">
            <v>3</v>
          </cell>
        </row>
        <row r="7">
          <cell r="A7" t="str">
            <v>Industry</v>
          </cell>
          <cell r="B7" t="str">
            <v>(All)</v>
          </cell>
          <cell r="E7" t="str">
            <v>Industry</v>
          </cell>
          <cell r="F7" t="str">
            <v>(All)</v>
          </cell>
          <cell r="I7" t="str">
            <v>Spend More</v>
          </cell>
          <cell r="J7">
            <v>16</v>
          </cell>
          <cell r="K7">
            <v>17</v>
          </cell>
          <cell r="L7">
            <v>12</v>
          </cell>
          <cell r="S7" t="str">
            <v>NA / Unsure</v>
          </cell>
          <cell r="T7">
            <v>3</v>
          </cell>
          <cell r="U7">
            <v>2</v>
          </cell>
          <cell r="V7">
            <v>3</v>
          </cell>
        </row>
        <row r="8">
          <cell r="A8" t="str">
            <v>Revenue</v>
          </cell>
          <cell r="B8" t="str">
            <v>(All)</v>
          </cell>
          <cell r="E8" t="str">
            <v>Revenue</v>
          </cell>
          <cell r="F8" t="str">
            <v>(All)</v>
          </cell>
          <cell r="I8" t="str">
            <v>Spend Same</v>
          </cell>
          <cell r="J8">
            <v>11</v>
          </cell>
          <cell r="K8">
            <v>10</v>
          </cell>
          <cell r="L8">
            <v>25</v>
          </cell>
        </row>
        <row r="9">
          <cell r="I9" t="str">
            <v>Spend Less</v>
          </cell>
          <cell r="J9">
            <v>22</v>
          </cell>
          <cell r="K9">
            <v>21</v>
          </cell>
          <cell r="L9">
            <v>10</v>
          </cell>
          <cell r="T9" t="str">
            <v>Servers</v>
          </cell>
          <cell r="U9" t="str">
            <v>Storage</v>
          </cell>
          <cell r="V9" t="str">
            <v>Networking</v>
          </cell>
        </row>
        <row r="10">
          <cell r="A10" t="str">
            <v>Count of 6 PCs</v>
          </cell>
          <cell r="E10" t="str">
            <v>Count of 6 Servers</v>
          </cell>
          <cell r="I10" t="str">
            <v>NA / Unsure</v>
          </cell>
          <cell r="J10">
            <v>1</v>
          </cell>
          <cell r="K10">
            <v>2</v>
          </cell>
          <cell r="L10">
            <v>3</v>
          </cell>
          <cell r="S10" t="str">
            <v>Up</v>
          </cell>
          <cell r="T10">
            <v>0.13636363636363635</v>
          </cell>
          <cell r="U10">
            <v>0.39130434782608697</v>
          </cell>
          <cell r="V10">
            <v>0</v>
          </cell>
        </row>
        <row r="11">
          <cell r="A11" t="str">
            <v>6 PCs</v>
          </cell>
          <cell r="B11" t="str">
            <v>Total</v>
          </cell>
          <cell r="E11" t="str">
            <v>6 Servers</v>
          </cell>
          <cell r="F11" t="str">
            <v>Total</v>
          </cell>
          <cell r="S11" t="str">
            <v>Flat</v>
          </cell>
          <cell r="T11">
            <v>0.40909090909090912</v>
          </cell>
          <cell r="U11">
            <v>0.39130434782608697</v>
          </cell>
          <cell r="V11">
            <v>0.86363636363636365</v>
          </cell>
        </row>
        <row r="12">
          <cell r="A12" t="str">
            <v>Spend More</v>
          </cell>
          <cell r="B12">
            <v>7</v>
          </cell>
          <cell r="E12" t="str">
            <v>Spend More</v>
          </cell>
          <cell r="F12">
            <v>16</v>
          </cell>
          <cell r="J12" t="str">
            <v>Servers</v>
          </cell>
          <cell r="K12" t="str">
            <v>Storage</v>
          </cell>
          <cell r="L12" t="str">
            <v>Networking</v>
          </cell>
          <cell r="S12" t="str">
            <v>Down</v>
          </cell>
          <cell r="T12">
            <v>-0.45454545454545453</v>
          </cell>
          <cell r="U12">
            <v>-0.21739130434782608</v>
          </cell>
          <cell r="V12">
            <v>-0.13636363636363635</v>
          </cell>
        </row>
        <row r="13">
          <cell r="A13" t="str">
            <v>Spend Same</v>
          </cell>
          <cell r="B13">
            <v>19</v>
          </cell>
          <cell r="E13" t="str">
            <v>Spend Same</v>
          </cell>
          <cell r="F13">
            <v>11</v>
          </cell>
          <cell r="I13" t="str">
            <v>Up</v>
          </cell>
          <cell r="J13">
            <v>0.32653061224489793</v>
          </cell>
          <cell r="K13">
            <v>0.35416666666666669</v>
          </cell>
          <cell r="L13">
            <v>0.25531914893617019</v>
          </cell>
        </row>
        <row r="14">
          <cell r="A14" t="str">
            <v>Spend Less</v>
          </cell>
          <cell r="B14">
            <v>22</v>
          </cell>
          <cell r="E14" t="str">
            <v>Spend Less</v>
          </cell>
          <cell r="F14">
            <v>22</v>
          </cell>
          <cell r="I14" t="str">
            <v>Flat</v>
          </cell>
          <cell r="J14">
            <v>0.22448979591836735</v>
          </cell>
          <cell r="K14">
            <v>0.20833333333333334</v>
          </cell>
          <cell r="L14">
            <v>0.53191489361702127</v>
          </cell>
          <cell r="T14">
            <v>-0.31818181818181818</v>
          </cell>
          <cell r="U14">
            <v>0.17391304347826089</v>
          </cell>
          <cell r="V14">
            <v>-0.13636363636363635</v>
          </cell>
        </row>
        <row r="15">
          <cell r="A15" t="str">
            <v>NA / Unsure</v>
          </cell>
          <cell r="B15">
            <v>2</v>
          </cell>
          <cell r="E15" t="str">
            <v>NA / Unsure</v>
          </cell>
          <cell r="F15">
            <v>1</v>
          </cell>
          <cell r="I15" t="str">
            <v>Down</v>
          </cell>
          <cell r="J15">
            <v>0.44897959183673469</v>
          </cell>
          <cell r="K15">
            <v>0.4375</v>
          </cell>
          <cell r="L15">
            <v>0.21276595744680851</v>
          </cell>
        </row>
        <row r="16">
          <cell r="A16" t="str">
            <v>Grand Total</v>
          </cell>
          <cell r="B16">
            <v>50</v>
          </cell>
          <cell r="E16" t="str">
            <v>Grand Total</v>
          </cell>
          <cell r="F16">
            <v>50</v>
          </cell>
        </row>
        <row r="17">
          <cell r="I17" t="str">
            <v>Net Up</v>
          </cell>
        </row>
        <row r="18">
          <cell r="A18" t="str">
            <v>US / EU</v>
          </cell>
          <cell r="B18" t="str">
            <v>US</v>
          </cell>
          <cell r="E18" t="str">
            <v>US / EU</v>
          </cell>
          <cell r="F18" t="str">
            <v>US</v>
          </cell>
          <cell r="I18" t="str">
            <v>Oct 10 Survey</v>
          </cell>
          <cell r="J18">
            <v>-0.21951219512195119</v>
          </cell>
          <cell r="K18">
            <v>8.3333333333333315E-2</v>
          </cell>
          <cell r="L18">
            <v>0.47222222222222227</v>
          </cell>
        </row>
        <row r="19">
          <cell r="A19" t="str">
            <v>Industry</v>
          </cell>
          <cell r="B19" t="str">
            <v>(All)</v>
          </cell>
          <cell r="E19" t="str">
            <v>Industry</v>
          </cell>
          <cell r="F19" t="str">
            <v>(All)</v>
          </cell>
          <cell r="I19" t="str">
            <v>Jan 11 Survey</v>
          </cell>
          <cell r="J19">
            <v>-0.15555555555555578</v>
          </cell>
          <cell r="K19">
            <v>0.2</v>
          </cell>
          <cell r="L19">
            <v>0.24444444444444441</v>
          </cell>
        </row>
        <row r="20">
          <cell r="A20" t="str">
            <v>Revenue</v>
          </cell>
          <cell r="B20" t="str">
            <v>(All)</v>
          </cell>
          <cell r="E20" t="str">
            <v>Revenue</v>
          </cell>
          <cell r="F20" t="str">
            <v>(All)</v>
          </cell>
          <cell r="I20" t="str">
            <v>Apr 11 Survey</v>
          </cell>
          <cell r="J20">
            <v>-0.16666666666666663</v>
          </cell>
          <cell r="K20">
            <v>0.25</v>
          </cell>
          <cell r="L20">
            <v>0.22916666666666669</v>
          </cell>
        </row>
        <row r="21">
          <cell r="I21" t="str">
            <v>Jul 11 Survey</v>
          </cell>
          <cell r="J21">
            <v>-0.23404255319148937</v>
          </cell>
          <cell r="K21">
            <v>-0.12765957446808512</v>
          </cell>
          <cell r="L21">
            <v>0.10638297872340424</v>
          </cell>
        </row>
        <row r="22">
          <cell r="A22" t="str">
            <v>Count of 6 Storage</v>
          </cell>
          <cell r="E22" t="str">
            <v>Count of 6 Networking</v>
          </cell>
          <cell r="I22" t="str">
            <v>Oct 11 Survey</v>
          </cell>
          <cell r="J22">
            <v>-0.12244897959183676</v>
          </cell>
          <cell r="K22">
            <v>-8.3333333333333315E-2</v>
          </cell>
          <cell r="L22">
            <v>4.255319148936168E-2</v>
          </cell>
        </row>
        <row r="23">
          <cell r="A23" t="str">
            <v>6 Storage</v>
          </cell>
          <cell r="B23" t="str">
            <v>Total</v>
          </cell>
          <cell r="E23" t="str">
            <v>6 Networking</v>
          </cell>
          <cell r="F23" t="str">
            <v>Total</v>
          </cell>
        </row>
        <row r="24">
          <cell r="A24" t="str">
            <v>Spend More</v>
          </cell>
          <cell r="B24">
            <v>17</v>
          </cell>
          <cell r="E24" t="str">
            <v>Spend More</v>
          </cell>
          <cell r="F24">
            <v>12</v>
          </cell>
        </row>
        <row r="25">
          <cell r="A25" t="str">
            <v>Spend Same</v>
          </cell>
          <cell r="B25">
            <v>10</v>
          </cell>
          <cell r="E25" t="str">
            <v>Spend Same</v>
          </cell>
          <cell r="F25">
            <v>25</v>
          </cell>
        </row>
        <row r="26">
          <cell r="A26" t="str">
            <v>Spend Less</v>
          </cell>
          <cell r="B26">
            <v>21</v>
          </cell>
          <cell r="E26" t="str">
            <v>Spend Less</v>
          </cell>
          <cell r="F26">
            <v>10</v>
          </cell>
        </row>
        <row r="27">
          <cell r="A27" t="str">
            <v>NA / Unsure</v>
          </cell>
          <cell r="B27">
            <v>2</v>
          </cell>
          <cell r="E27" t="str">
            <v>NA / Unsure</v>
          </cell>
          <cell r="F27">
            <v>3</v>
          </cell>
        </row>
        <row r="28">
          <cell r="A28" t="str">
            <v>Grand Total</v>
          </cell>
          <cell r="B28">
            <v>50</v>
          </cell>
          <cell r="E28" t="str">
            <v>Grand Total</v>
          </cell>
          <cell r="F28">
            <v>50</v>
          </cell>
        </row>
      </sheetData>
      <sheetData sheetId="6">
        <row r="1">
          <cell r="A1" t="str">
            <v>Morgan Stanley Hardware Survey - November 2011</v>
          </cell>
        </row>
        <row r="3">
          <cell r="A3" t="str">
            <v>7.  Over the next twelve months, what are your Server spending plans as it relates to specific vendors?</v>
          </cell>
        </row>
        <row r="5">
          <cell r="A5" t="str">
            <v>US / EU</v>
          </cell>
          <cell r="B5" t="str">
            <v>US</v>
          </cell>
          <cell r="E5" t="str">
            <v>US / EU</v>
          </cell>
          <cell r="F5" t="str">
            <v>US</v>
          </cell>
          <cell r="I5" t="str">
            <v>DELL</v>
          </cell>
          <cell r="J5" t="str">
            <v>FIO</v>
          </cell>
          <cell r="K5" t="str">
            <v>HPQ</v>
          </cell>
          <cell r="L5" t="str">
            <v>IBM</v>
          </cell>
          <cell r="M5" t="str">
            <v>ORCL</v>
          </cell>
          <cell r="N5" t="str">
            <v>CSCO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  <cell r="H6" t="str">
            <v>Increase</v>
          </cell>
          <cell r="I6">
            <v>10</v>
          </cell>
          <cell r="J6">
            <v>3</v>
          </cell>
          <cell r="K6">
            <v>12</v>
          </cell>
          <cell r="L6">
            <v>9</v>
          </cell>
          <cell r="M6">
            <v>6</v>
          </cell>
          <cell r="N6">
            <v>9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  <cell r="H7" t="str">
            <v>Flat</v>
          </cell>
          <cell r="I7">
            <v>22</v>
          </cell>
          <cell r="J7">
            <v>11</v>
          </cell>
          <cell r="K7">
            <v>19</v>
          </cell>
          <cell r="L7">
            <v>20</v>
          </cell>
          <cell r="M7">
            <v>13</v>
          </cell>
          <cell r="N7">
            <v>19</v>
          </cell>
        </row>
        <row r="8">
          <cell r="H8" t="str">
            <v>Decrease</v>
          </cell>
          <cell r="I8">
            <v>5</v>
          </cell>
          <cell r="J8">
            <v>0</v>
          </cell>
          <cell r="K8">
            <v>8</v>
          </cell>
          <cell r="L8">
            <v>5</v>
          </cell>
          <cell r="M8">
            <v>4</v>
          </cell>
          <cell r="N8">
            <v>3</v>
          </cell>
        </row>
        <row r="9">
          <cell r="A9" t="str">
            <v>Count of 7 Dell</v>
          </cell>
          <cell r="E9" t="str">
            <v>Count of 7 Fusion-io</v>
          </cell>
          <cell r="H9" t="str">
            <v>Don't Use</v>
          </cell>
          <cell r="I9">
            <v>13</v>
          </cell>
          <cell r="J9">
            <v>36</v>
          </cell>
          <cell r="K9">
            <v>11</v>
          </cell>
          <cell r="L9">
            <v>16</v>
          </cell>
          <cell r="M9">
            <v>27</v>
          </cell>
          <cell r="N9">
            <v>19</v>
          </cell>
        </row>
        <row r="10">
          <cell r="A10" t="str">
            <v>7 Dell</v>
          </cell>
          <cell r="B10" t="str">
            <v>Total</v>
          </cell>
          <cell r="E10" t="str">
            <v>7 Fusion-io</v>
          </cell>
          <cell r="F10" t="str">
            <v>Total</v>
          </cell>
        </row>
        <row r="11">
          <cell r="A11" t="str">
            <v>Increase</v>
          </cell>
          <cell r="B11">
            <v>10</v>
          </cell>
          <cell r="E11" t="str">
            <v>Increase</v>
          </cell>
          <cell r="F11">
            <v>3</v>
          </cell>
          <cell r="H11" t="str">
            <v>Increase</v>
          </cell>
          <cell r="I11">
            <v>0.27027027027027029</v>
          </cell>
          <cell r="J11">
            <v>0.21428571428571427</v>
          </cell>
          <cell r="K11">
            <v>0.30769230769230771</v>
          </cell>
          <cell r="L11">
            <v>0.26470588235294118</v>
          </cell>
          <cell r="M11">
            <v>0.2608695652173913</v>
          </cell>
          <cell r="N11">
            <v>0.29032258064516131</v>
          </cell>
        </row>
        <row r="12">
          <cell r="A12" t="str">
            <v>Flat</v>
          </cell>
          <cell r="B12">
            <v>22</v>
          </cell>
          <cell r="E12" t="str">
            <v>Flat</v>
          </cell>
          <cell r="F12">
            <v>11</v>
          </cell>
          <cell r="H12" t="str">
            <v>Decrease</v>
          </cell>
          <cell r="I12">
            <v>-0.13513513513513514</v>
          </cell>
          <cell r="J12">
            <v>0</v>
          </cell>
          <cell r="K12">
            <v>-0.20512820512820512</v>
          </cell>
          <cell r="L12">
            <v>-0.14705882352941177</v>
          </cell>
          <cell r="M12">
            <v>-0.17391304347826086</v>
          </cell>
          <cell r="N12">
            <v>-9.6774193548387094E-2</v>
          </cell>
        </row>
        <row r="13">
          <cell r="A13" t="str">
            <v>Decrease</v>
          </cell>
          <cell r="B13">
            <v>5</v>
          </cell>
          <cell r="E13" t="str">
            <v>Don't Use</v>
          </cell>
          <cell r="F13">
            <v>36</v>
          </cell>
        </row>
        <row r="14">
          <cell r="A14" t="str">
            <v>Don't Use</v>
          </cell>
          <cell r="B14">
            <v>13</v>
          </cell>
          <cell r="E14" t="str">
            <v>Grand Total</v>
          </cell>
          <cell r="F14">
            <v>50</v>
          </cell>
          <cell r="J14" t="str">
            <v>CSCO</v>
          </cell>
          <cell r="Q14" t="str">
            <v>DELL</v>
          </cell>
          <cell r="X14" t="str">
            <v>IBM</v>
          </cell>
          <cell r="AE14" t="str">
            <v>HPQ</v>
          </cell>
          <cell r="AL14" t="str">
            <v>ORCL</v>
          </cell>
        </row>
        <row r="15">
          <cell r="A15" t="str">
            <v>Grand Total</v>
          </cell>
          <cell r="B15">
            <v>50</v>
          </cell>
          <cell r="H15" t="str">
            <v>Increase</v>
          </cell>
          <cell r="I15">
            <v>0.1951219512195122</v>
          </cell>
          <cell r="J15">
            <v>0.14814814814814814</v>
          </cell>
          <cell r="K15">
            <v>0.15384615384615385</v>
          </cell>
          <cell r="L15">
            <v>0.2</v>
          </cell>
          <cell r="M15">
            <v>0.14285714285714285</v>
          </cell>
          <cell r="N15">
            <v>0.29032258064516131</v>
          </cell>
          <cell r="P15">
            <v>0.27884615384615385</v>
          </cell>
          <cell r="Q15">
            <v>0.46341463414634149</v>
          </cell>
          <cell r="R15">
            <v>0.4358974358974359</v>
          </cell>
          <cell r="S15">
            <v>0.36842105263157893</v>
          </cell>
          <cell r="T15">
            <v>0.29729729729729731</v>
          </cell>
          <cell r="U15">
            <v>0.27027027027027029</v>
          </cell>
          <cell r="W15">
            <v>0.28282828282828282</v>
          </cell>
          <cell r="X15">
            <v>0.24242424242424243</v>
          </cell>
          <cell r="Y15">
            <v>0.2</v>
          </cell>
          <cell r="Z15">
            <v>0.28205128205128205</v>
          </cell>
          <cell r="AA15">
            <v>0.21621621621621623</v>
          </cell>
          <cell r="AB15">
            <v>0.26470588235294118</v>
          </cell>
          <cell r="AD15">
            <v>0.26470588235294118</v>
          </cell>
          <cell r="AE15">
            <v>0.30555555555555558</v>
          </cell>
          <cell r="AF15">
            <v>0.29729729729729731</v>
          </cell>
          <cell r="AG15">
            <v>0.29729729729729731</v>
          </cell>
          <cell r="AH15">
            <v>0.3611111111111111</v>
          </cell>
          <cell r="AI15">
            <v>0.30769230769230771</v>
          </cell>
          <cell r="AK15">
            <v>0.22950819672131148</v>
          </cell>
          <cell r="AL15">
            <v>0.21739130434782608</v>
          </cell>
          <cell r="AM15">
            <v>0.27272727272727271</v>
          </cell>
          <cell r="AN15">
            <v>0.20689655172413793</v>
          </cell>
          <cell r="AO15">
            <v>0.19230769230769232</v>
          </cell>
          <cell r="AP15">
            <v>0.2608695652173913</v>
          </cell>
        </row>
        <row r="16">
          <cell r="H16" t="str">
            <v>Decrease</v>
          </cell>
          <cell r="I16">
            <v>-6.097560975609756E-2</v>
          </cell>
          <cell r="J16">
            <v>-3.7037037037037035E-2</v>
          </cell>
          <cell r="K16">
            <v>-7.69230769230769E-2</v>
          </cell>
          <cell r="L16">
            <v>-0.1</v>
          </cell>
          <cell r="M16">
            <v>-0.14285714285714285</v>
          </cell>
          <cell r="N16">
            <v>-9.6774193548387094E-2</v>
          </cell>
          <cell r="P16">
            <v>-0.18269230769230768</v>
          </cell>
          <cell r="Q16">
            <v>-4.878048780487805E-2</v>
          </cell>
          <cell r="R16">
            <v>-0.102564102564103</v>
          </cell>
          <cell r="S16">
            <v>-0.13157894736842105</v>
          </cell>
          <cell r="T16">
            <v>-0.10810810810810811</v>
          </cell>
          <cell r="U16">
            <v>-0.13513513513513514</v>
          </cell>
          <cell r="W16">
            <v>-0.17171717171717171</v>
          </cell>
          <cell r="X16">
            <v>-0.18181818181818182</v>
          </cell>
          <cell r="Y16">
            <v>-0.2</v>
          </cell>
          <cell r="Z16">
            <v>-0.12820512820512819</v>
          </cell>
          <cell r="AA16">
            <v>-0.13513513513513514</v>
          </cell>
          <cell r="AB16">
            <v>-0.14705882352941177</v>
          </cell>
          <cell r="AD16">
            <v>-0.18627450980392157</v>
          </cell>
          <cell r="AE16">
            <v>-0.22222222222222221</v>
          </cell>
          <cell r="AF16">
            <v>-0.162162162162162</v>
          </cell>
          <cell r="AG16">
            <v>-0.16216216216216217</v>
          </cell>
          <cell r="AH16">
            <v>-0.1388888888888889</v>
          </cell>
          <cell r="AI16">
            <v>-0.20512820512820512</v>
          </cell>
          <cell r="AK16">
            <v>-0.22950819672131148</v>
          </cell>
          <cell r="AL16">
            <v>-0.17391304347826086</v>
          </cell>
          <cell r="AM16">
            <v>-0.13636363636363599</v>
          </cell>
          <cell r="AN16">
            <v>-0.10344827586206896</v>
          </cell>
          <cell r="AO16">
            <v>-0.11538461538461539</v>
          </cell>
          <cell r="AP16">
            <v>-0.17391304347826086</v>
          </cell>
        </row>
        <row r="17">
          <cell r="A17" t="str">
            <v>US / EU</v>
          </cell>
          <cell r="B17" t="str">
            <v>US</v>
          </cell>
          <cell r="E17" t="str">
            <v>US / EU</v>
          </cell>
          <cell r="F17" t="str">
            <v>US</v>
          </cell>
        </row>
        <row r="18">
          <cell r="A18" t="str">
            <v>Industry</v>
          </cell>
          <cell r="B18" t="str">
            <v>(All)</v>
          </cell>
          <cell r="E18" t="str">
            <v>Industry</v>
          </cell>
          <cell r="F18" t="str">
            <v>(All)</v>
          </cell>
          <cell r="H18" t="str">
            <v>Net</v>
          </cell>
          <cell r="I18">
            <v>0.13414634146341464</v>
          </cell>
          <cell r="J18">
            <v>0.1111111111111111</v>
          </cell>
          <cell r="K18">
            <v>7.6923076923076955E-2</v>
          </cell>
          <cell r="L18">
            <v>0.1</v>
          </cell>
          <cell r="M18">
            <v>0</v>
          </cell>
          <cell r="N18">
            <v>0.19354838709677422</v>
          </cell>
          <cell r="P18">
            <v>9.6153846153846173E-2</v>
          </cell>
          <cell r="Q18">
            <v>0.41463414634146345</v>
          </cell>
          <cell r="R18">
            <v>0.33333333333333293</v>
          </cell>
          <cell r="S18">
            <v>0.23684210526315788</v>
          </cell>
          <cell r="T18">
            <v>0.1891891891891892</v>
          </cell>
          <cell r="U18">
            <v>0.13513513513513514</v>
          </cell>
          <cell r="W18">
            <v>0.1111111111111111</v>
          </cell>
          <cell r="X18">
            <v>6.0606060606060608E-2</v>
          </cell>
          <cell r="Y18">
            <v>0</v>
          </cell>
          <cell r="Z18">
            <v>0.15384615384615385</v>
          </cell>
          <cell r="AA18">
            <v>8.1081081081081086E-2</v>
          </cell>
          <cell r="AB18">
            <v>0.11764705882352941</v>
          </cell>
          <cell r="AD18">
            <v>7.8431372549019607E-2</v>
          </cell>
          <cell r="AE18">
            <v>8.333333333333337E-2</v>
          </cell>
          <cell r="AF18">
            <v>0.13513513513513531</v>
          </cell>
          <cell r="AG18">
            <v>0.13513513513513514</v>
          </cell>
          <cell r="AH18">
            <v>0.22222222222222221</v>
          </cell>
          <cell r="AI18">
            <v>0.10256410256410259</v>
          </cell>
          <cell r="AK18">
            <v>0</v>
          </cell>
          <cell r="AL18">
            <v>4.3478260869565216E-2</v>
          </cell>
          <cell r="AM18">
            <v>0.13636363636363671</v>
          </cell>
          <cell r="AN18">
            <v>0.10344827586206896</v>
          </cell>
          <cell r="AO18">
            <v>7.6923076923076927E-2</v>
          </cell>
          <cell r="AP18">
            <v>8.6956521739130432E-2</v>
          </cell>
        </row>
        <row r="19">
          <cell r="A19" t="str">
            <v>Revenue</v>
          </cell>
          <cell r="B19" t="str">
            <v>(All)</v>
          </cell>
          <cell r="E19" t="str">
            <v>Revenue</v>
          </cell>
          <cell r="F19" t="str">
            <v>(All)</v>
          </cell>
        </row>
        <row r="21">
          <cell r="A21" t="str">
            <v>Count of 7 HP</v>
          </cell>
          <cell r="E21" t="str">
            <v>Count of 7 IBM</v>
          </cell>
        </row>
        <row r="22">
          <cell r="A22" t="str">
            <v>7 HP</v>
          </cell>
          <cell r="B22" t="str">
            <v>Total</v>
          </cell>
          <cell r="E22" t="str">
            <v>7 IBM</v>
          </cell>
          <cell r="F22" t="str">
            <v>Total</v>
          </cell>
        </row>
        <row r="23">
          <cell r="A23" t="str">
            <v>Increase</v>
          </cell>
          <cell r="B23">
            <v>12</v>
          </cell>
          <cell r="E23" t="str">
            <v>Increase</v>
          </cell>
          <cell r="F23">
            <v>9</v>
          </cell>
        </row>
        <row r="24">
          <cell r="A24" t="str">
            <v>Flat</v>
          </cell>
          <cell r="B24">
            <v>19</v>
          </cell>
          <cell r="E24" t="str">
            <v>Flat</v>
          </cell>
          <cell r="F24">
            <v>20</v>
          </cell>
        </row>
        <row r="25">
          <cell r="A25" t="str">
            <v>Decrease</v>
          </cell>
          <cell r="B25">
            <v>8</v>
          </cell>
          <cell r="E25" t="str">
            <v>Decrease</v>
          </cell>
          <cell r="F25">
            <v>5</v>
          </cell>
        </row>
        <row r="26">
          <cell r="A26" t="str">
            <v>Don't Use</v>
          </cell>
          <cell r="B26">
            <v>11</v>
          </cell>
          <cell r="E26" t="str">
            <v>Don't Use</v>
          </cell>
          <cell r="F26">
            <v>16</v>
          </cell>
        </row>
        <row r="27">
          <cell r="A27" t="str">
            <v>Grand Total</v>
          </cell>
          <cell r="B27">
            <v>50</v>
          </cell>
          <cell r="E27" t="str">
            <v>Grand Total</v>
          </cell>
          <cell r="F27">
            <v>50</v>
          </cell>
        </row>
        <row r="29">
          <cell r="A29" t="str">
            <v>US / EU</v>
          </cell>
          <cell r="B29" t="str">
            <v>US</v>
          </cell>
          <cell r="E29" t="str">
            <v>US / EU</v>
          </cell>
          <cell r="F29" t="str">
            <v>US</v>
          </cell>
        </row>
        <row r="30">
          <cell r="A30" t="str">
            <v>Industry</v>
          </cell>
          <cell r="B30" t="str">
            <v>(All)</v>
          </cell>
          <cell r="E30" t="str">
            <v>Industry</v>
          </cell>
          <cell r="F30" t="str">
            <v>(All)</v>
          </cell>
        </row>
        <row r="31">
          <cell r="A31" t="str">
            <v>Revenue</v>
          </cell>
          <cell r="B31" t="str">
            <v>(All)</v>
          </cell>
          <cell r="E31" t="str">
            <v>Revenue</v>
          </cell>
          <cell r="F31" t="str">
            <v>(All)</v>
          </cell>
        </row>
        <row r="33">
          <cell r="A33" t="str">
            <v>Count of 7 Oracle/Sun</v>
          </cell>
          <cell r="E33" t="str">
            <v>Count of 7 Cisco</v>
          </cell>
        </row>
        <row r="34">
          <cell r="A34" t="str">
            <v>7 Oracle/Sun</v>
          </cell>
          <cell r="B34" t="str">
            <v>Total</v>
          </cell>
          <cell r="E34" t="str">
            <v>7 Cisco</v>
          </cell>
          <cell r="F34" t="str">
            <v>Total</v>
          </cell>
        </row>
        <row r="35">
          <cell r="A35" t="str">
            <v>Increase</v>
          </cell>
          <cell r="B35">
            <v>6</v>
          </cell>
          <cell r="E35" t="str">
            <v>Increase</v>
          </cell>
          <cell r="F35">
            <v>9</v>
          </cell>
        </row>
        <row r="36">
          <cell r="A36" t="str">
            <v>Flat</v>
          </cell>
          <cell r="B36">
            <v>13</v>
          </cell>
          <cell r="E36" t="str">
            <v>Flat</v>
          </cell>
          <cell r="F36">
            <v>19</v>
          </cell>
        </row>
        <row r="37">
          <cell r="A37" t="str">
            <v>Decrease</v>
          </cell>
          <cell r="B37">
            <v>4</v>
          </cell>
          <cell r="E37" t="str">
            <v>Decrease</v>
          </cell>
          <cell r="F37">
            <v>3</v>
          </cell>
        </row>
        <row r="38">
          <cell r="A38" t="str">
            <v>Don't Use</v>
          </cell>
          <cell r="B38">
            <v>27</v>
          </cell>
          <cell r="E38" t="str">
            <v>Don't Use</v>
          </cell>
          <cell r="F38">
            <v>19</v>
          </cell>
        </row>
        <row r="39">
          <cell r="A39" t="str">
            <v>Grand Total</v>
          </cell>
          <cell r="B39">
            <v>50</v>
          </cell>
          <cell r="E39" t="str">
            <v>Grand Total</v>
          </cell>
          <cell r="F39">
            <v>50</v>
          </cell>
        </row>
      </sheetData>
      <sheetData sheetId="7">
        <row r="1">
          <cell r="A1" t="str">
            <v>Morgan Stanley Hardware Survey - November 2011</v>
          </cell>
        </row>
        <row r="2">
          <cell r="A2" t="str">
            <v xml:space="preserve"> </v>
          </cell>
        </row>
        <row r="3">
          <cell r="A3" t="str">
            <v>8.  Over the next twelve months, what are your Storage spending plans as it relates to</v>
          </cell>
        </row>
        <row r="4">
          <cell r="A4" t="str">
            <v xml:space="preserve"> specific vendors?</v>
          </cell>
        </row>
        <row r="6">
          <cell r="A6" t="str">
            <v>US / EU</v>
          </cell>
          <cell r="B6" t="str">
            <v>US</v>
          </cell>
          <cell r="E6" t="str">
            <v>US / EU</v>
          </cell>
          <cell r="F6" t="str">
            <v>US</v>
          </cell>
          <cell r="I6" t="str">
            <v>DELL</v>
          </cell>
          <cell r="J6" t="str">
            <v>EMC</v>
          </cell>
          <cell r="K6" t="str">
            <v>HIT</v>
          </cell>
          <cell r="L6" t="str">
            <v>HPQ</v>
          </cell>
          <cell r="M6" t="str">
            <v>IBM</v>
          </cell>
          <cell r="N6" t="str">
            <v>NTAP</v>
          </cell>
          <cell r="O6" t="str">
            <v>ORCL</v>
          </cell>
        </row>
        <row r="7">
          <cell r="A7" t="str">
            <v>Industry</v>
          </cell>
          <cell r="B7" t="str">
            <v>(All)</v>
          </cell>
          <cell r="E7" t="str">
            <v>Industry</v>
          </cell>
          <cell r="F7" t="str">
            <v>(All)</v>
          </cell>
          <cell r="H7" t="str">
            <v>Increase</v>
          </cell>
          <cell r="I7">
            <v>6</v>
          </cell>
          <cell r="J7">
            <v>11</v>
          </cell>
          <cell r="K7">
            <v>7</v>
          </cell>
          <cell r="L7">
            <v>8</v>
          </cell>
          <cell r="M7">
            <v>5</v>
          </cell>
          <cell r="N7">
            <v>11</v>
          </cell>
          <cell r="O7">
            <v>4</v>
          </cell>
        </row>
        <row r="8">
          <cell r="A8" t="str">
            <v>Revenue</v>
          </cell>
          <cell r="B8" t="str">
            <v>(All)</v>
          </cell>
          <cell r="E8" t="str">
            <v>Revenue</v>
          </cell>
          <cell r="F8" t="str">
            <v>(All)</v>
          </cell>
          <cell r="H8" t="str">
            <v>Flat</v>
          </cell>
          <cell r="I8">
            <v>12</v>
          </cell>
          <cell r="J8">
            <v>23</v>
          </cell>
          <cell r="K8">
            <v>12</v>
          </cell>
          <cell r="L8">
            <v>16</v>
          </cell>
          <cell r="M8">
            <v>20</v>
          </cell>
          <cell r="N8">
            <v>13</v>
          </cell>
          <cell r="O8">
            <v>13</v>
          </cell>
        </row>
        <row r="9">
          <cell r="H9" t="str">
            <v>Decrease</v>
          </cell>
          <cell r="I9">
            <v>2</v>
          </cell>
          <cell r="J9">
            <v>7</v>
          </cell>
          <cell r="K9">
            <v>1</v>
          </cell>
          <cell r="L9">
            <v>5</v>
          </cell>
          <cell r="M9">
            <v>3</v>
          </cell>
          <cell r="N9">
            <v>6</v>
          </cell>
          <cell r="O9">
            <v>6</v>
          </cell>
        </row>
        <row r="10">
          <cell r="A10" t="str">
            <v>Count of 8 Dell</v>
          </cell>
          <cell r="E10" t="str">
            <v>Count of 8 EMC</v>
          </cell>
          <cell r="H10" t="str">
            <v>Don't Use</v>
          </cell>
          <cell r="I10">
            <v>30</v>
          </cell>
          <cell r="J10">
            <v>9</v>
          </cell>
          <cell r="K10">
            <v>30</v>
          </cell>
          <cell r="L10">
            <v>21</v>
          </cell>
          <cell r="M10">
            <v>22</v>
          </cell>
          <cell r="N10">
            <v>20</v>
          </cell>
          <cell r="O10">
            <v>27</v>
          </cell>
        </row>
        <row r="11">
          <cell r="A11" t="str">
            <v>8 Dell</v>
          </cell>
          <cell r="B11" t="str">
            <v>Total</v>
          </cell>
          <cell r="E11" t="str">
            <v>8 EMC</v>
          </cell>
          <cell r="F11" t="str">
            <v>Total</v>
          </cell>
        </row>
        <row r="12">
          <cell r="A12" t="str">
            <v>Increase</v>
          </cell>
          <cell r="B12">
            <v>6</v>
          </cell>
          <cell r="E12" t="str">
            <v>Increase</v>
          </cell>
          <cell r="F12">
            <v>11</v>
          </cell>
          <cell r="H12" t="str">
            <v>Increase</v>
          </cell>
          <cell r="I12">
            <v>0.3</v>
          </cell>
          <cell r="J12">
            <v>0.26829268292682928</v>
          </cell>
          <cell r="K12">
            <v>0.35</v>
          </cell>
          <cell r="L12">
            <v>0.27586206896551724</v>
          </cell>
          <cell r="M12">
            <v>0.17857142857142858</v>
          </cell>
          <cell r="N12">
            <v>0.36666666666666664</v>
          </cell>
          <cell r="O12">
            <v>0.17391304347826086</v>
          </cell>
        </row>
        <row r="13">
          <cell r="A13" t="str">
            <v>Flat</v>
          </cell>
          <cell r="B13">
            <v>12</v>
          </cell>
          <cell r="E13" t="str">
            <v>Flat</v>
          </cell>
          <cell r="F13">
            <v>23</v>
          </cell>
          <cell r="H13" t="str">
            <v>Decrease</v>
          </cell>
          <cell r="I13">
            <v>-0.1</v>
          </cell>
          <cell r="J13">
            <v>-0.17073170731707318</v>
          </cell>
          <cell r="K13">
            <v>-0.05</v>
          </cell>
          <cell r="L13">
            <v>-0.17241379310344829</v>
          </cell>
          <cell r="M13">
            <v>-0.10714285714285714</v>
          </cell>
          <cell r="N13">
            <v>-0.2</v>
          </cell>
          <cell r="O13">
            <v>-0.2608695652173913</v>
          </cell>
        </row>
        <row r="14">
          <cell r="A14" t="str">
            <v>Decrease</v>
          </cell>
          <cell r="B14">
            <v>2</v>
          </cell>
          <cell r="E14" t="str">
            <v>Decrease</v>
          </cell>
          <cell r="F14">
            <v>7</v>
          </cell>
        </row>
        <row r="15">
          <cell r="A15" t="str">
            <v>Don't Use</v>
          </cell>
          <cell r="B15">
            <v>30</v>
          </cell>
          <cell r="E15" t="str">
            <v>Don't Use</v>
          </cell>
          <cell r="F15">
            <v>9</v>
          </cell>
        </row>
        <row r="16">
          <cell r="A16" t="str">
            <v>Grand Total</v>
          </cell>
          <cell r="B16">
            <v>50</v>
          </cell>
          <cell r="E16" t="str">
            <v>Grand Total</v>
          </cell>
          <cell r="F16">
            <v>50</v>
          </cell>
          <cell r="I16" t="str">
            <v>DELL</v>
          </cell>
          <cell r="O16" t="str">
            <v>NTAP</v>
          </cell>
          <cell r="U16" t="str">
            <v>EMC</v>
          </cell>
          <cell r="AA16" t="str">
            <v>HPQ</v>
          </cell>
          <cell r="AG16" t="str">
            <v>IBM</v>
          </cell>
          <cell r="AM16" t="str">
            <v>ORCL</v>
          </cell>
        </row>
        <row r="17">
          <cell r="H17" t="str">
            <v>Increase</v>
          </cell>
          <cell r="I17">
            <v>0.3888888888888889</v>
          </cell>
          <cell r="J17">
            <v>0.30952380952380953</v>
          </cell>
          <cell r="K17">
            <v>0.35714285714285715</v>
          </cell>
          <cell r="L17">
            <v>0.2857142857142857</v>
          </cell>
          <cell r="M17">
            <v>0.3</v>
          </cell>
          <cell r="O17">
            <v>0.42857142857142855</v>
          </cell>
          <cell r="P17">
            <v>0.25714285714285712</v>
          </cell>
          <cell r="Q17">
            <v>0.33333333333333331</v>
          </cell>
          <cell r="R17">
            <v>0.33333333333333331</v>
          </cell>
          <cell r="S17">
            <v>0.36666666666666664</v>
          </cell>
          <cell r="U17">
            <v>0.42499999999999999</v>
          </cell>
          <cell r="V17">
            <v>0.38297872340425532</v>
          </cell>
          <cell r="W17">
            <v>0.375</v>
          </cell>
          <cell r="X17">
            <v>0.3</v>
          </cell>
          <cell r="Y17">
            <v>0.26829268292682928</v>
          </cell>
          <cell r="AA17">
            <v>0.23076923076923078</v>
          </cell>
          <cell r="AB17">
            <v>0.22222222222222221</v>
          </cell>
          <cell r="AC17">
            <v>0.27659574468085107</v>
          </cell>
          <cell r="AD17">
            <v>0.27586206896551724</v>
          </cell>
          <cell r="AE17">
            <v>0.27586206896551724</v>
          </cell>
          <cell r="AG17">
            <v>0.21212121212121213</v>
          </cell>
          <cell r="AH17">
            <v>0.21875</v>
          </cell>
          <cell r="AI17">
            <v>0.16666666666666666</v>
          </cell>
          <cell r="AJ17">
            <v>7.1428571428571425E-2</v>
          </cell>
          <cell r="AK17">
            <v>0.17857142857142858</v>
          </cell>
          <cell r="AM17">
            <v>0.29411764705882354</v>
          </cell>
          <cell r="AN17">
            <v>0.28000000000000003</v>
          </cell>
          <cell r="AO17">
            <v>0.3125</v>
          </cell>
          <cell r="AP17">
            <v>0.16666666666666666</v>
          </cell>
          <cell r="AQ17">
            <v>0.17391304347826086</v>
          </cell>
        </row>
        <row r="18">
          <cell r="A18" t="str">
            <v>US / EU</v>
          </cell>
          <cell r="B18" t="str">
            <v>US</v>
          </cell>
          <cell r="E18" t="str">
            <v>US / EU</v>
          </cell>
          <cell r="F18" t="str">
            <v>US</v>
          </cell>
          <cell r="H18" t="str">
            <v>Decrease</v>
          </cell>
          <cell r="I18">
            <v>0</v>
          </cell>
          <cell r="J18">
            <v>-4.7619047619047616E-2</v>
          </cell>
          <cell r="K18">
            <v>-0.11904761904761904</v>
          </cell>
          <cell r="L18">
            <v>-0.19047619047619047</v>
          </cell>
          <cell r="M18">
            <v>-0.1</v>
          </cell>
          <cell r="O18">
            <v>0</v>
          </cell>
          <cell r="P18">
            <v>-0.11428571428571428</v>
          </cell>
          <cell r="Q18">
            <v>-0.1111111111111111</v>
          </cell>
          <cell r="R18">
            <v>-0.16666666666666666</v>
          </cell>
          <cell r="S18">
            <v>-0.2</v>
          </cell>
          <cell r="U18">
            <v>-2.5000000000000001E-2</v>
          </cell>
          <cell r="V18">
            <v>-8.5106382978723402E-2</v>
          </cell>
          <cell r="W18">
            <v>-0.125</v>
          </cell>
          <cell r="X18">
            <v>-0.2</v>
          </cell>
          <cell r="Y18">
            <v>-0.17073170731707318</v>
          </cell>
          <cell r="AA18">
            <v>-0.17948717948717949</v>
          </cell>
          <cell r="AB18">
            <v>-0.1111111111111111</v>
          </cell>
          <cell r="AC18">
            <v>-0.10638297872340426</v>
          </cell>
          <cell r="AD18">
            <v>-0.10344827586206896</v>
          </cell>
          <cell r="AE18">
            <v>-0.17241379310344829</v>
          </cell>
          <cell r="AG18">
            <v>-0.15151515151515152</v>
          </cell>
          <cell r="AH18">
            <v>-0.15625</v>
          </cell>
          <cell r="AI18">
            <v>-0.125</v>
          </cell>
          <cell r="AJ18">
            <v>-0.21428571428571427</v>
          </cell>
          <cell r="AK18">
            <v>-0.10714285714285714</v>
          </cell>
          <cell r="AM18">
            <v>0</v>
          </cell>
          <cell r="AN18">
            <v>-0.16</v>
          </cell>
          <cell r="AO18">
            <v>-0.3125</v>
          </cell>
          <cell r="AP18">
            <v>-0.3888888888888889</v>
          </cell>
          <cell r="AQ18">
            <v>-0.2608695652173913</v>
          </cell>
        </row>
        <row r="19">
          <cell r="A19" t="str">
            <v>Industry</v>
          </cell>
          <cell r="B19" t="str">
            <v>(All)</v>
          </cell>
          <cell r="E19" t="str">
            <v>Industry</v>
          </cell>
          <cell r="F19" t="str">
            <v>(All)</v>
          </cell>
        </row>
        <row r="20">
          <cell r="A20" t="str">
            <v>Revenue</v>
          </cell>
          <cell r="B20" t="str">
            <v>(All)</v>
          </cell>
          <cell r="E20" t="str">
            <v>Revenue</v>
          </cell>
          <cell r="F20" t="str">
            <v>(All)</v>
          </cell>
          <cell r="H20" t="str">
            <v>Net</v>
          </cell>
          <cell r="I20">
            <v>0.3888888888888889</v>
          </cell>
          <cell r="J20">
            <v>0.26190476190476192</v>
          </cell>
          <cell r="K20">
            <v>0.23809523809523811</v>
          </cell>
          <cell r="L20">
            <v>9.5238095238095233E-2</v>
          </cell>
          <cell r="M20">
            <v>0.19999999999999998</v>
          </cell>
          <cell r="O20">
            <v>0.42857142857142855</v>
          </cell>
          <cell r="P20">
            <v>0.14285714285714285</v>
          </cell>
          <cell r="Q20">
            <v>0.22222222222222221</v>
          </cell>
          <cell r="R20">
            <v>0.16666666666666666</v>
          </cell>
          <cell r="S20">
            <v>0.16666666666666663</v>
          </cell>
          <cell r="U20">
            <v>0.39999999999999997</v>
          </cell>
          <cell r="V20">
            <v>0.2978723404255319</v>
          </cell>
          <cell r="W20">
            <v>0.25</v>
          </cell>
          <cell r="X20">
            <v>9.9999999999999978E-2</v>
          </cell>
          <cell r="Y20">
            <v>9.7560975609756101E-2</v>
          </cell>
          <cell r="AA20">
            <v>5.1282051282051294E-2</v>
          </cell>
          <cell r="AB20">
            <v>0.1111111111111111</v>
          </cell>
          <cell r="AC20">
            <v>0.17021276595744683</v>
          </cell>
          <cell r="AD20">
            <v>0.17241379310344829</v>
          </cell>
          <cell r="AE20">
            <v>0.10344827586206895</v>
          </cell>
          <cell r="AG20">
            <v>6.0606060606060608E-2</v>
          </cell>
          <cell r="AH20">
            <v>6.25E-2</v>
          </cell>
          <cell r="AI20">
            <v>4.1666666666666657E-2</v>
          </cell>
          <cell r="AJ20">
            <v>-0.14285714285714285</v>
          </cell>
          <cell r="AK20">
            <v>7.1428571428571438E-2</v>
          </cell>
          <cell r="AM20">
            <v>0.29411764705882354</v>
          </cell>
          <cell r="AN20">
            <v>0.12000000000000002</v>
          </cell>
          <cell r="AO20">
            <v>0</v>
          </cell>
          <cell r="AP20">
            <v>-0.22222222222222224</v>
          </cell>
          <cell r="AQ20">
            <v>-8.6956521739130432E-2</v>
          </cell>
        </row>
        <row r="22">
          <cell r="A22" t="str">
            <v>Count of 8 Hitachi</v>
          </cell>
          <cell r="E22" t="str">
            <v>Count of 8 HP</v>
          </cell>
        </row>
        <row r="23">
          <cell r="A23" t="str">
            <v>8 Hitachi</v>
          </cell>
          <cell r="B23" t="str">
            <v>Total</v>
          </cell>
          <cell r="E23" t="str">
            <v>8 HP</v>
          </cell>
          <cell r="F23" t="str">
            <v>Total</v>
          </cell>
        </row>
        <row r="24">
          <cell r="A24" t="str">
            <v>Increase</v>
          </cell>
          <cell r="B24">
            <v>7</v>
          </cell>
          <cell r="E24" t="str">
            <v>Increase</v>
          </cell>
          <cell r="F24">
            <v>8</v>
          </cell>
        </row>
        <row r="25">
          <cell r="A25" t="str">
            <v>Flat</v>
          </cell>
          <cell r="B25">
            <v>12</v>
          </cell>
          <cell r="E25" t="str">
            <v>Flat</v>
          </cell>
          <cell r="F25">
            <v>16</v>
          </cell>
        </row>
        <row r="26">
          <cell r="A26" t="str">
            <v>Decrease</v>
          </cell>
          <cell r="B26">
            <v>1</v>
          </cell>
          <cell r="E26" t="str">
            <v>Decrease</v>
          </cell>
          <cell r="F26">
            <v>5</v>
          </cell>
        </row>
        <row r="27">
          <cell r="A27" t="str">
            <v>Don't Use</v>
          </cell>
          <cell r="B27">
            <v>30</v>
          </cell>
          <cell r="E27" t="str">
            <v>Don't Use</v>
          </cell>
          <cell r="F27">
            <v>21</v>
          </cell>
        </row>
        <row r="28">
          <cell r="A28" t="str">
            <v>Grand Total</v>
          </cell>
          <cell r="B28">
            <v>50</v>
          </cell>
          <cell r="E28" t="str">
            <v>Grand Total</v>
          </cell>
          <cell r="F28">
            <v>50</v>
          </cell>
        </row>
        <row r="30">
          <cell r="A30" t="str">
            <v>US / EU</v>
          </cell>
          <cell r="B30" t="str">
            <v>US</v>
          </cell>
          <cell r="E30" t="str">
            <v>US / EU</v>
          </cell>
          <cell r="F30" t="str">
            <v>US</v>
          </cell>
        </row>
        <row r="31">
          <cell r="A31" t="str">
            <v>Industry</v>
          </cell>
          <cell r="B31" t="str">
            <v>(All)</v>
          </cell>
          <cell r="E31" t="str">
            <v>Industry</v>
          </cell>
          <cell r="F31" t="str">
            <v>(All)</v>
          </cell>
        </row>
        <row r="32">
          <cell r="A32" t="str">
            <v>Revenue</v>
          </cell>
          <cell r="B32" t="str">
            <v>(All)</v>
          </cell>
          <cell r="E32" t="str">
            <v>Revenue</v>
          </cell>
          <cell r="F32" t="str">
            <v>(All)</v>
          </cell>
        </row>
        <row r="34">
          <cell r="A34" t="str">
            <v>Count of 8 IBM</v>
          </cell>
          <cell r="E34" t="str">
            <v>Count of 8 NetApp</v>
          </cell>
        </row>
        <row r="35">
          <cell r="A35" t="str">
            <v>8 IBM</v>
          </cell>
          <cell r="B35" t="str">
            <v>Total</v>
          </cell>
          <cell r="E35" t="str">
            <v>8 NetApp</v>
          </cell>
          <cell r="F35" t="str">
            <v>Total</v>
          </cell>
        </row>
        <row r="36">
          <cell r="A36" t="str">
            <v>Increase</v>
          </cell>
          <cell r="B36">
            <v>5</v>
          </cell>
          <cell r="E36" t="str">
            <v>Increase</v>
          </cell>
          <cell r="F36">
            <v>11</v>
          </cell>
        </row>
        <row r="37">
          <cell r="A37" t="str">
            <v>Flat</v>
          </cell>
          <cell r="B37">
            <v>20</v>
          </cell>
          <cell r="E37" t="str">
            <v>Flat</v>
          </cell>
          <cell r="F37">
            <v>13</v>
          </cell>
        </row>
        <row r="38">
          <cell r="A38" t="str">
            <v>Decrease</v>
          </cell>
          <cell r="B38">
            <v>3</v>
          </cell>
          <cell r="E38" t="str">
            <v>Decrease</v>
          </cell>
          <cell r="F38">
            <v>6</v>
          </cell>
        </row>
        <row r="39">
          <cell r="A39" t="str">
            <v>Don't Use</v>
          </cell>
          <cell r="B39">
            <v>22</v>
          </cell>
          <cell r="E39" t="str">
            <v>Don't Use</v>
          </cell>
          <cell r="F39">
            <v>20</v>
          </cell>
        </row>
        <row r="40">
          <cell r="A40" t="str">
            <v>Grand Total</v>
          </cell>
          <cell r="B40">
            <v>50</v>
          </cell>
          <cell r="E40" t="str">
            <v>Grand Total</v>
          </cell>
          <cell r="F40">
            <v>50</v>
          </cell>
        </row>
        <row r="42">
          <cell r="A42" t="str">
            <v>US / EU</v>
          </cell>
          <cell r="B42" t="str">
            <v>US</v>
          </cell>
        </row>
        <row r="43">
          <cell r="A43" t="str">
            <v>Industry</v>
          </cell>
          <cell r="B43" t="str">
            <v>(All)</v>
          </cell>
        </row>
        <row r="44">
          <cell r="A44" t="str">
            <v>Revenue</v>
          </cell>
          <cell r="B44" t="str">
            <v>(All)</v>
          </cell>
        </row>
        <row r="46">
          <cell r="A46" t="str">
            <v>Count of 8 Oracle/Sun</v>
          </cell>
        </row>
        <row r="47">
          <cell r="A47" t="str">
            <v>8 Oracle/Sun</v>
          </cell>
          <cell r="B47" t="str">
            <v>Total</v>
          </cell>
        </row>
        <row r="48">
          <cell r="A48" t="str">
            <v>Increase</v>
          </cell>
          <cell r="B48">
            <v>4</v>
          </cell>
        </row>
        <row r="49">
          <cell r="A49" t="str">
            <v>Flat</v>
          </cell>
          <cell r="B49">
            <v>13</v>
          </cell>
        </row>
        <row r="50">
          <cell r="A50" t="str">
            <v>Decrease</v>
          </cell>
          <cell r="B50">
            <v>6</v>
          </cell>
        </row>
        <row r="51">
          <cell r="A51" t="str">
            <v>Don't Use</v>
          </cell>
          <cell r="B51">
            <v>27</v>
          </cell>
        </row>
        <row r="52">
          <cell r="A52" t="str">
            <v>Grand Total</v>
          </cell>
          <cell r="B52">
            <v>50</v>
          </cell>
        </row>
      </sheetData>
      <sheetData sheetId="8">
        <row r="1">
          <cell r="A1" t="str">
            <v>Morgan Stanley Hardware Survey - November 2011</v>
          </cell>
        </row>
        <row r="3">
          <cell r="A3" t="str">
            <v>9. Have you evaluated EMC’s new storage products?</v>
          </cell>
        </row>
        <row r="4">
          <cell r="A4" t="str">
            <v>Please indicate if you are an existing EMC customer.</v>
          </cell>
          <cell r="E4" t="str">
            <v>Use EMC Now?</v>
          </cell>
          <cell r="J4" t="str">
            <v>VNXe</v>
          </cell>
          <cell r="M4" t="str">
            <v>VNX</v>
          </cell>
          <cell r="P4" t="str">
            <v>Isilon</v>
          </cell>
        </row>
        <row r="5">
          <cell r="E5" t="str">
            <v>Apr 11 Survey</v>
          </cell>
          <cell r="F5" t="str">
            <v>Jul 11 Survey</v>
          </cell>
          <cell r="G5" t="str">
            <v>Oct 11 Survey</v>
          </cell>
          <cell r="J5" t="str">
            <v>Apr 11 Survey</v>
          </cell>
          <cell r="K5" t="str">
            <v>Jul 11 Survey</v>
          </cell>
          <cell r="L5" t="str">
            <v>Oct 11 Survey</v>
          </cell>
          <cell r="M5" t="str">
            <v>Apr 11 Survey</v>
          </cell>
          <cell r="N5" t="str">
            <v>Jul 11 Survey</v>
          </cell>
          <cell r="O5" t="str">
            <v>Oct 11 Survey</v>
          </cell>
          <cell r="P5" t="str">
            <v>Apr 11 Survey</v>
          </cell>
          <cell r="Q5" t="str">
            <v>Jul 11 Survey</v>
          </cell>
          <cell r="R5" t="str">
            <v>Oct 11 Survey</v>
          </cell>
        </row>
        <row r="6">
          <cell r="A6" t="str">
            <v>US / EU</v>
          </cell>
          <cell r="B6" t="str">
            <v>US</v>
          </cell>
          <cell r="D6" t="str">
            <v>Yes</v>
          </cell>
          <cell r="E6">
            <v>0.72</v>
          </cell>
          <cell r="F6">
            <v>0.7</v>
          </cell>
          <cell r="G6">
            <v>0.74</v>
          </cell>
          <cell r="I6" t="str">
            <v>Intend to evaluate</v>
          </cell>
          <cell r="J6">
            <v>0.08</v>
          </cell>
          <cell r="K6">
            <v>0.08</v>
          </cell>
          <cell r="L6">
            <v>0.12</v>
          </cell>
          <cell r="M6">
            <v>0.08</v>
          </cell>
          <cell r="N6">
            <v>0.12</v>
          </cell>
          <cell r="O6">
            <v>0.24</v>
          </cell>
          <cell r="P6">
            <v>0</v>
          </cell>
          <cell r="Q6">
            <v>0.06</v>
          </cell>
          <cell r="R6">
            <v>0.22</v>
          </cell>
        </row>
        <row r="7">
          <cell r="A7" t="str">
            <v>Industry</v>
          </cell>
          <cell r="B7" t="str">
            <v>(All)</v>
          </cell>
          <cell r="D7" t="str">
            <v>No</v>
          </cell>
          <cell r="E7">
            <v>0.28000000000000003</v>
          </cell>
          <cell r="F7">
            <v>0.3</v>
          </cell>
          <cell r="G7">
            <v>0.26</v>
          </cell>
          <cell r="I7" t="str">
            <v>Evaluated and intend to purchase</v>
          </cell>
          <cell r="J7">
            <v>0.02</v>
          </cell>
          <cell r="K7">
            <v>0.06</v>
          </cell>
          <cell r="L7">
            <v>0.08</v>
          </cell>
          <cell r="M7">
            <v>0.06</v>
          </cell>
          <cell r="N7">
            <v>0.02</v>
          </cell>
          <cell r="O7">
            <v>0.06</v>
          </cell>
          <cell r="P7">
            <v>0.04</v>
          </cell>
          <cell r="Q7">
            <v>0.02</v>
          </cell>
          <cell r="R7">
            <v>0.06</v>
          </cell>
        </row>
        <row r="8">
          <cell r="A8" t="str">
            <v>Revenue</v>
          </cell>
          <cell r="B8" t="str">
            <v>(All)</v>
          </cell>
          <cell r="I8" t="str">
            <v>Evaluated, but no decision</v>
          </cell>
          <cell r="J8">
            <v>0.24</v>
          </cell>
          <cell r="K8">
            <v>0.18</v>
          </cell>
          <cell r="L8">
            <v>0.18</v>
          </cell>
          <cell r="M8">
            <v>0.22</v>
          </cell>
          <cell r="N8">
            <v>0.24</v>
          </cell>
          <cell r="O8">
            <v>0.26</v>
          </cell>
          <cell r="P8">
            <v>0.22</v>
          </cell>
          <cell r="Q8">
            <v>0.24</v>
          </cell>
          <cell r="R8">
            <v>0.22</v>
          </cell>
        </row>
        <row r="9">
          <cell r="I9" t="str">
            <v>Evaluated, but not interested</v>
          </cell>
          <cell r="J9">
            <v>0.16</v>
          </cell>
          <cell r="K9">
            <v>0.22</v>
          </cell>
          <cell r="L9">
            <v>0.22</v>
          </cell>
          <cell r="M9">
            <v>0.18</v>
          </cell>
          <cell r="N9">
            <v>0.18</v>
          </cell>
          <cell r="O9">
            <v>0.12</v>
          </cell>
          <cell r="P9">
            <v>0.12</v>
          </cell>
          <cell r="Q9">
            <v>0.12</v>
          </cell>
          <cell r="R9">
            <v>0.12</v>
          </cell>
        </row>
        <row r="10">
          <cell r="A10" t="str">
            <v>Count of 9 EMC Customer</v>
          </cell>
          <cell r="I10" t="str">
            <v>Have not evaluated</v>
          </cell>
          <cell r="J10">
            <v>0.5</v>
          </cell>
          <cell r="K10">
            <v>0.46</v>
          </cell>
          <cell r="L10">
            <v>0.4</v>
          </cell>
          <cell r="M10">
            <v>0.46</v>
          </cell>
          <cell r="N10">
            <v>0.44</v>
          </cell>
          <cell r="O10">
            <v>0.32</v>
          </cell>
          <cell r="P10">
            <v>0.62</v>
          </cell>
          <cell r="Q10">
            <v>0.56000000000000005</v>
          </cell>
          <cell r="R10">
            <v>0.38</v>
          </cell>
        </row>
        <row r="11">
          <cell r="A11" t="str">
            <v>9 EMC Customer</v>
          </cell>
          <cell r="B11" t="str">
            <v>Total</v>
          </cell>
        </row>
        <row r="12">
          <cell r="A12" t="str">
            <v>Yes</v>
          </cell>
          <cell r="B12">
            <v>37</v>
          </cell>
        </row>
        <row r="13">
          <cell r="A13" t="str">
            <v>No</v>
          </cell>
          <cell r="B13">
            <v>13</v>
          </cell>
        </row>
        <row r="14">
          <cell r="A14" t="str">
            <v>Grand Total</v>
          </cell>
          <cell r="B14">
            <v>50</v>
          </cell>
        </row>
        <row r="16">
          <cell r="A16" t="str">
            <v>US / EU</v>
          </cell>
          <cell r="B16" t="str">
            <v>US</v>
          </cell>
        </row>
        <row r="17">
          <cell r="A17" t="str">
            <v>Industry</v>
          </cell>
          <cell r="B17" t="str">
            <v>(All)</v>
          </cell>
        </row>
        <row r="18">
          <cell r="A18" t="str">
            <v>Revenue</v>
          </cell>
          <cell r="B18" t="str">
            <v>(All)</v>
          </cell>
        </row>
        <row r="20">
          <cell r="A20" t="str">
            <v>Count of 9 VNXe</v>
          </cell>
        </row>
        <row r="21">
          <cell r="A21" t="str">
            <v>9 VNXe</v>
          </cell>
          <cell r="B21" t="str">
            <v>Total</v>
          </cell>
        </row>
        <row r="22">
          <cell r="A22" t="str">
            <v>Intend to evaluate</v>
          </cell>
          <cell r="B22">
            <v>6</v>
          </cell>
        </row>
        <row r="23">
          <cell r="A23" t="str">
            <v>Evaluated and intend to purchase</v>
          </cell>
          <cell r="B23">
            <v>4</v>
          </cell>
        </row>
        <row r="24">
          <cell r="A24" t="str">
            <v>Evaluated, but no decision</v>
          </cell>
          <cell r="B24">
            <v>9</v>
          </cell>
        </row>
        <row r="25">
          <cell r="A25" t="str">
            <v>Evaluated, but not interested</v>
          </cell>
          <cell r="B25">
            <v>11</v>
          </cell>
        </row>
        <row r="26">
          <cell r="A26" t="str">
            <v>Have not evaluated</v>
          </cell>
          <cell r="B26">
            <v>20</v>
          </cell>
        </row>
        <row r="27">
          <cell r="A27" t="str">
            <v>Grand Total</v>
          </cell>
          <cell r="B27">
            <v>50</v>
          </cell>
        </row>
        <row r="29">
          <cell r="A29" t="str">
            <v>US / EU</v>
          </cell>
          <cell r="B29" t="str">
            <v>US</v>
          </cell>
        </row>
        <row r="30">
          <cell r="A30" t="str">
            <v>Industry</v>
          </cell>
          <cell r="B30" t="str">
            <v>(All)</v>
          </cell>
        </row>
        <row r="31">
          <cell r="A31" t="str">
            <v>Revenue</v>
          </cell>
          <cell r="B31" t="str">
            <v>(All)</v>
          </cell>
        </row>
        <row r="33">
          <cell r="A33" t="str">
            <v>Count of 9 VNX</v>
          </cell>
        </row>
        <row r="34">
          <cell r="A34" t="str">
            <v>9 VNX</v>
          </cell>
          <cell r="B34" t="str">
            <v>Total</v>
          </cell>
        </row>
        <row r="35">
          <cell r="A35" t="str">
            <v>Intend to evaluate</v>
          </cell>
          <cell r="B35">
            <v>12</v>
          </cell>
        </row>
        <row r="36">
          <cell r="A36" t="str">
            <v>Evaluated and intend to purchase</v>
          </cell>
          <cell r="B36">
            <v>3</v>
          </cell>
        </row>
        <row r="37">
          <cell r="A37" t="str">
            <v>Evaluated, but no decision</v>
          </cell>
          <cell r="B37">
            <v>13</v>
          </cell>
        </row>
        <row r="38">
          <cell r="A38" t="str">
            <v>Evaluated, but not interested</v>
          </cell>
          <cell r="B38">
            <v>6</v>
          </cell>
        </row>
        <row r="39">
          <cell r="A39" t="str">
            <v>Have not evaluated</v>
          </cell>
          <cell r="B39">
            <v>16</v>
          </cell>
        </row>
        <row r="40">
          <cell r="A40" t="str">
            <v>Grand Total</v>
          </cell>
          <cell r="B40">
            <v>50</v>
          </cell>
        </row>
        <row r="42">
          <cell r="A42" t="str">
            <v>US / EU</v>
          </cell>
          <cell r="B42" t="str">
            <v>US</v>
          </cell>
        </row>
        <row r="43">
          <cell r="A43" t="str">
            <v>Industry</v>
          </cell>
          <cell r="B43" t="str">
            <v>(All)</v>
          </cell>
        </row>
        <row r="44">
          <cell r="A44" t="str">
            <v>Revenue</v>
          </cell>
          <cell r="B44" t="str">
            <v>(All)</v>
          </cell>
          <cell r="G44" t="str">
            <v>VNXe</v>
          </cell>
          <cell r="K44" t="str">
            <v>VNX</v>
          </cell>
          <cell r="O44" t="str">
            <v>Isilon</v>
          </cell>
        </row>
        <row r="45">
          <cell r="F45" t="str">
            <v>Apr 11 Survey</v>
          </cell>
          <cell r="G45" t="str">
            <v>Jul 11 Survey</v>
          </cell>
          <cell r="H45" t="str">
            <v>Oct 11 Survey</v>
          </cell>
          <cell r="J45" t="str">
            <v>Apr 11 Survey</v>
          </cell>
          <cell r="K45" t="str">
            <v>Jul 11 Survey</v>
          </cell>
          <cell r="L45" t="str">
            <v>Oct 11 Survey</v>
          </cell>
          <cell r="N45" t="str">
            <v>Apr 11 Survey</v>
          </cell>
          <cell r="O45" t="str">
            <v>Jul 11 Survey</v>
          </cell>
          <cell r="P45" t="str">
            <v>Oct 11 Survey</v>
          </cell>
        </row>
        <row r="46">
          <cell r="A46" t="str">
            <v>Count of 9 Isilon</v>
          </cell>
          <cell r="D46" t="str">
            <v>Intend to evaluate</v>
          </cell>
          <cell r="F46">
            <v>0.08</v>
          </cell>
          <cell r="G46">
            <v>0.08</v>
          </cell>
          <cell r="H46">
            <v>0.12</v>
          </cell>
          <cell r="I46">
            <v>3.9999999999999994E-2</v>
          </cell>
          <cell r="J46">
            <v>0.08</v>
          </cell>
          <cell r="K46">
            <v>0.12</v>
          </cell>
          <cell r="L46">
            <v>0.24</v>
          </cell>
          <cell r="M46">
            <v>0.15999999999999998</v>
          </cell>
          <cell r="N46">
            <v>0</v>
          </cell>
          <cell r="O46">
            <v>0.06</v>
          </cell>
          <cell r="P46">
            <v>0.22</v>
          </cell>
          <cell r="Q46">
            <v>0.22</v>
          </cell>
        </row>
        <row r="47">
          <cell r="A47" t="str">
            <v>9 Isilon</v>
          </cell>
          <cell r="B47" t="str">
            <v>Total</v>
          </cell>
          <cell r="D47" t="str">
            <v>Evaluated and intend to purchase</v>
          </cell>
          <cell r="F47">
            <v>0.02</v>
          </cell>
          <cell r="G47">
            <v>0.06</v>
          </cell>
          <cell r="H47">
            <v>0.08</v>
          </cell>
          <cell r="J47">
            <v>0.06</v>
          </cell>
          <cell r="K47">
            <v>0.02</v>
          </cell>
          <cell r="L47">
            <v>0.06</v>
          </cell>
          <cell r="N47">
            <v>0.04</v>
          </cell>
          <cell r="O47">
            <v>0.02</v>
          </cell>
          <cell r="P47">
            <v>0.06</v>
          </cell>
        </row>
        <row r="48">
          <cell r="A48" t="str">
            <v>Intend to evaluate</v>
          </cell>
          <cell r="B48">
            <v>11</v>
          </cell>
          <cell r="D48" t="str">
            <v>Evaluated, but no decision</v>
          </cell>
          <cell r="F48">
            <v>0.24</v>
          </cell>
          <cell r="G48">
            <v>0.18</v>
          </cell>
          <cell r="H48">
            <v>0.18</v>
          </cell>
          <cell r="J48">
            <v>0.22</v>
          </cell>
          <cell r="K48">
            <v>0.24</v>
          </cell>
          <cell r="L48">
            <v>0.26</v>
          </cell>
          <cell r="N48">
            <v>0.22</v>
          </cell>
          <cell r="O48">
            <v>0.24</v>
          </cell>
          <cell r="P48">
            <v>0.22</v>
          </cell>
        </row>
        <row r="49">
          <cell r="A49" t="str">
            <v>Evaluated and intend to purchase</v>
          </cell>
          <cell r="B49">
            <v>3</v>
          </cell>
          <cell r="D49" t="str">
            <v>Evaluated, but not interested</v>
          </cell>
          <cell r="F49">
            <v>0.16</v>
          </cell>
          <cell r="G49">
            <v>0.22</v>
          </cell>
          <cell r="H49">
            <v>0.22</v>
          </cell>
          <cell r="J49">
            <v>0.18</v>
          </cell>
          <cell r="K49">
            <v>0.18</v>
          </cell>
          <cell r="L49">
            <v>0.12</v>
          </cell>
          <cell r="N49">
            <v>0.12</v>
          </cell>
          <cell r="O49">
            <v>0.12</v>
          </cell>
          <cell r="P49">
            <v>0.12</v>
          </cell>
        </row>
        <row r="50">
          <cell r="A50" t="str">
            <v>Evaluated, but no decision</v>
          </cell>
          <cell r="B50">
            <v>11</v>
          </cell>
          <cell r="D50" t="str">
            <v>Have not evaluated</v>
          </cell>
          <cell r="F50">
            <v>0.5</v>
          </cell>
          <cell r="G50">
            <v>0.46</v>
          </cell>
          <cell r="H50">
            <v>0.4</v>
          </cell>
          <cell r="J50">
            <v>0.46</v>
          </cell>
          <cell r="K50">
            <v>0.44</v>
          </cell>
          <cell r="L50">
            <v>0.32</v>
          </cell>
          <cell r="N50">
            <v>0.62</v>
          </cell>
          <cell r="O50">
            <v>0.56000000000000005</v>
          </cell>
          <cell r="P50">
            <v>0.38</v>
          </cell>
        </row>
        <row r="51">
          <cell r="A51" t="str">
            <v>Evaluated, but not interested</v>
          </cell>
          <cell r="B51">
            <v>6</v>
          </cell>
        </row>
        <row r="52">
          <cell r="A52" t="str">
            <v>Have not evaluated</v>
          </cell>
          <cell r="B52">
            <v>19</v>
          </cell>
        </row>
        <row r="53">
          <cell r="A53" t="str">
            <v>Grand Total</v>
          </cell>
          <cell r="B53">
            <v>50</v>
          </cell>
        </row>
      </sheetData>
      <sheetData sheetId="9">
        <row r="1">
          <cell r="A1" t="str">
            <v>Morgan Stanley Hardware Survey - November 2011</v>
          </cell>
        </row>
        <row r="3">
          <cell r="A3" t="str">
            <v>10.  What percentage of your PC and enterprise storage environment utilize flash based</v>
          </cell>
        </row>
        <row r="4">
          <cell r="A4" t="str">
            <v xml:space="preserve"> (i.e. SSD, PCIe cards) storage today?  What percentage do you expect in one year?    </v>
          </cell>
        </row>
        <row r="6">
          <cell r="A6" t="str">
            <v>US / EU</v>
          </cell>
          <cell r="B6" t="str">
            <v>US</v>
          </cell>
          <cell r="E6" t="str">
            <v>US / EU</v>
          </cell>
          <cell r="F6" t="str">
            <v>US</v>
          </cell>
          <cell r="I6" t="str">
            <v>PCs</v>
          </cell>
          <cell r="K6" t="str">
            <v>Storage</v>
          </cell>
        </row>
        <row r="7">
          <cell r="A7" t="str">
            <v>Industry</v>
          </cell>
          <cell r="B7" t="str">
            <v>(All)</v>
          </cell>
          <cell r="E7" t="str">
            <v>Industry</v>
          </cell>
          <cell r="F7" t="str">
            <v>(All)</v>
          </cell>
          <cell r="I7" t="str">
            <v>Currently</v>
          </cell>
          <cell r="J7" t="str">
            <v>In 1 Year</v>
          </cell>
          <cell r="K7" t="str">
            <v>Currently</v>
          </cell>
          <cell r="L7" t="str">
            <v>In 1 Year</v>
          </cell>
        </row>
        <row r="8">
          <cell r="A8" t="str">
            <v>Revenue</v>
          </cell>
          <cell r="B8" t="str">
            <v>(All)</v>
          </cell>
          <cell r="E8" t="str">
            <v>Revenue</v>
          </cell>
          <cell r="F8" t="str">
            <v>(All)</v>
          </cell>
          <cell r="H8">
            <v>0</v>
          </cell>
          <cell r="I8">
            <v>37</v>
          </cell>
          <cell r="J8">
            <v>45</v>
          </cell>
          <cell r="K8">
            <v>30</v>
          </cell>
          <cell r="L8">
            <v>20</v>
          </cell>
          <cell r="N8">
            <v>0</v>
          </cell>
        </row>
        <row r="9">
          <cell r="H9" t="str">
            <v>1-10%</v>
          </cell>
          <cell r="I9">
            <v>8</v>
          </cell>
          <cell r="J9">
            <v>19</v>
          </cell>
          <cell r="K9">
            <v>14</v>
          </cell>
          <cell r="L9">
            <v>14</v>
          </cell>
          <cell r="N9">
            <v>0.05</v>
          </cell>
        </row>
        <row r="10">
          <cell r="A10" t="str">
            <v>Count of 10 SSD % PCs Currently</v>
          </cell>
          <cell r="E10" t="str">
            <v>Count of 10 SSD % PCs In 1 Year</v>
          </cell>
          <cell r="H10" t="str">
            <v>11-20%</v>
          </cell>
          <cell r="I10">
            <v>4</v>
          </cell>
          <cell r="J10">
            <v>4</v>
          </cell>
          <cell r="K10">
            <v>4</v>
          </cell>
          <cell r="L10">
            <v>7</v>
          </cell>
          <cell r="N10">
            <v>0.15</v>
          </cell>
        </row>
        <row r="11">
          <cell r="A11" t="str">
            <v>10 SSD % PCs Currently</v>
          </cell>
          <cell r="B11" t="str">
            <v>Total</v>
          </cell>
          <cell r="E11" t="str">
            <v>10 SSD % PCs In 1 Year</v>
          </cell>
          <cell r="F11" t="str">
            <v>Total</v>
          </cell>
          <cell r="H11" t="str">
            <v>21-30%</v>
          </cell>
          <cell r="I11">
            <v>1</v>
          </cell>
          <cell r="J11">
            <v>3</v>
          </cell>
          <cell r="K11">
            <v>2</v>
          </cell>
          <cell r="L11">
            <v>5</v>
          </cell>
          <cell r="N11">
            <v>0.25</v>
          </cell>
        </row>
        <row r="12">
          <cell r="A12">
            <v>0</v>
          </cell>
          <cell r="B12">
            <v>37</v>
          </cell>
          <cell r="E12">
            <v>0</v>
          </cell>
          <cell r="F12">
            <v>28</v>
          </cell>
          <cell r="H12" t="str">
            <v>31-40%</v>
          </cell>
          <cell r="I12">
            <v>0</v>
          </cell>
          <cell r="J12">
            <v>3</v>
          </cell>
          <cell r="K12">
            <v>0</v>
          </cell>
          <cell r="L12">
            <v>2</v>
          </cell>
          <cell r="N12">
            <v>0.35</v>
          </cell>
        </row>
        <row r="13">
          <cell r="A13" t="str">
            <v>1-10%</v>
          </cell>
          <cell r="B13">
            <v>8</v>
          </cell>
          <cell r="E13" t="str">
            <v>1-10%</v>
          </cell>
          <cell r="F13">
            <v>14</v>
          </cell>
          <cell r="H13" t="str">
            <v>41-50%</v>
          </cell>
          <cell r="I13">
            <v>0</v>
          </cell>
          <cell r="J13">
            <v>1</v>
          </cell>
          <cell r="K13">
            <v>0</v>
          </cell>
          <cell r="L13">
            <v>1</v>
          </cell>
          <cell r="N13">
            <v>0.45</v>
          </cell>
        </row>
        <row r="14">
          <cell r="A14" t="str">
            <v>11-20%</v>
          </cell>
          <cell r="B14">
            <v>4</v>
          </cell>
          <cell r="E14" t="str">
            <v>11-20%</v>
          </cell>
          <cell r="F14">
            <v>2</v>
          </cell>
          <cell r="H14" t="str">
            <v>51-60%</v>
          </cell>
          <cell r="I14">
            <v>0</v>
          </cell>
          <cell r="J14">
            <v>0</v>
          </cell>
          <cell r="K14">
            <v>0</v>
          </cell>
          <cell r="L14">
            <v>1</v>
          </cell>
          <cell r="N14">
            <v>0.55000000000000004</v>
          </cell>
        </row>
        <row r="15">
          <cell r="A15" t="str">
            <v>21-30%</v>
          </cell>
          <cell r="B15">
            <v>1</v>
          </cell>
          <cell r="E15" t="str">
            <v>21-30%</v>
          </cell>
          <cell r="F15">
            <v>3</v>
          </cell>
          <cell r="J15">
            <v>1.625</v>
          </cell>
          <cell r="L15">
            <v>1.6444444444444448</v>
          </cell>
        </row>
        <row r="16">
          <cell r="A16" t="str">
            <v>Grand Total</v>
          </cell>
          <cell r="B16">
            <v>50</v>
          </cell>
          <cell r="E16" t="str">
            <v>31-40%</v>
          </cell>
          <cell r="F16">
            <v>2</v>
          </cell>
          <cell r="H16" t="str">
            <v>Jul 11 Survey</v>
          </cell>
          <cell r="I16">
            <v>0.04</v>
          </cell>
          <cell r="J16">
            <v>6.5000000000000002E-2</v>
          </cell>
          <cell r="K16">
            <v>4.4999999999999998E-2</v>
          </cell>
          <cell r="L16">
            <v>7.400000000000001E-2</v>
          </cell>
        </row>
        <row r="17">
          <cell r="E17" t="str">
            <v>41-50%</v>
          </cell>
          <cell r="F17">
            <v>1</v>
          </cell>
          <cell r="H17" t="str">
            <v>Oct 11 Survey</v>
          </cell>
          <cell r="I17">
            <v>2.5000000000000001E-2</v>
          </cell>
          <cell r="J17">
            <v>5.0666666666666665E-2</v>
          </cell>
          <cell r="K17">
            <v>3.6000000000000004E-2</v>
          </cell>
          <cell r="L17">
            <v>9.4E-2</v>
          </cell>
        </row>
        <row r="18">
          <cell r="E18" t="str">
            <v>Grand Total</v>
          </cell>
          <cell r="F18">
            <v>50</v>
          </cell>
          <cell r="J18">
            <v>2.0266666666666664</v>
          </cell>
          <cell r="L18">
            <v>2.6111111111111107</v>
          </cell>
        </row>
        <row r="20">
          <cell r="A20" t="str">
            <v>US / EU</v>
          </cell>
          <cell r="B20" t="str">
            <v>US</v>
          </cell>
          <cell r="E20" t="str">
            <v>US / EU</v>
          </cell>
          <cell r="F20" t="str">
            <v>US</v>
          </cell>
        </row>
        <row r="21">
          <cell r="A21" t="str">
            <v>Industry</v>
          </cell>
          <cell r="B21" t="str">
            <v>(All)</v>
          </cell>
          <cell r="E21" t="str">
            <v>Industry</v>
          </cell>
          <cell r="F21" t="str">
            <v>(All)</v>
          </cell>
        </row>
        <row r="22">
          <cell r="A22" t="str">
            <v>Revenue</v>
          </cell>
          <cell r="B22" t="str">
            <v>(All)</v>
          </cell>
          <cell r="E22" t="str">
            <v>Revenue</v>
          </cell>
          <cell r="F22" t="str">
            <v>(All)</v>
          </cell>
        </row>
        <row r="24">
          <cell r="A24" t="str">
            <v>Count of 10 SSD % Storage Currently</v>
          </cell>
          <cell r="E24" t="str">
            <v>Count of 10 SSD % Storage In 1 Year</v>
          </cell>
        </row>
        <row r="25">
          <cell r="A25" t="str">
            <v>10 SSD % Storage Currently</v>
          </cell>
          <cell r="B25" t="str">
            <v>Total</v>
          </cell>
          <cell r="E25" t="str">
            <v>10 SSD % Storage In 1 Year</v>
          </cell>
          <cell r="F25" t="str">
            <v>Total</v>
          </cell>
        </row>
        <row r="26">
          <cell r="A26">
            <v>0</v>
          </cell>
          <cell r="B26">
            <v>30</v>
          </cell>
          <cell r="E26">
            <v>0</v>
          </cell>
          <cell r="F26">
            <v>20</v>
          </cell>
        </row>
        <row r="27">
          <cell r="A27" t="str">
            <v>1-10%</v>
          </cell>
          <cell r="B27">
            <v>14</v>
          </cell>
          <cell r="E27" t="str">
            <v>1-10%</v>
          </cell>
          <cell r="F27">
            <v>14</v>
          </cell>
        </row>
        <row r="28">
          <cell r="A28" t="str">
            <v>11-20%</v>
          </cell>
          <cell r="B28">
            <v>4</v>
          </cell>
          <cell r="E28" t="str">
            <v>11-20%</v>
          </cell>
          <cell r="F28">
            <v>7</v>
          </cell>
        </row>
        <row r="29">
          <cell r="A29" t="str">
            <v>21-30%</v>
          </cell>
          <cell r="B29">
            <v>2</v>
          </cell>
          <cell r="E29" t="str">
            <v>21-30%</v>
          </cell>
          <cell r="F29">
            <v>5</v>
          </cell>
        </row>
        <row r="30">
          <cell r="A30" t="str">
            <v>Grand Total</v>
          </cell>
          <cell r="B30">
            <v>50</v>
          </cell>
          <cell r="E30" t="str">
            <v>31-40%</v>
          </cell>
          <cell r="F30">
            <v>2</v>
          </cell>
        </row>
        <row r="31">
          <cell r="E31" t="str">
            <v>41-50%</v>
          </cell>
          <cell r="F31">
            <v>1</v>
          </cell>
        </row>
        <row r="32">
          <cell r="E32" t="str">
            <v>51-60%</v>
          </cell>
          <cell r="F32">
            <v>1</v>
          </cell>
        </row>
        <row r="33">
          <cell r="E33" t="str">
            <v>Grand Total</v>
          </cell>
          <cell r="F33">
            <v>50</v>
          </cell>
        </row>
      </sheetData>
      <sheetData sheetId="10">
        <row r="1">
          <cell r="A1" t="str">
            <v>Morgan Stanley Hardware Survey - November 2011</v>
          </cell>
        </row>
        <row r="3">
          <cell r="A3" t="str">
            <v>11. Over the next 12 months, what are your Business Analytics spending plans (Datawarehouse,</v>
          </cell>
        </row>
        <row r="4">
          <cell r="A4" t="str">
            <v xml:space="preserve"> BI apps, etc.) overall and as it relates to specific vendors? </v>
          </cell>
        </row>
        <row r="6">
          <cell r="A6" t="str">
            <v>US / EU</v>
          </cell>
          <cell r="B6" t="str">
            <v>(All)</v>
          </cell>
          <cell r="D6" t="str">
            <v>US / EU</v>
          </cell>
          <cell r="E6" t="str">
            <v>(All)</v>
          </cell>
          <cell r="H6" t="str">
            <v>Teradata</v>
          </cell>
          <cell r="I6" t="str">
            <v>Microstrategy</v>
          </cell>
          <cell r="J6" t="str">
            <v>Oracle</v>
          </cell>
          <cell r="K6" t="str">
            <v>SAS</v>
          </cell>
          <cell r="L6" t="str">
            <v>IBM/Netezza</v>
          </cell>
          <cell r="M6" t="str">
            <v>HP/Vertica</v>
          </cell>
          <cell r="N6" t="str">
            <v>SAP/Sybase</v>
          </cell>
          <cell r="O6" t="str">
            <v>Informatica</v>
          </cell>
          <cell r="P6" t="str">
            <v>Microsoft</v>
          </cell>
        </row>
        <row r="7">
          <cell r="A7" t="str">
            <v>Industry</v>
          </cell>
          <cell r="B7" t="str">
            <v>(All)</v>
          </cell>
          <cell r="D7" t="str">
            <v>Industry</v>
          </cell>
          <cell r="E7" t="str">
            <v>(All)</v>
          </cell>
          <cell r="G7" t="str">
            <v>Increase</v>
          </cell>
          <cell r="H7">
            <v>8</v>
          </cell>
          <cell r="I7">
            <v>2</v>
          </cell>
          <cell r="J7">
            <v>9</v>
          </cell>
          <cell r="K7">
            <v>4</v>
          </cell>
          <cell r="L7">
            <v>7</v>
          </cell>
          <cell r="M7">
            <v>4</v>
          </cell>
          <cell r="N7">
            <v>8</v>
          </cell>
          <cell r="O7">
            <v>4</v>
          </cell>
          <cell r="P7">
            <v>7</v>
          </cell>
        </row>
        <row r="8">
          <cell r="A8" t="str">
            <v>Revenue</v>
          </cell>
          <cell r="B8" t="str">
            <v>(All)</v>
          </cell>
          <cell r="D8" t="str">
            <v>Revenue</v>
          </cell>
          <cell r="E8" t="str">
            <v>(All)</v>
          </cell>
          <cell r="G8" t="str">
            <v>Flat</v>
          </cell>
          <cell r="H8">
            <v>22</v>
          </cell>
          <cell r="I8">
            <v>13</v>
          </cell>
          <cell r="J8">
            <v>32</v>
          </cell>
          <cell r="K8">
            <v>17</v>
          </cell>
          <cell r="L8">
            <v>18</v>
          </cell>
          <cell r="M8">
            <v>18</v>
          </cell>
          <cell r="N8">
            <v>23</v>
          </cell>
          <cell r="O8">
            <v>18</v>
          </cell>
          <cell r="P8">
            <v>26</v>
          </cell>
        </row>
        <row r="9">
          <cell r="G9" t="str">
            <v>Decrease</v>
          </cell>
          <cell r="H9">
            <v>3</v>
          </cell>
          <cell r="J9">
            <v>4</v>
          </cell>
          <cell r="K9">
            <v>2</v>
          </cell>
          <cell r="L9">
            <v>5</v>
          </cell>
          <cell r="M9">
            <v>3</v>
          </cell>
          <cell r="N9">
            <v>7</v>
          </cell>
          <cell r="O9">
            <v>4</v>
          </cell>
          <cell r="P9">
            <v>7</v>
          </cell>
        </row>
        <row r="10">
          <cell r="A10" t="str">
            <v>Count of 11 Overall Business Analytics Spending</v>
          </cell>
          <cell r="D10" t="str">
            <v>Count of 11 HP / Vertica</v>
          </cell>
          <cell r="G10" t="str">
            <v>Don't Use</v>
          </cell>
          <cell r="H10">
            <v>42</v>
          </cell>
          <cell r="I10">
            <v>60</v>
          </cell>
          <cell r="J10">
            <v>30</v>
          </cell>
          <cell r="K10">
            <v>52</v>
          </cell>
          <cell r="L10">
            <v>45</v>
          </cell>
          <cell r="M10">
            <v>50</v>
          </cell>
          <cell r="N10">
            <v>37</v>
          </cell>
          <cell r="O10">
            <v>49</v>
          </cell>
          <cell r="P10">
            <v>35</v>
          </cell>
        </row>
        <row r="11">
          <cell r="A11" t="str">
            <v>11 Overall Business Analytics Spending</v>
          </cell>
          <cell r="B11" t="str">
            <v>Total</v>
          </cell>
          <cell r="D11" t="str">
            <v>11 HP / Vertica</v>
          </cell>
          <cell r="E11" t="str">
            <v>Total</v>
          </cell>
        </row>
        <row r="12">
          <cell r="A12" t="str">
            <v>Increase</v>
          </cell>
          <cell r="B12">
            <v>26</v>
          </cell>
          <cell r="D12" t="str">
            <v>Increase</v>
          </cell>
          <cell r="E12">
            <v>4</v>
          </cell>
          <cell r="G12" t="str">
            <v>Increase</v>
          </cell>
          <cell r="H12">
            <v>0.24242424242424243</v>
          </cell>
          <cell r="I12">
            <v>0.13333333333333333</v>
          </cell>
          <cell r="J12">
            <v>0.2</v>
          </cell>
          <cell r="K12">
            <v>0.17391304347826086</v>
          </cell>
          <cell r="L12">
            <v>0.23333333333333334</v>
          </cell>
          <cell r="M12">
            <v>0.16</v>
          </cell>
          <cell r="N12">
            <v>0.21052631578947367</v>
          </cell>
          <cell r="O12">
            <v>0.15384615384615385</v>
          </cell>
          <cell r="P12">
            <v>0.17499999999999999</v>
          </cell>
        </row>
        <row r="13">
          <cell r="A13" t="str">
            <v>Flat</v>
          </cell>
          <cell r="B13">
            <v>34</v>
          </cell>
          <cell r="D13" t="str">
            <v>Flat</v>
          </cell>
          <cell r="E13">
            <v>18</v>
          </cell>
          <cell r="G13" t="str">
            <v>Decrease</v>
          </cell>
          <cell r="H13">
            <v>-9.0909090909090912E-2</v>
          </cell>
          <cell r="I13">
            <v>0</v>
          </cell>
          <cell r="J13">
            <v>-8.8888888888888892E-2</v>
          </cell>
          <cell r="K13">
            <v>-8.6956521739130432E-2</v>
          </cell>
          <cell r="L13">
            <v>-0.16666666666666666</v>
          </cell>
          <cell r="M13">
            <v>-0.12</v>
          </cell>
          <cell r="N13">
            <v>-0.18421052631578946</v>
          </cell>
          <cell r="O13">
            <v>-0.15384615384615385</v>
          </cell>
          <cell r="P13">
            <v>-0.17499999999999999</v>
          </cell>
        </row>
        <row r="14">
          <cell r="A14" t="str">
            <v>Decrease</v>
          </cell>
          <cell r="B14">
            <v>14</v>
          </cell>
          <cell r="D14" t="str">
            <v>Decrease</v>
          </cell>
          <cell r="E14">
            <v>3</v>
          </cell>
        </row>
        <row r="15">
          <cell r="A15" t="str">
            <v>Don't Use</v>
          </cell>
          <cell r="B15">
            <v>1</v>
          </cell>
          <cell r="D15" t="str">
            <v>Don't Use</v>
          </cell>
          <cell r="E15">
            <v>50</v>
          </cell>
          <cell r="G15" t="str">
            <v>Net</v>
          </cell>
          <cell r="H15">
            <v>0.15151515151515152</v>
          </cell>
          <cell r="I15">
            <v>0.13333333333333333</v>
          </cell>
          <cell r="J15">
            <v>0.11111111111111112</v>
          </cell>
          <cell r="K15">
            <v>8.6956521739130432E-2</v>
          </cell>
          <cell r="L15">
            <v>6.666666666666668E-2</v>
          </cell>
          <cell r="M15">
            <v>4.0000000000000008E-2</v>
          </cell>
          <cell r="N15">
            <v>2.6315789473684209E-2</v>
          </cell>
          <cell r="O15">
            <v>0</v>
          </cell>
          <cell r="P15">
            <v>0</v>
          </cell>
        </row>
        <row r="16">
          <cell r="A16" t="str">
            <v>Grand Total</v>
          </cell>
          <cell r="B16">
            <v>75</v>
          </cell>
          <cell r="D16" t="str">
            <v>Grand Total</v>
          </cell>
          <cell r="E16">
            <v>75</v>
          </cell>
        </row>
        <row r="18">
          <cell r="A18" t="str">
            <v>US / EU</v>
          </cell>
          <cell r="B18" t="str">
            <v>(All)</v>
          </cell>
          <cell r="D18" t="str">
            <v>US / EU</v>
          </cell>
          <cell r="E18" t="str">
            <v>(All)</v>
          </cell>
        </row>
        <row r="19">
          <cell r="A19" t="str">
            <v>Industry</v>
          </cell>
          <cell r="B19" t="str">
            <v>(All)</v>
          </cell>
          <cell r="D19" t="str">
            <v>Industry</v>
          </cell>
          <cell r="E19" t="str">
            <v>(All)</v>
          </cell>
        </row>
        <row r="20">
          <cell r="A20" t="str">
            <v>Revenue</v>
          </cell>
          <cell r="B20" t="str">
            <v>(All)</v>
          </cell>
          <cell r="D20" t="str">
            <v>Revenue</v>
          </cell>
          <cell r="E20" t="str">
            <v>(All)</v>
          </cell>
        </row>
        <row r="22">
          <cell r="A22" t="str">
            <v>Count of 11 IBM / Netezza</v>
          </cell>
          <cell r="D22" t="str">
            <v>Count of 11 Informatica</v>
          </cell>
        </row>
        <row r="23">
          <cell r="A23" t="str">
            <v>11 IBM / Netezza</v>
          </cell>
          <cell r="B23" t="str">
            <v>Total</v>
          </cell>
          <cell r="D23" t="str">
            <v>11 Informatica</v>
          </cell>
          <cell r="E23" t="str">
            <v>Total</v>
          </cell>
        </row>
        <row r="24">
          <cell r="A24" t="str">
            <v>Increase</v>
          </cell>
          <cell r="B24">
            <v>7</v>
          </cell>
          <cell r="D24" t="str">
            <v>Increase</v>
          </cell>
          <cell r="E24">
            <v>4</v>
          </cell>
        </row>
        <row r="25">
          <cell r="A25" t="str">
            <v>Flat</v>
          </cell>
          <cell r="B25">
            <v>18</v>
          </cell>
          <cell r="D25" t="str">
            <v>Flat</v>
          </cell>
          <cell r="E25">
            <v>18</v>
          </cell>
        </row>
        <row r="26">
          <cell r="A26" t="str">
            <v>Decrease</v>
          </cell>
          <cell r="B26">
            <v>5</v>
          </cell>
          <cell r="D26" t="str">
            <v>Decrease</v>
          </cell>
          <cell r="E26">
            <v>4</v>
          </cell>
        </row>
        <row r="27">
          <cell r="A27" t="str">
            <v>Don't Use</v>
          </cell>
          <cell r="B27">
            <v>45</v>
          </cell>
          <cell r="D27" t="str">
            <v>Don't Use</v>
          </cell>
          <cell r="E27">
            <v>49</v>
          </cell>
        </row>
        <row r="28">
          <cell r="A28" t="str">
            <v>Grand Total</v>
          </cell>
          <cell r="B28">
            <v>75</v>
          </cell>
          <cell r="D28" t="str">
            <v>Grand Total</v>
          </cell>
          <cell r="E28">
            <v>75</v>
          </cell>
        </row>
        <row r="30">
          <cell r="A30" t="str">
            <v>US / EU</v>
          </cell>
          <cell r="B30" t="str">
            <v>(All)</v>
          </cell>
          <cell r="D30" t="str">
            <v>US / EU</v>
          </cell>
          <cell r="E30" t="str">
            <v>(All)</v>
          </cell>
        </row>
        <row r="31">
          <cell r="A31" t="str">
            <v>Industry</v>
          </cell>
          <cell r="B31" t="str">
            <v>(All)</v>
          </cell>
          <cell r="D31" t="str">
            <v>Industry</v>
          </cell>
          <cell r="E31" t="str">
            <v>(All)</v>
          </cell>
        </row>
        <row r="32">
          <cell r="A32" t="str">
            <v>Revenue</v>
          </cell>
          <cell r="B32" t="str">
            <v>(All)</v>
          </cell>
          <cell r="D32" t="str">
            <v>Revenue</v>
          </cell>
          <cell r="E32" t="str">
            <v>(All)</v>
          </cell>
        </row>
        <row r="34">
          <cell r="A34" t="str">
            <v>Count of 11 Microsoft</v>
          </cell>
          <cell r="D34" t="str">
            <v>Count of 11 Microstrategy</v>
          </cell>
        </row>
        <row r="35">
          <cell r="A35" t="str">
            <v>11 Microsoft</v>
          </cell>
          <cell r="B35" t="str">
            <v>Total</v>
          </cell>
          <cell r="D35" t="str">
            <v>11 Microstrategy</v>
          </cell>
          <cell r="E35" t="str">
            <v>Total</v>
          </cell>
        </row>
        <row r="36">
          <cell r="A36" t="str">
            <v>Increase</v>
          </cell>
          <cell r="B36">
            <v>7</v>
          </cell>
          <cell r="D36" t="str">
            <v>Increase</v>
          </cell>
          <cell r="E36">
            <v>2</v>
          </cell>
        </row>
        <row r="37">
          <cell r="A37" t="str">
            <v>Flat</v>
          </cell>
          <cell r="B37">
            <v>26</v>
          </cell>
          <cell r="D37" t="str">
            <v>Flat</v>
          </cell>
          <cell r="E37">
            <v>13</v>
          </cell>
        </row>
        <row r="38">
          <cell r="A38" t="str">
            <v>Decrease</v>
          </cell>
          <cell r="B38">
            <v>7</v>
          </cell>
          <cell r="D38" t="str">
            <v>Don't Use</v>
          </cell>
          <cell r="E38">
            <v>60</v>
          </cell>
        </row>
        <row r="39">
          <cell r="A39" t="str">
            <v>Don't Use</v>
          </cell>
          <cell r="B39">
            <v>35</v>
          </cell>
          <cell r="D39" t="str">
            <v>Grand Total</v>
          </cell>
          <cell r="E39">
            <v>75</v>
          </cell>
        </row>
        <row r="40">
          <cell r="A40" t="str">
            <v>Grand Total</v>
          </cell>
          <cell r="B40">
            <v>75</v>
          </cell>
        </row>
        <row r="42">
          <cell r="A42" t="str">
            <v>US / EU</v>
          </cell>
          <cell r="B42" t="str">
            <v>(All)</v>
          </cell>
          <cell r="D42" t="str">
            <v>US / EU</v>
          </cell>
          <cell r="E42" t="str">
            <v>(All)</v>
          </cell>
        </row>
        <row r="43">
          <cell r="A43" t="str">
            <v>Industry</v>
          </cell>
          <cell r="B43" t="str">
            <v>(All)</v>
          </cell>
          <cell r="D43" t="str">
            <v>Industry</v>
          </cell>
          <cell r="E43" t="str">
            <v>(All)</v>
          </cell>
        </row>
        <row r="44">
          <cell r="A44" t="str">
            <v>Revenue</v>
          </cell>
          <cell r="B44" t="str">
            <v>(All)</v>
          </cell>
          <cell r="D44" t="str">
            <v>Revenue</v>
          </cell>
          <cell r="E44" t="str">
            <v>(All)</v>
          </cell>
        </row>
        <row r="46">
          <cell r="A46" t="str">
            <v>Count of 11 Oracle</v>
          </cell>
          <cell r="D46" t="str">
            <v>Count of 11 SAP / Sybase</v>
          </cell>
        </row>
        <row r="47">
          <cell r="A47" t="str">
            <v>11 Oracle</v>
          </cell>
          <cell r="B47" t="str">
            <v>Total</v>
          </cell>
          <cell r="D47" t="str">
            <v>11 SAP / Sybase</v>
          </cell>
          <cell r="E47" t="str">
            <v>Total</v>
          </cell>
        </row>
        <row r="48">
          <cell r="A48" t="str">
            <v>Increase</v>
          </cell>
          <cell r="B48">
            <v>9</v>
          </cell>
          <cell r="D48" t="str">
            <v>Increase</v>
          </cell>
          <cell r="E48">
            <v>8</v>
          </cell>
        </row>
        <row r="49">
          <cell r="A49" t="str">
            <v>Flat</v>
          </cell>
          <cell r="B49">
            <v>32</v>
          </cell>
          <cell r="D49" t="str">
            <v>Flat</v>
          </cell>
          <cell r="E49">
            <v>23</v>
          </cell>
        </row>
        <row r="50">
          <cell r="A50" t="str">
            <v>Decrease</v>
          </cell>
          <cell r="B50">
            <v>4</v>
          </cell>
          <cell r="D50" t="str">
            <v>Decrease</v>
          </cell>
          <cell r="E50">
            <v>7</v>
          </cell>
        </row>
        <row r="51">
          <cell r="A51" t="str">
            <v>Don't Use</v>
          </cell>
          <cell r="B51">
            <v>30</v>
          </cell>
          <cell r="D51" t="str">
            <v>Don't Use</v>
          </cell>
          <cell r="E51">
            <v>37</v>
          </cell>
        </row>
        <row r="52">
          <cell r="A52" t="str">
            <v>Grand Total</v>
          </cell>
          <cell r="B52">
            <v>75</v>
          </cell>
          <cell r="D52" t="str">
            <v>Grand Total</v>
          </cell>
          <cell r="E52">
            <v>75</v>
          </cell>
        </row>
        <row r="54">
          <cell r="A54" t="str">
            <v>US / EU</v>
          </cell>
          <cell r="B54" t="str">
            <v>(All)</v>
          </cell>
          <cell r="D54" t="str">
            <v>US / EU</v>
          </cell>
          <cell r="E54" t="str">
            <v>(All)</v>
          </cell>
        </row>
        <row r="55">
          <cell r="A55" t="str">
            <v>Industry</v>
          </cell>
          <cell r="B55" t="str">
            <v>(All)</v>
          </cell>
          <cell r="D55" t="str">
            <v>Industry</v>
          </cell>
          <cell r="E55" t="str">
            <v>(All)</v>
          </cell>
        </row>
        <row r="56">
          <cell r="A56" t="str">
            <v>Revenue</v>
          </cell>
          <cell r="B56" t="str">
            <v>(All)</v>
          </cell>
          <cell r="D56" t="str">
            <v>Revenue</v>
          </cell>
          <cell r="E56" t="str">
            <v>(All)</v>
          </cell>
        </row>
        <row r="58">
          <cell r="A58" t="str">
            <v>Count of 11 SAS</v>
          </cell>
          <cell r="D58" t="str">
            <v>Count of 11 Teradata</v>
          </cell>
        </row>
        <row r="59">
          <cell r="A59" t="str">
            <v>11 SAS</v>
          </cell>
          <cell r="B59" t="str">
            <v>Total</v>
          </cell>
          <cell r="D59" t="str">
            <v>11 Teradata</v>
          </cell>
          <cell r="E59" t="str">
            <v>Total</v>
          </cell>
        </row>
        <row r="60">
          <cell r="A60" t="str">
            <v>Increase</v>
          </cell>
          <cell r="B60">
            <v>4</v>
          </cell>
          <cell r="D60" t="str">
            <v>Increase</v>
          </cell>
          <cell r="E60">
            <v>8</v>
          </cell>
        </row>
        <row r="61">
          <cell r="A61" t="str">
            <v>Flat</v>
          </cell>
          <cell r="B61">
            <v>17</v>
          </cell>
          <cell r="D61" t="str">
            <v>Flat</v>
          </cell>
          <cell r="E61">
            <v>22</v>
          </cell>
        </row>
        <row r="62">
          <cell r="A62" t="str">
            <v>Decrease</v>
          </cell>
          <cell r="B62">
            <v>2</v>
          </cell>
          <cell r="D62" t="str">
            <v>Decrease</v>
          </cell>
          <cell r="E62">
            <v>3</v>
          </cell>
        </row>
        <row r="63">
          <cell r="A63" t="str">
            <v>Don't Use</v>
          </cell>
          <cell r="B63">
            <v>52</v>
          </cell>
          <cell r="D63" t="str">
            <v>Don't Use</v>
          </cell>
          <cell r="E63">
            <v>42</v>
          </cell>
        </row>
        <row r="64">
          <cell r="A64" t="str">
            <v>Grand Total</v>
          </cell>
          <cell r="B64">
            <v>75</v>
          </cell>
          <cell r="D64" t="str">
            <v>Grand Total</v>
          </cell>
          <cell r="E64">
            <v>75</v>
          </cell>
        </row>
      </sheetData>
      <sheetData sheetId="11">
        <row r="1">
          <cell r="A1" t="str">
            <v>Morgan Stanley Hardware Survey - November 2011</v>
          </cell>
        </row>
        <row r="3">
          <cell r="A3" t="str">
            <v>12. How would you rate pricing trends for the following vendors over the last three months?</v>
          </cell>
        </row>
        <row r="5">
          <cell r="A5" t="str">
            <v>US / EU</v>
          </cell>
          <cell r="B5" t="str">
            <v>US</v>
          </cell>
          <cell r="D5" t="str">
            <v>US / EU</v>
          </cell>
          <cell r="E5" t="str">
            <v>US</v>
          </cell>
          <cell r="H5" t="str">
            <v>AAPL</v>
          </cell>
          <cell r="I5" t="str">
            <v>BRCD</v>
          </cell>
          <cell r="J5" t="str">
            <v>Brother</v>
          </cell>
          <cell r="K5" t="str">
            <v>Canon</v>
          </cell>
          <cell r="L5" t="str">
            <v>DELL</v>
          </cell>
          <cell r="M5" t="str">
            <v>EMC</v>
          </cell>
          <cell r="N5" t="str">
            <v>Hitachi</v>
          </cell>
          <cell r="O5" t="str">
            <v>HPQ</v>
          </cell>
          <cell r="P5" t="str">
            <v>IBM</v>
          </cell>
          <cell r="Q5" t="str">
            <v>Lenovo</v>
          </cell>
          <cell r="R5" t="str">
            <v>LXK</v>
          </cell>
          <cell r="S5" t="str">
            <v>NTAP</v>
          </cell>
          <cell r="T5" t="str">
            <v>ORCL</v>
          </cell>
          <cell r="U5" t="str">
            <v>TDC</v>
          </cell>
        </row>
        <row r="6">
          <cell r="A6" t="str">
            <v>Industry</v>
          </cell>
          <cell r="B6" t="str">
            <v>(All)</v>
          </cell>
          <cell r="D6" t="str">
            <v>Industry</v>
          </cell>
          <cell r="E6" t="str">
            <v>(All)</v>
          </cell>
          <cell r="G6" t="str">
            <v>More</v>
          </cell>
          <cell r="H6">
            <v>11</v>
          </cell>
          <cell r="I6">
            <v>5</v>
          </cell>
          <cell r="K6">
            <v>3</v>
          </cell>
          <cell r="L6">
            <v>6</v>
          </cell>
          <cell r="M6">
            <v>9</v>
          </cell>
          <cell r="N6">
            <v>5</v>
          </cell>
          <cell r="O6">
            <v>9</v>
          </cell>
          <cell r="P6">
            <v>6</v>
          </cell>
          <cell r="Q6">
            <v>4</v>
          </cell>
          <cell r="R6">
            <v>4</v>
          </cell>
          <cell r="S6">
            <v>7</v>
          </cell>
          <cell r="T6">
            <v>6</v>
          </cell>
          <cell r="U6">
            <v>3</v>
          </cell>
        </row>
        <row r="7">
          <cell r="A7" t="str">
            <v>Revenue</v>
          </cell>
          <cell r="B7" t="str">
            <v>(All)</v>
          </cell>
          <cell r="D7" t="str">
            <v>Revenue</v>
          </cell>
          <cell r="E7" t="str">
            <v>(All)</v>
          </cell>
          <cell r="G7" t="str">
            <v>No Change</v>
          </cell>
          <cell r="H7">
            <v>21</v>
          </cell>
          <cell r="I7">
            <v>17</v>
          </cell>
          <cell r="J7">
            <v>12</v>
          </cell>
          <cell r="K7">
            <v>17</v>
          </cell>
          <cell r="L7">
            <v>25</v>
          </cell>
          <cell r="M7">
            <v>24</v>
          </cell>
          <cell r="N7">
            <v>17</v>
          </cell>
          <cell r="O7">
            <v>24</v>
          </cell>
          <cell r="P7">
            <v>24</v>
          </cell>
          <cell r="Q7">
            <v>19</v>
          </cell>
          <cell r="R7">
            <v>19</v>
          </cell>
          <cell r="S7">
            <v>26</v>
          </cell>
          <cell r="T7">
            <v>20</v>
          </cell>
          <cell r="U7">
            <v>27</v>
          </cell>
        </row>
        <row r="8">
          <cell r="G8" t="str">
            <v>Less</v>
          </cell>
          <cell r="H8">
            <v>3</v>
          </cell>
          <cell r="I8">
            <v>8</v>
          </cell>
          <cell r="J8">
            <v>1</v>
          </cell>
          <cell r="K8">
            <v>1</v>
          </cell>
          <cell r="L8">
            <v>7</v>
          </cell>
          <cell r="M8">
            <v>5</v>
          </cell>
          <cell r="N8">
            <v>3</v>
          </cell>
          <cell r="O8">
            <v>8</v>
          </cell>
          <cell r="P8">
            <v>4</v>
          </cell>
          <cell r="Q8">
            <v>7</v>
          </cell>
          <cell r="R8">
            <v>4</v>
          </cell>
          <cell r="S8">
            <v>4</v>
          </cell>
          <cell r="T8">
            <v>2</v>
          </cell>
          <cell r="U8">
            <v>3</v>
          </cell>
        </row>
        <row r="9">
          <cell r="A9" t="str">
            <v>Count of 12 Apple</v>
          </cell>
          <cell r="D9" t="str">
            <v>Count of 12 Brocade</v>
          </cell>
          <cell r="G9" t="str">
            <v>NA</v>
          </cell>
          <cell r="H9">
            <v>15</v>
          </cell>
          <cell r="I9">
            <v>20</v>
          </cell>
          <cell r="J9">
            <v>37</v>
          </cell>
          <cell r="K9">
            <v>29</v>
          </cell>
          <cell r="L9">
            <v>12</v>
          </cell>
          <cell r="M9">
            <v>12</v>
          </cell>
          <cell r="N9">
            <v>25</v>
          </cell>
          <cell r="O9">
            <v>9</v>
          </cell>
          <cell r="P9">
            <v>16</v>
          </cell>
          <cell r="Q9">
            <v>20</v>
          </cell>
          <cell r="R9">
            <v>23</v>
          </cell>
          <cell r="S9">
            <v>13</v>
          </cell>
          <cell r="T9">
            <v>22</v>
          </cell>
          <cell r="U9">
            <v>17</v>
          </cell>
        </row>
        <row r="10">
          <cell r="A10" t="str">
            <v>12 Apple</v>
          </cell>
          <cell r="B10" t="str">
            <v>Total</v>
          </cell>
          <cell r="D10" t="str">
            <v>12 Brocade</v>
          </cell>
          <cell r="E10" t="str">
            <v>Total</v>
          </cell>
        </row>
        <row r="11">
          <cell r="A11" t="str">
            <v>More</v>
          </cell>
          <cell r="B11">
            <v>11</v>
          </cell>
          <cell r="D11" t="str">
            <v>More</v>
          </cell>
          <cell r="E11">
            <v>5</v>
          </cell>
          <cell r="G11" t="str">
            <v>Oct 11 Survey</v>
          </cell>
        </row>
        <row r="12">
          <cell r="A12" t="str">
            <v>No Change</v>
          </cell>
          <cell r="B12">
            <v>21</v>
          </cell>
          <cell r="D12" t="str">
            <v>No Change</v>
          </cell>
          <cell r="E12">
            <v>17</v>
          </cell>
          <cell r="G12" t="str">
            <v>More Aggressive</v>
          </cell>
          <cell r="H12">
            <v>0.31428571428571428</v>
          </cell>
          <cell r="I12">
            <v>0.16666666666666666</v>
          </cell>
          <cell r="J12">
            <v>0</v>
          </cell>
          <cell r="K12">
            <v>0.14285714285714285</v>
          </cell>
          <cell r="L12">
            <v>0.15789473684210525</v>
          </cell>
          <cell r="M12">
            <v>0.23684210526315788</v>
          </cell>
          <cell r="N12">
            <v>0.2</v>
          </cell>
          <cell r="O12">
            <v>0.21951219512195122</v>
          </cell>
          <cell r="P12">
            <v>0.17647058823529413</v>
          </cell>
          <cell r="Q12">
            <v>0.13333333333333333</v>
          </cell>
          <cell r="R12">
            <v>0.14814814814814814</v>
          </cell>
          <cell r="S12">
            <v>0.1891891891891892</v>
          </cell>
          <cell r="T12">
            <v>0.21428571428571427</v>
          </cell>
          <cell r="U12">
            <v>9.0909090909090912E-2</v>
          </cell>
        </row>
        <row r="13">
          <cell r="A13" t="str">
            <v>Less</v>
          </cell>
          <cell r="B13">
            <v>3</v>
          </cell>
          <cell r="D13" t="str">
            <v>Less</v>
          </cell>
          <cell r="E13">
            <v>8</v>
          </cell>
          <cell r="G13" t="str">
            <v>Less Aggressive</v>
          </cell>
          <cell r="H13">
            <v>-8.5714285714285715E-2</v>
          </cell>
          <cell r="I13">
            <v>-0.26666666666666666</v>
          </cell>
          <cell r="J13">
            <v>-7.6923076923076927E-2</v>
          </cell>
          <cell r="K13">
            <v>-4.7619047619047616E-2</v>
          </cell>
          <cell r="L13">
            <v>-0.18421052631578946</v>
          </cell>
          <cell r="M13">
            <v>-0.13157894736842105</v>
          </cell>
          <cell r="N13">
            <v>-0.12</v>
          </cell>
          <cell r="O13">
            <v>-0.1951219512195122</v>
          </cell>
          <cell r="P13">
            <v>-0.11764705882352941</v>
          </cell>
          <cell r="Q13">
            <v>-0.23333333333333334</v>
          </cell>
          <cell r="R13">
            <v>-0.14814814814814814</v>
          </cell>
          <cell r="S13">
            <v>-0.10810810810810811</v>
          </cell>
          <cell r="T13">
            <v>-7.1428571428571425E-2</v>
          </cell>
          <cell r="U13">
            <v>-9.0909090909090912E-2</v>
          </cell>
        </row>
        <row r="14">
          <cell r="A14" t="str">
            <v>NA</v>
          </cell>
          <cell r="B14">
            <v>15</v>
          </cell>
          <cell r="D14" t="str">
            <v>NA</v>
          </cell>
          <cell r="E14">
            <v>20</v>
          </cell>
        </row>
        <row r="15">
          <cell r="A15" t="str">
            <v>Grand Total</v>
          </cell>
          <cell r="B15">
            <v>50</v>
          </cell>
          <cell r="D15" t="str">
            <v>Grand Total</v>
          </cell>
          <cell r="E15">
            <v>50</v>
          </cell>
          <cell r="G15" t="str">
            <v>Jul 11 Survey</v>
          </cell>
        </row>
        <row r="16">
          <cell r="G16" t="str">
            <v>More Aggressive</v>
          </cell>
          <cell r="H16">
            <v>0.27027027027027029</v>
          </cell>
          <cell r="I16">
            <v>0.25806451612903225</v>
          </cell>
          <cell r="J16">
            <v>0</v>
          </cell>
          <cell r="K16">
            <v>0.11764705882352941</v>
          </cell>
          <cell r="L16">
            <v>0.25714285714285712</v>
          </cell>
          <cell r="M16">
            <v>0.34210526315789475</v>
          </cell>
          <cell r="N16">
            <v>0.22727272727272727</v>
          </cell>
          <cell r="O16">
            <v>0.21621621621621623</v>
          </cell>
          <cell r="P16">
            <v>0.18181818181818182</v>
          </cell>
          <cell r="Q16">
            <v>0.13043478260869565</v>
          </cell>
          <cell r="R16">
            <v>0.23809523809523808</v>
          </cell>
          <cell r="S16">
            <v>0.27027027027027029</v>
          </cell>
          <cell r="T16">
            <v>0.23809523809523808</v>
          </cell>
        </row>
        <row r="17">
          <cell r="A17" t="str">
            <v>US / EU</v>
          </cell>
          <cell r="B17" t="str">
            <v>US</v>
          </cell>
          <cell r="D17" t="str">
            <v>US / EU</v>
          </cell>
          <cell r="E17" t="str">
            <v>US</v>
          </cell>
          <cell r="G17" t="str">
            <v>Less Aggressive</v>
          </cell>
          <cell r="H17">
            <v>-0.10810810810810811</v>
          </cell>
          <cell r="I17">
            <v>-0.12903225806451613</v>
          </cell>
          <cell r="J17">
            <v>-0.15384615384615385</v>
          </cell>
          <cell r="K17">
            <v>-5.8823529411764705E-2</v>
          </cell>
          <cell r="L17">
            <v>-0.17142857142857143</v>
          </cell>
          <cell r="M17">
            <v>-7.8947368421052627E-2</v>
          </cell>
          <cell r="N17">
            <v>0</v>
          </cell>
          <cell r="O17">
            <v>-0.10810810810810811</v>
          </cell>
          <cell r="P17">
            <v>-6.0606060606060608E-2</v>
          </cell>
          <cell r="Q17">
            <v>-4.3478260869565216E-2</v>
          </cell>
          <cell r="R17">
            <v>-9.5238095238095233E-2</v>
          </cell>
          <cell r="S17">
            <v>-8.1081081081081086E-2</v>
          </cell>
          <cell r="T17">
            <v>-9.5238095238095233E-2</v>
          </cell>
        </row>
        <row r="18">
          <cell r="A18" t="str">
            <v>Industry</v>
          </cell>
          <cell r="B18" t="str">
            <v>(All)</v>
          </cell>
          <cell r="D18" t="str">
            <v>Industry</v>
          </cell>
          <cell r="E18" t="str">
            <v>(All)</v>
          </cell>
        </row>
        <row r="19">
          <cell r="A19" t="str">
            <v>Revenue</v>
          </cell>
          <cell r="B19" t="str">
            <v>(All)</v>
          </cell>
          <cell r="D19" t="str">
            <v>Revenue</v>
          </cell>
          <cell r="E19" t="str">
            <v>(All)</v>
          </cell>
        </row>
        <row r="21">
          <cell r="A21" t="str">
            <v>Count of 12 Brother</v>
          </cell>
          <cell r="D21" t="str">
            <v>Count of 12 Canon</v>
          </cell>
          <cell r="H21" t="str">
            <v>AAPL</v>
          </cell>
          <cell r="I21" t="str">
            <v>BRCD</v>
          </cell>
          <cell r="J21" t="str">
            <v>Brother</v>
          </cell>
          <cell r="K21" t="str">
            <v>Canon</v>
          </cell>
          <cell r="L21" t="str">
            <v>DELL</v>
          </cell>
          <cell r="M21" t="str">
            <v>EMC</v>
          </cell>
          <cell r="N21" t="str">
            <v>Hitachi</v>
          </cell>
          <cell r="O21" t="str">
            <v>HPQ</v>
          </cell>
          <cell r="P21" t="str">
            <v>IBM</v>
          </cell>
          <cell r="Q21" t="str">
            <v>Lenovo</v>
          </cell>
          <cell r="R21" t="str">
            <v>LXK</v>
          </cell>
          <cell r="S21" t="str">
            <v>NTAP</v>
          </cell>
          <cell r="T21" t="str">
            <v>ORCL</v>
          </cell>
          <cell r="U21" t="str">
            <v>TDC</v>
          </cell>
        </row>
        <row r="22">
          <cell r="A22" t="str">
            <v>12 Brother</v>
          </cell>
          <cell r="B22" t="str">
            <v>Total</v>
          </cell>
          <cell r="D22" t="str">
            <v>12 Canon</v>
          </cell>
          <cell r="E22" t="str">
            <v>Total</v>
          </cell>
          <cell r="G22" t="str">
            <v>Jan 11 Survey</v>
          </cell>
          <cell r="H22">
            <v>-0.13043478260869565</v>
          </cell>
          <cell r="I22">
            <v>9.0909090909090912E-2</v>
          </cell>
          <cell r="L22">
            <v>5.8823529411764691E-2</v>
          </cell>
          <cell r="M22">
            <v>0.12765957446808512</v>
          </cell>
          <cell r="N22">
            <v>0.08</v>
          </cell>
          <cell r="O22">
            <v>9.0909090909090912E-2</v>
          </cell>
          <cell r="P22">
            <v>3.4482758620689655E-2</v>
          </cell>
          <cell r="R22">
            <v>0.125</v>
          </cell>
          <cell r="S22">
            <v>-5.5555555555555566E-2</v>
          </cell>
          <cell r="T22">
            <v>0.12</v>
          </cell>
        </row>
        <row r="23">
          <cell r="A23" t="str">
            <v>No Change</v>
          </cell>
          <cell r="B23">
            <v>12</v>
          </cell>
          <cell r="D23" t="str">
            <v>More</v>
          </cell>
          <cell r="E23">
            <v>3</v>
          </cell>
          <cell r="G23" t="str">
            <v>Apr 11 Survey</v>
          </cell>
          <cell r="H23">
            <v>-0.16666666666666666</v>
          </cell>
          <cell r="I23">
            <v>0.15151515151515152</v>
          </cell>
          <cell r="L23">
            <v>0.1111111111111111</v>
          </cell>
          <cell r="M23">
            <v>0.22222222222222221</v>
          </cell>
          <cell r="N23">
            <v>0.25</v>
          </cell>
          <cell r="O23">
            <v>8.5714285714285715E-2</v>
          </cell>
          <cell r="P23">
            <v>0.12121212121212122</v>
          </cell>
          <cell r="R23">
            <v>0.11111111111111113</v>
          </cell>
          <cell r="S23">
            <v>0.17142857142857143</v>
          </cell>
          <cell r="T23">
            <v>0.23076923076923078</v>
          </cell>
        </row>
        <row r="24">
          <cell r="A24" t="str">
            <v>Less</v>
          </cell>
          <cell r="B24">
            <v>1</v>
          </cell>
          <cell r="D24" t="str">
            <v>No Change</v>
          </cell>
          <cell r="E24">
            <v>17</v>
          </cell>
          <cell r="G24" t="str">
            <v>Jul 11 Survey</v>
          </cell>
          <cell r="H24">
            <v>0.16216216216216217</v>
          </cell>
          <cell r="I24">
            <v>0.12903225806451613</v>
          </cell>
          <cell r="J24">
            <v>-0.15384615384615385</v>
          </cell>
          <cell r="K24">
            <v>5.8823529411764705E-2</v>
          </cell>
          <cell r="L24">
            <v>8.5714285714285687E-2</v>
          </cell>
          <cell r="M24">
            <v>0.26315789473684215</v>
          </cell>
          <cell r="N24">
            <v>0.22727272727272727</v>
          </cell>
          <cell r="O24">
            <v>0.10810810810810811</v>
          </cell>
          <cell r="P24">
            <v>0.12121212121212122</v>
          </cell>
          <cell r="Q24">
            <v>8.6956521739130432E-2</v>
          </cell>
          <cell r="R24">
            <v>0.14285714285714285</v>
          </cell>
          <cell r="S24">
            <v>0.1891891891891892</v>
          </cell>
          <cell r="T24">
            <v>0.14285714285714285</v>
          </cell>
        </row>
        <row r="25">
          <cell r="A25" t="str">
            <v>NA</v>
          </cell>
          <cell r="B25">
            <v>37</v>
          </cell>
          <cell r="D25" t="str">
            <v>Less</v>
          </cell>
          <cell r="E25">
            <v>1</v>
          </cell>
          <cell r="G25" t="str">
            <v>Oct 11 Survey</v>
          </cell>
          <cell r="H25">
            <v>0.22857142857142856</v>
          </cell>
          <cell r="I25">
            <v>-0.1</v>
          </cell>
          <cell r="J25">
            <v>-7.6923076923076927E-2</v>
          </cell>
          <cell r="K25">
            <v>9.5238095238095233E-2</v>
          </cell>
          <cell r="L25">
            <v>-2.6315789473684209E-2</v>
          </cell>
          <cell r="M25">
            <v>0.10526315789473684</v>
          </cell>
          <cell r="N25">
            <v>8.0000000000000016E-2</v>
          </cell>
          <cell r="O25">
            <v>2.4390243902439018E-2</v>
          </cell>
          <cell r="P25">
            <v>5.8823529411764719E-2</v>
          </cell>
          <cell r="Q25">
            <v>-0.1</v>
          </cell>
          <cell r="R25">
            <v>0</v>
          </cell>
          <cell r="S25">
            <v>8.1081081081081086E-2</v>
          </cell>
          <cell r="T25">
            <v>0.14285714285714285</v>
          </cell>
          <cell r="U25">
            <v>0</v>
          </cell>
        </row>
        <row r="26">
          <cell r="A26" t="str">
            <v>Grand Total</v>
          </cell>
          <cell r="B26">
            <v>50</v>
          </cell>
          <cell r="D26" t="str">
            <v>NA</v>
          </cell>
          <cell r="E26">
            <v>29</v>
          </cell>
        </row>
        <row r="27">
          <cell r="D27" t="str">
            <v>Grand Total</v>
          </cell>
          <cell r="E27">
            <v>50</v>
          </cell>
        </row>
        <row r="29">
          <cell r="A29" t="str">
            <v>US / EU</v>
          </cell>
          <cell r="B29" t="str">
            <v>US</v>
          </cell>
          <cell r="D29" t="str">
            <v>US / EU</v>
          </cell>
          <cell r="E29" t="str">
            <v>US</v>
          </cell>
        </row>
        <row r="30">
          <cell r="A30" t="str">
            <v>Industry</v>
          </cell>
          <cell r="B30" t="str">
            <v>(All)</v>
          </cell>
          <cell r="D30" t="str">
            <v>Industry</v>
          </cell>
          <cell r="E30" t="str">
            <v>(All)</v>
          </cell>
        </row>
        <row r="31">
          <cell r="A31" t="str">
            <v>Revenue</v>
          </cell>
          <cell r="B31" t="str">
            <v>(All)</v>
          </cell>
          <cell r="D31" t="str">
            <v>Revenue</v>
          </cell>
          <cell r="E31" t="str">
            <v>(All)</v>
          </cell>
        </row>
        <row r="33">
          <cell r="A33" t="str">
            <v>Count of 12 Dell</v>
          </cell>
          <cell r="D33" t="str">
            <v>Count of 12 EMC</v>
          </cell>
        </row>
        <row r="34">
          <cell r="A34" t="str">
            <v>12 Dell</v>
          </cell>
          <cell r="B34" t="str">
            <v>Total</v>
          </cell>
          <cell r="D34" t="str">
            <v>12 EMC</v>
          </cell>
          <cell r="E34" t="str">
            <v>Total</v>
          </cell>
        </row>
        <row r="35">
          <cell r="A35" t="str">
            <v>More</v>
          </cell>
          <cell r="B35">
            <v>6</v>
          </cell>
          <cell r="D35" t="str">
            <v>More</v>
          </cell>
          <cell r="E35">
            <v>9</v>
          </cell>
        </row>
        <row r="36">
          <cell r="A36" t="str">
            <v>No Change</v>
          </cell>
          <cell r="B36">
            <v>25</v>
          </cell>
          <cell r="D36" t="str">
            <v>No Change</v>
          </cell>
          <cell r="E36">
            <v>24</v>
          </cell>
        </row>
        <row r="37">
          <cell r="A37" t="str">
            <v>Less</v>
          </cell>
          <cell r="B37">
            <v>7</v>
          </cell>
          <cell r="D37" t="str">
            <v>Less</v>
          </cell>
          <cell r="E37">
            <v>5</v>
          </cell>
        </row>
        <row r="38">
          <cell r="A38" t="str">
            <v>NA</v>
          </cell>
          <cell r="B38">
            <v>12</v>
          </cell>
          <cell r="D38" t="str">
            <v>NA</v>
          </cell>
          <cell r="E38">
            <v>12</v>
          </cell>
        </row>
        <row r="39">
          <cell r="A39" t="str">
            <v>Grand Total</v>
          </cell>
          <cell r="B39">
            <v>50</v>
          </cell>
          <cell r="D39" t="str">
            <v>Grand Total</v>
          </cell>
          <cell r="E39">
            <v>50</v>
          </cell>
        </row>
        <row r="41">
          <cell r="A41" t="str">
            <v>US / EU</v>
          </cell>
          <cell r="B41" t="str">
            <v>US</v>
          </cell>
          <cell r="D41" t="str">
            <v>US / EU</v>
          </cell>
          <cell r="E41" t="str">
            <v>US</v>
          </cell>
        </row>
        <row r="42">
          <cell r="A42" t="str">
            <v>Industry</v>
          </cell>
          <cell r="B42" t="str">
            <v>(All)</v>
          </cell>
          <cell r="D42" t="str">
            <v>Industry</v>
          </cell>
          <cell r="E42" t="str">
            <v>(All)</v>
          </cell>
        </row>
        <row r="43">
          <cell r="A43" t="str">
            <v>Revenue</v>
          </cell>
          <cell r="B43" t="str">
            <v>(All)</v>
          </cell>
          <cell r="D43" t="str">
            <v>Revenue</v>
          </cell>
          <cell r="E43" t="str">
            <v>(All)</v>
          </cell>
        </row>
        <row r="45">
          <cell r="A45" t="str">
            <v>Count of 12 Hitachi</v>
          </cell>
          <cell r="D45" t="str">
            <v>Count of 12 HP</v>
          </cell>
        </row>
        <row r="46">
          <cell r="A46" t="str">
            <v>12 Hitachi</v>
          </cell>
          <cell r="B46" t="str">
            <v>Total</v>
          </cell>
          <cell r="D46" t="str">
            <v>12 HP</v>
          </cell>
          <cell r="E46" t="str">
            <v>Total</v>
          </cell>
        </row>
        <row r="47">
          <cell r="A47" t="str">
            <v>More</v>
          </cell>
          <cell r="B47">
            <v>5</v>
          </cell>
          <cell r="D47" t="str">
            <v>More</v>
          </cell>
          <cell r="E47">
            <v>9</v>
          </cell>
        </row>
        <row r="48">
          <cell r="A48" t="str">
            <v>No Change</v>
          </cell>
          <cell r="B48">
            <v>17</v>
          </cell>
          <cell r="D48" t="str">
            <v>No Change</v>
          </cell>
          <cell r="E48">
            <v>24</v>
          </cell>
        </row>
        <row r="49">
          <cell r="A49" t="str">
            <v>Less</v>
          </cell>
          <cell r="B49">
            <v>3</v>
          </cell>
          <cell r="D49" t="str">
            <v>Less</v>
          </cell>
          <cell r="E49">
            <v>8</v>
          </cell>
        </row>
        <row r="50">
          <cell r="A50" t="str">
            <v>NA</v>
          </cell>
          <cell r="B50">
            <v>25</v>
          </cell>
          <cell r="D50" t="str">
            <v>NA</v>
          </cell>
          <cell r="E50">
            <v>9</v>
          </cell>
        </row>
        <row r="51">
          <cell r="A51" t="str">
            <v>Grand Total</v>
          </cell>
          <cell r="B51">
            <v>50</v>
          </cell>
          <cell r="D51" t="str">
            <v>Grand Total</v>
          </cell>
          <cell r="E51">
            <v>50</v>
          </cell>
        </row>
        <row r="53">
          <cell r="A53" t="str">
            <v>US / EU</v>
          </cell>
          <cell r="B53" t="str">
            <v>US</v>
          </cell>
          <cell r="D53" t="str">
            <v>US / EU</v>
          </cell>
          <cell r="E53" t="str">
            <v>US</v>
          </cell>
        </row>
        <row r="54">
          <cell r="A54" t="str">
            <v>Industry</v>
          </cell>
          <cell r="B54" t="str">
            <v>(All)</v>
          </cell>
          <cell r="D54" t="str">
            <v>Industry</v>
          </cell>
          <cell r="E54" t="str">
            <v>(All)</v>
          </cell>
        </row>
        <row r="55">
          <cell r="A55" t="str">
            <v>Revenue</v>
          </cell>
          <cell r="B55" t="str">
            <v>(All)</v>
          </cell>
          <cell r="D55" t="str">
            <v>Revenue</v>
          </cell>
          <cell r="E55" t="str">
            <v>(All)</v>
          </cell>
        </row>
        <row r="57">
          <cell r="A57" t="str">
            <v>Count of 12 IBM</v>
          </cell>
          <cell r="D57" t="str">
            <v>Count of 12 Lenovo</v>
          </cell>
        </row>
        <row r="58">
          <cell r="A58" t="str">
            <v>12 IBM</v>
          </cell>
          <cell r="B58" t="str">
            <v>Total</v>
          </cell>
          <cell r="D58" t="str">
            <v>12 Lenovo</v>
          </cell>
          <cell r="E58" t="str">
            <v>Total</v>
          </cell>
        </row>
        <row r="59">
          <cell r="A59" t="str">
            <v>More</v>
          </cell>
          <cell r="B59">
            <v>6</v>
          </cell>
          <cell r="D59" t="str">
            <v>More</v>
          </cell>
          <cell r="E59">
            <v>4</v>
          </cell>
        </row>
        <row r="60">
          <cell r="A60" t="str">
            <v>No Change</v>
          </cell>
          <cell r="B60">
            <v>24</v>
          </cell>
          <cell r="D60" t="str">
            <v>No Change</v>
          </cell>
          <cell r="E60">
            <v>19</v>
          </cell>
        </row>
        <row r="61">
          <cell r="A61" t="str">
            <v>Less</v>
          </cell>
          <cell r="B61">
            <v>4</v>
          </cell>
          <cell r="D61" t="str">
            <v>Less</v>
          </cell>
          <cell r="E61">
            <v>7</v>
          </cell>
        </row>
        <row r="62">
          <cell r="A62" t="str">
            <v>NA</v>
          </cell>
          <cell r="B62">
            <v>16</v>
          </cell>
          <cell r="D62" t="str">
            <v>NA</v>
          </cell>
          <cell r="E62">
            <v>20</v>
          </cell>
        </row>
        <row r="63">
          <cell r="A63" t="str">
            <v>Grand Total</v>
          </cell>
          <cell r="B63">
            <v>50</v>
          </cell>
          <cell r="D63" t="str">
            <v>Grand Total</v>
          </cell>
          <cell r="E63">
            <v>50</v>
          </cell>
        </row>
        <row r="65">
          <cell r="A65" t="str">
            <v>US / EU</v>
          </cell>
          <cell r="B65" t="str">
            <v>US</v>
          </cell>
          <cell r="D65" t="str">
            <v>US / EU</v>
          </cell>
          <cell r="E65" t="str">
            <v>US</v>
          </cell>
        </row>
        <row r="66">
          <cell r="A66" t="str">
            <v>Industry</v>
          </cell>
          <cell r="B66" t="str">
            <v>(All)</v>
          </cell>
          <cell r="D66" t="str">
            <v>Industry</v>
          </cell>
          <cell r="E66" t="str">
            <v>(All)</v>
          </cell>
        </row>
        <row r="67">
          <cell r="A67" t="str">
            <v>Revenue</v>
          </cell>
          <cell r="B67" t="str">
            <v>(All)</v>
          </cell>
          <cell r="D67" t="str">
            <v>Revenue</v>
          </cell>
          <cell r="E67" t="str">
            <v>(All)</v>
          </cell>
        </row>
        <row r="69">
          <cell r="A69" t="str">
            <v>Count of 12 Lexmark</v>
          </cell>
          <cell r="D69" t="str">
            <v>Count of 12 NetApp</v>
          </cell>
        </row>
        <row r="70">
          <cell r="A70" t="str">
            <v>12 Lexmark</v>
          </cell>
          <cell r="B70" t="str">
            <v>Total</v>
          </cell>
          <cell r="D70" t="str">
            <v>12 NetApp</v>
          </cell>
          <cell r="E70" t="str">
            <v>Total</v>
          </cell>
        </row>
        <row r="71">
          <cell r="A71" t="str">
            <v>More</v>
          </cell>
          <cell r="B71">
            <v>4</v>
          </cell>
          <cell r="D71" t="str">
            <v>More</v>
          </cell>
          <cell r="E71">
            <v>7</v>
          </cell>
        </row>
        <row r="72">
          <cell r="A72" t="str">
            <v>No Change</v>
          </cell>
          <cell r="B72">
            <v>19</v>
          </cell>
          <cell r="D72" t="str">
            <v>No Change</v>
          </cell>
          <cell r="E72">
            <v>26</v>
          </cell>
        </row>
        <row r="73">
          <cell r="A73" t="str">
            <v>Less</v>
          </cell>
          <cell r="B73">
            <v>4</v>
          </cell>
          <cell r="D73" t="str">
            <v>Less</v>
          </cell>
          <cell r="E73">
            <v>4</v>
          </cell>
        </row>
        <row r="74">
          <cell r="A74" t="str">
            <v>NA</v>
          </cell>
          <cell r="B74">
            <v>23</v>
          </cell>
          <cell r="D74" t="str">
            <v>NA</v>
          </cell>
          <cell r="E74">
            <v>13</v>
          </cell>
        </row>
        <row r="75">
          <cell r="A75" t="str">
            <v>Grand Total</v>
          </cell>
          <cell r="B75">
            <v>50</v>
          </cell>
          <cell r="D75" t="str">
            <v>Grand Total</v>
          </cell>
          <cell r="E75">
            <v>50</v>
          </cell>
        </row>
        <row r="77">
          <cell r="A77" t="str">
            <v>US / EU</v>
          </cell>
          <cell r="B77" t="str">
            <v>US</v>
          </cell>
          <cell r="D77" t="str">
            <v>US / EU</v>
          </cell>
          <cell r="E77" t="str">
            <v>US</v>
          </cell>
        </row>
        <row r="78">
          <cell r="A78" t="str">
            <v>Industry</v>
          </cell>
          <cell r="B78" t="str">
            <v>(All)</v>
          </cell>
          <cell r="D78" t="str">
            <v>Industry</v>
          </cell>
          <cell r="E78" t="str">
            <v>(All)</v>
          </cell>
        </row>
        <row r="79">
          <cell r="A79" t="str">
            <v>Revenue</v>
          </cell>
          <cell r="B79" t="str">
            <v>(All)</v>
          </cell>
          <cell r="D79" t="str">
            <v>Revenue</v>
          </cell>
          <cell r="E79" t="str">
            <v>(All)</v>
          </cell>
        </row>
        <row r="81">
          <cell r="A81" t="str">
            <v>Count of 12 Oracle/Sun</v>
          </cell>
          <cell r="D81" t="str">
            <v>Count of 12 Teradata</v>
          </cell>
        </row>
        <row r="82">
          <cell r="A82" t="str">
            <v>12 Oracle/Sun</v>
          </cell>
          <cell r="B82" t="str">
            <v>Total</v>
          </cell>
          <cell r="D82" t="str">
            <v>12 Teradata</v>
          </cell>
          <cell r="E82" t="str">
            <v>Total</v>
          </cell>
        </row>
        <row r="83">
          <cell r="A83" t="str">
            <v>More</v>
          </cell>
          <cell r="B83">
            <v>6</v>
          </cell>
          <cell r="D83" t="str">
            <v>More</v>
          </cell>
          <cell r="E83">
            <v>3</v>
          </cell>
        </row>
        <row r="84">
          <cell r="A84" t="str">
            <v>No Change</v>
          </cell>
          <cell r="B84">
            <v>20</v>
          </cell>
          <cell r="D84" t="str">
            <v>No Change</v>
          </cell>
          <cell r="E84">
            <v>27</v>
          </cell>
        </row>
        <row r="85">
          <cell r="A85" t="str">
            <v>Less</v>
          </cell>
          <cell r="B85">
            <v>2</v>
          </cell>
          <cell r="D85" t="str">
            <v>Less</v>
          </cell>
          <cell r="E85">
            <v>3</v>
          </cell>
        </row>
        <row r="86">
          <cell r="A86" t="str">
            <v>NA</v>
          </cell>
          <cell r="B86">
            <v>22</v>
          </cell>
          <cell r="D86" t="str">
            <v>NA</v>
          </cell>
          <cell r="E86">
            <v>17</v>
          </cell>
          <cell r="H86" t="str">
            <v>AAPL</v>
          </cell>
          <cell r="I86" t="str">
            <v>EMC</v>
          </cell>
          <cell r="J86" t="str">
            <v>NTAP</v>
          </cell>
          <cell r="K86" t="str">
            <v>IBM</v>
          </cell>
          <cell r="L86" t="str">
            <v>HPQ</v>
          </cell>
          <cell r="M86" t="str">
            <v>LXK</v>
          </cell>
          <cell r="N86" t="str">
            <v>DELL</v>
          </cell>
          <cell r="O86" t="str">
            <v>BRCD</v>
          </cell>
        </row>
        <row r="87">
          <cell r="A87" t="str">
            <v>Grand Total</v>
          </cell>
          <cell r="B87">
            <v>50</v>
          </cell>
          <cell r="D87" t="str">
            <v>Grand Total</v>
          </cell>
          <cell r="E87">
            <v>50</v>
          </cell>
          <cell r="G87" t="str">
            <v>Jul 11 Survey</v>
          </cell>
          <cell r="H87">
            <v>0.16216216216216217</v>
          </cell>
          <cell r="I87">
            <v>0.26315789473684215</v>
          </cell>
          <cell r="J87">
            <v>0.1891891891891892</v>
          </cell>
          <cell r="K87">
            <v>0.12121212121212122</v>
          </cell>
          <cell r="L87">
            <v>0.10810810810810811</v>
          </cell>
          <cell r="M87">
            <v>0.14285714285714285</v>
          </cell>
          <cell r="N87">
            <v>8.5714285714285687E-2</v>
          </cell>
          <cell r="O87">
            <v>0.12903225806451613</v>
          </cell>
        </row>
        <row r="88">
          <cell r="G88" t="str">
            <v>Oct 11 Survey</v>
          </cell>
          <cell r="H88">
            <v>0.22857142857142856</v>
          </cell>
          <cell r="I88">
            <v>0.10526315789473684</v>
          </cell>
          <cell r="J88">
            <v>8.1081081081081086E-2</v>
          </cell>
          <cell r="K88">
            <v>5.8823529411764719E-2</v>
          </cell>
          <cell r="L88">
            <v>2.4390243902439018E-2</v>
          </cell>
          <cell r="M88">
            <v>0</v>
          </cell>
          <cell r="N88">
            <v>-2.6315789473684209E-2</v>
          </cell>
          <cell r="O88">
            <v>-0.1</v>
          </cell>
        </row>
      </sheetData>
      <sheetData sheetId="12">
        <row r="1">
          <cell r="A1" t="str">
            <v>Morgan Stanley Hardware Survey - November 2011</v>
          </cell>
        </row>
        <row r="3">
          <cell r="A3" t="str">
            <v>13.  What is your pricing expectation for the following vendors over the next three months?</v>
          </cell>
        </row>
        <row r="5">
          <cell r="A5" t="str">
            <v>US / EU</v>
          </cell>
          <cell r="B5" t="str">
            <v>US</v>
          </cell>
          <cell r="E5" t="str">
            <v>US / EU</v>
          </cell>
          <cell r="F5" t="str">
            <v>US</v>
          </cell>
          <cell r="I5" t="str">
            <v>AAPL</v>
          </cell>
          <cell r="J5" t="str">
            <v>BRCD</v>
          </cell>
          <cell r="K5" t="str">
            <v>Brother</v>
          </cell>
          <cell r="L5" t="str">
            <v>Canon</v>
          </cell>
          <cell r="M5" t="str">
            <v>DELL</v>
          </cell>
          <cell r="N5" t="str">
            <v>EMC</v>
          </cell>
          <cell r="O5" t="str">
            <v>Hitachi</v>
          </cell>
          <cell r="P5" t="str">
            <v>HPQ</v>
          </cell>
          <cell r="Q5" t="str">
            <v>IBM</v>
          </cell>
          <cell r="R5" t="str">
            <v>Lenovo</v>
          </cell>
          <cell r="S5" t="str">
            <v>LXK</v>
          </cell>
          <cell r="T5" t="str">
            <v>NTAP</v>
          </cell>
          <cell r="U5" t="str">
            <v>ORCL</v>
          </cell>
          <cell r="V5" t="str">
            <v>TDC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  <cell r="H6" t="str">
            <v>More</v>
          </cell>
          <cell r="I6">
            <v>13</v>
          </cell>
          <cell r="J6">
            <v>6</v>
          </cell>
          <cell r="L6">
            <v>3</v>
          </cell>
          <cell r="M6">
            <v>7</v>
          </cell>
          <cell r="N6">
            <v>8</v>
          </cell>
          <cell r="O6">
            <v>3</v>
          </cell>
          <cell r="P6">
            <v>5</v>
          </cell>
          <cell r="Q6">
            <v>3</v>
          </cell>
          <cell r="R6">
            <v>4</v>
          </cell>
          <cell r="S6">
            <v>4</v>
          </cell>
          <cell r="T6">
            <v>5</v>
          </cell>
          <cell r="U6">
            <v>4</v>
          </cell>
          <cell r="V6">
            <v>2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  <cell r="H7" t="str">
            <v>No Change</v>
          </cell>
          <cell r="I7">
            <v>24</v>
          </cell>
          <cell r="J7">
            <v>24</v>
          </cell>
          <cell r="K7">
            <v>15</v>
          </cell>
          <cell r="L7">
            <v>15</v>
          </cell>
          <cell r="M7">
            <v>25</v>
          </cell>
          <cell r="N7">
            <v>28</v>
          </cell>
          <cell r="O7">
            <v>20</v>
          </cell>
          <cell r="P7">
            <v>26</v>
          </cell>
          <cell r="Q7">
            <v>30</v>
          </cell>
          <cell r="R7">
            <v>15</v>
          </cell>
          <cell r="S7">
            <v>16</v>
          </cell>
          <cell r="T7">
            <v>28</v>
          </cell>
          <cell r="U7">
            <v>21</v>
          </cell>
          <cell r="V7">
            <v>27</v>
          </cell>
        </row>
        <row r="8">
          <cell r="H8" t="str">
            <v>Less</v>
          </cell>
          <cell r="I8">
            <v>2</v>
          </cell>
          <cell r="J8">
            <v>7</v>
          </cell>
          <cell r="K8">
            <v>4</v>
          </cell>
          <cell r="L8">
            <v>2</v>
          </cell>
          <cell r="M8">
            <v>9</v>
          </cell>
          <cell r="N8">
            <v>5</v>
          </cell>
          <cell r="O8">
            <v>4</v>
          </cell>
          <cell r="P8">
            <v>7</v>
          </cell>
          <cell r="Q8">
            <v>5</v>
          </cell>
          <cell r="R8">
            <v>5</v>
          </cell>
          <cell r="S8">
            <v>8</v>
          </cell>
          <cell r="T8">
            <v>6</v>
          </cell>
          <cell r="U8">
            <v>6</v>
          </cell>
          <cell r="V8">
            <v>5</v>
          </cell>
        </row>
        <row r="9">
          <cell r="A9" t="str">
            <v>Count of 13 Apple</v>
          </cell>
          <cell r="E9" t="str">
            <v>Count of 13 Brocade</v>
          </cell>
          <cell r="H9" t="str">
            <v>NA</v>
          </cell>
          <cell r="I9">
            <v>11</v>
          </cell>
          <cell r="J9">
            <v>13</v>
          </cell>
          <cell r="K9">
            <v>31</v>
          </cell>
          <cell r="L9">
            <v>30</v>
          </cell>
          <cell r="M9">
            <v>9</v>
          </cell>
          <cell r="N9">
            <v>9</v>
          </cell>
          <cell r="O9">
            <v>23</v>
          </cell>
          <cell r="P9">
            <v>12</v>
          </cell>
          <cell r="Q9">
            <v>12</v>
          </cell>
          <cell r="R9">
            <v>26</v>
          </cell>
          <cell r="S9">
            <v>22</v>
          </cell>
          <cell r="T9">
            <v>11</v>
          </cell>
          <cell r="U9">
            <v>19</v>
          </cell>
          <cell r="V9">
            <v>16</v>
          </cell>
        </row>
        <row r="10">
          <cell r="A10" t="str">
            <v>13 Apple</v>
          </cell>
          <cell r="B10" t="str">
            <v>Total</v>
          </cell>
          <cell r="E10" t="str">
            <v>13 Brocade</v>
          </cell>
          <cell r="F10" t="str">
            <v>Total</v>
          </cell>
        </row>
        <row r="11">
          <cell r="A11" t="str">
            <v>More</v>
          </cell>
          <cell r="B11">
            <v>13</v>
          </cell>
          <cell r="E11" t="str">
            <v>More</v>
          </cell>
          <cell r="F11">
            <v>6</v>
          </cell>
          <cell r="H11" t="str">
            <v>More Aggressive</v>
          </cell>
          <cell r="I11">
            <v>0.33333333333333331</v>
          </cell>
          <cell r="J11">
            <v>0.16216216216216217</v>
          </cell>
          <cell r="K11">
            <v>0</v>
          </cell>
          <cell r="L11">
            <v>0.15</v>
          </cell>
          <cell r="M11">
            <v>0.17073170731707318</v>
          </cell>
          <cell r="N11">
            <v>0.1951219512195122</v>
          </cell>
          <cell r="O11">
            <v>0.1111111111111111</v>
          </cell>
          <cell r="P11">
            <v>0.13157894736842105</v>
          </cell>
          <cell r="Q11">
            <v>7.8947368421052627E-2</v>
          </cell>
          <cell r="R11">
            <v>0.16666666666666666</v>
          </cell>
          <cell r="S11">
            <v>0.14285714285714285</v>
          </cell>
          <cell r="T11">
            <v>0.12820512820512819</v>
          </cell>
          <cell r="U11">
            <v>0.12903225806451613</v>
          </cell>
          <cell r="V11">
            <v>5.8823529411764705E-2</v>
          </cell>
          <cell r="W11">
            <v>0.13989795043842029</v>
          </cell>
        </row>
        <row r="12">
          <cell r="A12" t="str">
            <v>No Change</v>
          </cell>
          <cell r="B12">
            <v>24</v>
          </cell>
          <cell r="E12" t="str">
            <v>No Change</v>
          </cell>
          <cell r="F12">
            <v>24</v>
          </cell>
          <cell r="H12" t="str">
            <v>Less Aggressive</v>
          </cell>
          <cell r="I12">
            <v>-5.128205128205128E-2</v>
          </cell>
          <cell r="J12">
            <v>-0.1891891891891892</v>
          </cell>
          <cell r="K12">
            <v>-0.21052631578947367</v>
          </cell>
          <cell r="L12">
            <v>-0.1</v>
          </cell>
          <cell r="M12">
            <v>-0.21951219512195122</v>
          </cell>
          <cell r="N12">
            <v>-0.12195121951219512</v>
          </cell>
          <cell r="O12">
            <v>-0.14814814814814814</v>
          </cell>
          <cell r="P12">
            <v>-0.18421052631578946</v>
          </cell>
          <cell r="Q12">
            <v>-0.13157894736842105</v>
          </cell>
          <cell r="R12">
            <v>-0.20833333333333334</v>
          </cell>
          <cell r="S12">
            <v>-0.2857142857142857</v>
          </cell>
          <cell r="T12">
            <v>-0.15384615384615385</v>
          </cell>
          <cell r="U12">
            <v>-0.19354838709677419</v>
          </cell>
          <cell r="V12">
            <v>-0.14705882352941177</v>
          </cell>
          <cell r="W12">
            <v>-0.16749282687479838</v>
          </cell>
        </row>
        <row r="13">
          <cell r="A13" t="str">
            <v>Less</v>
          </cell>
          <cell r="B13">
            <v>2</v>
          </cell>
          <cell r="E13" t="str">
            <v>Less</v>
          </cell>
          <cell r="F13">
            <v>7</v>
          </cell>
        </row>
        <row r="14">
          <cell r="A14" t="str">
            <v>NA</v>
          </cell>
          <cell r="B14">
            <v>11</v>
          </cell>
          <cell r="E14" t="str">
            <v>NA</v>
          </cell>
          <cell r="F14">
            <v>13</v>
          </cell>
          <cell r="I14" t="str">
            <v>AAPL</v>
          </cell>
          <cell r="J14" t="str">
            <v>BRCD</v>
          </cell>
          <cell r="K14" t="str">
            <v>Brother</v>
          </cell>
          <cell r="L14" t="str">
            <v>Canon</v>
          </cell>
          <cell r="M14" t="str">
            <v>DELL</v>
          </cell>
          <cell r="N14" t="str">
            <v>EMC</v>
          </cell>
          <cell r="O14" t="str">
            <v>Hitachi</v>
          </cell>
          <cell r="P14" t="str">
            <v>HPQ</v>
          </cell>
          <cell r="Q14" t="str">
            <v>IBM</v>
          </cell>
          <cell r="R14" t="str">
            <v>Lenovo</v>
          </cell>
          <cell r="S14" t="str">
            <v>LXK</v>
          </cell>
          <cell r="T14" t="str">
            <v>NTAP</v>
          </cell>
          <cell r="U14" t="str">
            <v>ORCL</v>
          </cell>
          <cell r="V14" t="str">
            <v>TDC</v>
          </cell>
          <cell r="W14" t="str">
            <v>Average</v>
          </cell>
        </row>
        <row r="15">
          <cell r="A15" t="str">
            <v>Grand Total</v>
          </cell>
          <cell r="B15">
            <v>50</v>
          </cell>
          <cell r="E15" t="str">
            <v>Grand Total</v>
          </cell>
          <cell r="F15">
            <v>50</v>
          </cell>
          <cell r="H15" t="str">
            <v>Jul 11 Survey</v>
          </cell>
          <cell r="I15">
            <v>0.23076923076923078</v>
          </cell>
          <cell r="J15">
            <v>8.8235294117647051E-2</v>
          </cell>
          <cell r="K15">
            <v>-5.8823529411764705E-2</v>
          </cell>
          <cell r="L15">
            <v>-5.2631578947368418E-2</v>
          </cell>
          <cell r="M15">
            <v>0</v>
          </cell>
          <cell r="N15">
            <v>0.17948717948717949</v>
          </cell>
          <cell r="O15">
            <v>0</v>
          </cell>
          <cell r="P15">
            <v>2.6315789473684209E-2</v>
          </cell>
          <cell r="Q15">
            <v>-2.777777777777779E-2</v>
          </cell>
          <cell r="R15">
            <v>0.17391304347826086</v>
          </cell>
          <cell r="S15">
            <v>8.6956521739130432E-2</v>
          </cell>
          <cell r="T15">
            <v>0.10526315789473684</v>
          </cell>
          <cell r="U15">
            <v>0.16</v>
          </cell>
          <cell r="W15">
            <v>7.0131333140227584E-2</v>
          </cell>
        </row>
        <row r="16">
          <cell r="H16" t="str">
            <v>Oct 11 Survey</v>
          </cell>
          <cell r="I16">
            <v>0.28205128205128205</v>
          </cell>
          <cell r="J16">
            <v>-2.7027027027027029E-2</v>
          </cell>
          <cell r="K16">
            <v>-0.21052631578947367</v>
          </cell>
          <cell r="L16">
            <v>4.9999999999999989E-2</v>
          </cell>
          <cell r="M16">
            <v>-4.8780487804878037E-2</v>
          </cell>
          <cell r="N16">
            <v>7.3170731707317083E-2</v>
          </cell>
          <cell r="O16">
            <v>-3.7037037037037035E-2</v>
          </cell>
          <cell r="P16">
            <v>-5.2631578947368418E-2</v>
          </cell>
          <cell r="Q16">
            <v>-5.2631578947368418E-2</v>
          </cell>
          <cell r="R16">
            <v>-4.1666666666666685E-2</v>
          </cell>
          <cell r="S16">
            <v>-0.14285714285714285</v>
          </cell>
          <cell r="T16">
            <v>-2.5641025641025661E-2</v>
          </cell>
          <cell r="U16">
            <v>-6.4516129032258063E-2</v>
          </cell>
          <cell r="V16">
            <v>-8.8235294117647065E-2</v>
          </cell>
          <cell r="W16">
            <v>-2.7594876436378129E-2</v>
          </cell>
        </row>
        <row r="17">
          <cell r="A17" t="str">
            <v>US / EU</v>
          </cell>
          <cell r="B17" t="str">
            <v>US</v>
          </cell>
          <cell r="E17" t="str">
            <v>US / EU</v>
          </cell>
          <cell r="F17" t="str">
            <v>US</v>
          </cell>
        </row>
        <row r="18">
          <cell r="A18" t="str">
            <v>Industry</v>
          </cell>
          <cell r="B18" t="str">
            <v>(All)</v>
          </cell>
          <cell r="E18" t="str">
            <v>Industry</v>
          </cell>
          <cell r="F18" t="str">
            <v>(All)</v>
          </cell>
        </row>
        <row r="19">
          <cell r="A19" t="str">
            <v>Revenue</v>
          </cell>
          <cell r="B19" t="str">
            <v>(All)</v>
          </cell>
          <cell r="E19" t="str">
            <v>Revenue</v>
          </cell>
          <cell r="F19" t="str">
            <v>(All)</v>
          </cell>
        </row>
        <row r="21">
          <cell r="A21" t="str">
            <v>Count of 13 Brother</v>
          </cell>
          <cell r="E21" t="str">
            <v>Count of 13 Canon</v>
          </cell>
        </row>
        <row r="22">
          <cell r="A22" t="str">
            <v>13 Brother</v>
          </cell>
          <cell r="B22" t="str">
            <v>Total</v>
          </cell>
          <cell r="E22" t="str">
            <v>13 Canon</v>
          </cell>
          <cell r="F22" t="str">
            <v>Total</v>
          </cell>
        </row>
        <row r="23">
          <cell r="A23" t="str">
            <v>No Change</v>
          </cell>
          <cell r="B23">
            <v>15</v>
          </cell>
          <cell r="E23" t="str">
            <v>More</v>
          </cell>
          <cell r="F23">
            <v>3</v>
          </cell>
        </row>
        <row r="24">
          <cell r="A24" t="str">
            <v>Less</v>
          </cell>
          <cell r="B24">
            <v>4</v>
          </cell>
          <cell r="E24" t="str">
            <v>No Change</v>
          </cell>
          <cell r="F24">
            <v>15</v>
          </cell>
        </row>
        <row r="25">
          <cell r="A25" t="str">
            <v>NA</v>
          </cell>
          <cell r="B25">
            <v>31</v>
          </cell>
          <cell r="E25" t="str">
            <v>Less</v>
          </cell>
          <cell r="F25">
            <v>2</v>
          </cell>
        </row>
        <row r="26">
          <cell r="A26" t="str">
            <v>Grand Total</v>
          </cell>
          <cell r="B26">
            <v>50</v>
          </cell>
          <cell r="E26" t="str">
            <v>NA</v>
          </cell>
          <cell r="F26">
            <v>30</v>
          </cell>
        </row>
        <row r="27">
          <cell r="E27" t="str">
            <v>Grand Total</v>
          </cell>
          <cell r="F27">
            <v>50</v>
          </cell>
        </row>
        <row r="29">
          <cell r="A29" t="str">
            <v>US / EU</v>
          </cell>
          <cell r="B29" t="str">
            <v>US</v>
          </cell>
          <cell r="E29" t="str">
            <v>US / EU</v>
          </cell>
          <cell r="F29" t="str">
            <v>US</v>
          </cell>
        </row>
        <row r="30">
          <cell r="A30" t="str">
            <v>Industry</v>
          </cell>
          <cell r="B30" t="str">
            <v>(All)</v>
          </cell>
          <cell r="E30" t="str">
            <v>Industry</v>
          </cell>
          <cell r="F30" t="str">
            <v>(All)</v>
          </cell>
        </row>
        <row r="31">
          <cell r="A31" t="str">
            <v>Revenue</v>
          </cell>
          <cell r="B31" t="str">
            <v>(All)</v>
          </cell>
          <cell r="E31" t="str">
            <v>Revenue</v>
          </cell>
          <cell r="F31" t="str">
            <v>(All)</v>
          </cell>
        </row>
        <row r="33">
          <cell r="A33" t="str">
            <v>Count of 13 Dell</v>
          </cell>
          <cell r="E33" t="str">
            <v>Count of 13 EMC</v>
          </cell>
        </row>
        <row r="34">
          <cell r="A34" t="str">
            <v>13 Dell</v>
          </cell>
          <cell r="B34" t="str">
            <v>Total</v>
          </cell>
          <cell r="E34" t="str">
            <v>13 EMC</v>
          </cell>
          <cell r="F34" t="str">
            <v>Total</v>
          </cell>
        </row>
        <row r="35">
          <cell r="A35" t="str">
            <v>More</v>
          </cell>
          <cell r="B35">
            <v>7</v>
          </cell>
          <cell r="E35" t="str">
            <v>More</v>
          </cell>
          <cell r="F35">
            <v>8</v>
          </cell>
        </row>
        <row r="36">
          <cell r="A36" t="str">
            <v>No Change</v>
          </cell>
          <cell r="B36">
            <v>25</v>
          </cell>
          <cell r="E36" t="str">
            <v>No Change</v>
          </cell>
          <cell r="F36">
            <v>28</v>
          </cell>
        </row>
        <row r="37">
          <cell r="A37" t="str">
            <v>Less</v>
          </cell>
          <cell r="B37">
            <v>9</v>
          </cell>
          <cell r="E37" t="str">
            <v>Less</v>
          </cell>
          <cell r="F37">
            <v>5</v>
          </cell>
        </row>
        <row r="38">
          <cell r="A38" t="str">
            <v>NA</v>
          </cell>
          <cell r="B38">
            <v>9</v>
          </cell>
          <cell r="E38" t="str">
            <v>NA</v>
          </cell>
          <cell r="F38">
            <v>9</v>
          </cell>
        </row>
        <row r="39">
          <cell r="A39" t="str">
            <v>Grand Total</v>
          </cell>
          <cell r="B39">
            <v>50</v>
          </cell>
          <cell r="E39" t="str">
            <v>Grand Total</v>
          </cell>
          <cell r="F39">
            <v>50</v>
          </cell>
        </row>
        <row r="41">
          <cell r="A41" t="str">
            <v>US / EU</v>
          </cell>
          <cell r="B41" t="str">
            <v>US</v>
          </cell>
          <cell r="E41" t="str">
            <v>US / EU</v>
          </cell>
          <cell r="F41" t="str">
            <v>US</v>
          </cell>
        </row>
        <row r="42">
          <cell r="A42" t="str">
            <v>Industry</v>
          </cell>
          <cell r="B42" t="str">
            <v>(All)</v>
          </cell>
          <cell r="E42" t="str">
            <v>Industry</v>
          </cell>
          <cell r="F42" t="str">
            <v>(All)</v>
          </cell>
        </row>
        <row r="43">
          <cell r="A43" t="str">
            <v>Revenue</v>
          </cell>
          <cell r="B43" t="str">
            <v>(All)</v>
          </cell>
          <cell r="E43" t="str">
            <v>Revenue</v>
          </cell>
          <cell r="F43" t="str">
            <v>(All)</v>
          </cell>
        </row>
        <row r="45">
          <cell r="A45" t="str">
            <v>Count of 13 Hitachi</v>
          </cell>
          <cell r="E45" t="str">
            <v>Count of 13 HP</v>
          </cell>
        </row>
        <row r="46">
          <cell r="A46" t="str">
            <v>13 Hitachi</v>
          </cell>
          <cell r="B46" t="str">
            <v>Total</v>
          </cell>
          <cell r="E46" t="str">
            <v>13 HP</v>
          </cell>
          <cell r="F46" t="str">
            <v>Total</v>
          </cell>
        </row>
        <row r="47">
          <cell r="A47" t="str">
            <v>More</v>
          </cell>
          <cell r="B47">
            <v>3</v>
          </cell>
          <cell r="E47" t="str">
            <v>More</v>
          </cell>
          <cell r="F47">
            <v>5</v>
          </cell>
          <cell r="I47" t="str">
            <v>AAPL</v>
          </cell>
          <cell r="J47" t="str">
            <v>EMC</v>
          </cell>
          <cell r="K47" t="str">
            <v>NTAP</v>
          </cell>
          <cell r="L47" t="str">
            <v>BRCD</v>
          </cell>
          <cell r="M47" t="str">
            <v>HPQ</v>
          </cell>
          <cell r="N47" t="str">
            <v>DELL</v>
          </cell>
          <cell r="O47" t="str">
            <v>IBM</v>
          </cell>
          <cell r="P47" t="str">
            <v>TDC</v>
          </cell>
          <cell r="Q47" t="str">
            <v>LXK</v>
          </cell>
          <cell r="S47" t="str">
            <v>Average</v>
          </cell>
        </row>
        <row r="48">
          <cell r="A48" t="str">
            <v>No Change</v>
          </cell>
          <cell r="B48">
            <v>20</v>
          </cell>
          <cell r="E48" t="str">
            <v>No Change</v>
          </cell>
          <cell r="F48">
            <v>26</v>
          </cell>
          <cell r="H48" t="str">
            <v>Jul 11 Survey</v>
          </cell>
          <cell r="I48">
            <v>0.23076923076923078</v>
          </cell>
          <cell r="J48">
            <v>0.17948717948717949</v>
          </cell>
          <cell r="K48">
            <v>0.10526315789473684</v>
          </cell>
          <cell r="L48">
            <v>8.8235294117647051E-2</v>
          </cell>
          <cell r="M48">
            <v>2.6315789473684209E-2</v>
          </cell>
          <cell r="N48">
            <v>0</v>
          </cell>
          <cell r="O48">
            <v>-2.777777777777779E-2</v>
          </cell>
          <cell r="Q48">
            <v>8.6956521739130432E-2</v>
          </cell>
          <cell r="S48">
            <v>8.6156174462978879E-2</v>
          </cell>
        </row>
        <row r="49">
          <cell r="A49" t="str">
            <v>Less</v>
          </cell>
          <cell r="B49">
            <v>4</v>
          </cell>
          <cell r="E49" t="str">
            <v>Less</v>
          </cell>
          <cell r="F49">
            <v>7</v>
          </cell>
          <cell r="H49" t="str">
            <v>Oct 11 Survey</v>
          </cell>
          <cell r="I49">
            <v>0.28205128205128205</v>
          </cell>
          <cell r="J49">
            <v>7.3170731707317083E-2</v>
          </cell>
          <cell r="K49">
            <v>-2.5641025641025661E-2</v>
          </cell>
          <cell r="L49">
            <v>-2.7027027027027029E-2</v>
          </cell>
          <cell r="M49">
            <v>-5.2631578947368418E-2</v>
          </cell>
          <cell r="N49">
            <v>-4.8780487804878037E-2</v>
          </cell>
          <cell r="O49">
            <v>-5.2631578947368418E-2</v>
          </cell>
          <cell r="P49">
            <v>-8.8235294117647065E-2</v>
          </cell>
          <cell r="Q49">
            <v>-0.14285714285714285</v>
          </cell>
          <cell r="S49">
            <v>-9.1757912870953709E-3</v>
          </cell>
        </row>
        <row r="50">
          <cell r="A50" t="str">
            <v>NA</v>
          </cell>
          <cell r="B50">
            <v>23</v>
          </cell>
          <cell r="E50" t="str">
            <v>NA</v>
          </cell>
          <cell r="F50">
            <v>12</v>
          </cell>
        </row>
        <row r="51">
          <cell r="A51" t="str">
            <v>Grand Total</v>
          </cell>
          <cell r="B51">
            <v>50</v>
          </cell>
          <cell r="E51" t="str">
            <v>Grand Total</v>
          </cell>
          <cell r="F51">
            <v>50</v>
          </cell>
        </row>
        <row r="53">
          <cell r="A53" t="str">
            <v>US / EU</v>
          </cell>
          <cell r="B53" t="str">
            <v>US</v>
          </cell>
          <cell r="E53" t="str">
            <v>US / EU</v>
          </cell>
          <cell r="F53" t="str">
            <v>US</v>
          </cell>
        </row>
        <row r="54">
          <cell r="A54" t="str">
            <v>Industry</v>
          </cell>
          <cell r="B54" t="str">
            <v>(All)</v>
          </cell>
          <cell r="E54" t="str">
            <v>Industry</v>
          </cell>
          <cell r="F54" t="str">
            <v>(All)</v>
          </cell>
        </row>
        <row r="55">
          <cell r="A55" t="str">
            <v>Revenue</v>
          </cell>
          <cell r="B55" t="str">
            <v>(All)</v>
          </cell>
          <cell r="E55" t="str">
            <v>Revenue</v>
          </cell>
          <cell r="F55" t="str">
            <v>(All)</v>
          </cell>
        </row>
        <row r="57">
          <cell r="A57" t="str">
            <v>Count of 13 IBM</v>
          </cell>
          <cell r="E57" t="str">
            <v>Count of 13 Lenovo</v>
          </cell>
        </row>
        <row r="58">
          <cell r="A58" t="str">
            <v>13 IBM</v>
          </cell>
          <cell r="B58" t="str">
            <v>Total</v>
          </cell>
          <cell r="E58" t="str">
            <v>13 Lenovo</v>
          </cell>
          <cell r="F58" t="str">
            <v>Total</v>
          </cell>
        </row>
        <row r="59">
          <cell r="A59" t="str">
            <v>More</v>
          </cell>
          <cell r="B59">
            <v>3</v>
          </cell>
          <cell r="E59" t="str">
            <v>More</v>
          </cell>
          <cell r="F59">
            <v>4</v>
          </cell>
        </row>
        <row r="60">
          <cell r="A60" t="str">
            <v>No Change</v>
          </cell>
          <cell r="B60">
            <v>30</v>
          </cell>
          <cell r="E60" t="str">
            <v>No Change</v>
          </cell>
          <cell r="F60">
            <v>15</v>
          </cell>
        </row>
        <row r="61">
          <cell r="A61" t="str">
            <v>Less</v>
          </cell>
          <cell r="B61">
            <v>5</v>
          </cell>
          <cell r="E61" t="str">
            <v>Less</v>
          </cell>
          <cell r="F61">
            <v>5</v>
          </cell>
        </row>
        <row r="62">
          <cell r="A62" t="str">
            <v>NA</v>
          </cell>
          <cell r="B62">
            <v>12</v>
          </cell>
          <cell r="E62" t="str">
            <v>NA</v>
          </cell>
          <cell r="F62">
            <v>26</v>
          </cell>
        </row>
        <row r="63">
          <cell r="A63" t="str">
            <v>Grand Total</v>
          </cell>
          <cell r="B63">
            <v>50</v>
          </cell>
          <cell r="E63" t="str">
            <v>Grand Total</v>
          </cell>
          <cell r="F63">
            <v>50</v>
          </cell>
        </row>
        <row r="65">
          <cell r="A65" t="str">
            <v>US / EU</v>
          </cell>
          <cell r="B65" t="str">
            <v>US</v>
          </cell>
          <cell r="E65" t="str">
            <v>US / EU</v>
          </cell>
          <cell r="F65" t="str">
            <v>US</v>
          </cell>
        </row>
        <row r="66">
          <cell r="A66" t="str">
            <v>Industry</v>
          </cell>
          <cell r="B66" t="str">
            <v>(All)</v>
          </cell>
          <cell r="E66" t="str">
            <v>Industry</v>
          </cell>
          <cell r="F66" t="str">
            <v>(All)</v>
          </cell>
        </row>
        <row r="67">
          <cell r="A67" t="str">
            <v>Revenue</v>
          </cell>
          <cell r="B67" t="str">
            <v>(All)</v>
          </cell>
          <cell r="E67" t="str">
            <v>Revenue</v>
          </cell>
          <cell r="F67" t="str">
            <v>(All)</v>
          </cell>
        </row>
        <row r="69">
          <cell r="A69" t="str">
            <v>Count of 13 Lexmark</v>
          </cell>
          <cell r="E69" t="str">
            <v>Count of 13 NetApp</v>
          </cell>
        </row>
        <row r="70">
          <cell r="A70" t="str">
            <v>13 Lexmark</v>
          </cell>
          <cell r="B70" t="str">
            <v>Total</v>
          </cell>
          <cell r="E70" t="str">
            <v>13 NetApp</v>
          </cell>
          <cell r="F70" t="str">
            <v>Total</v>
          </cell>
        </row>
        <row r="71">
          <cell r="A71" t="str">
            <v>More</v>
          </cell>
          <cell r="B71">
            <v>4</v>
          </cell>
          <cell r="E71" t="str">
            <v>More</v>
          </cell>
          <cell r="F71">
            <v>5</v>
          </cell>
        </row>
        <row r="72">
          <cell r="A72" t="str">
            <v>No Change</v>
          </cell>
          <cell r="B72">
            <v>16</v>
          </cell>
          <cell r="E72" t="str">
            <v>No Change</v>
          </cell>
          <cell r="F72">
            <v>28</v>
          </cell>
        </row>
        <row r="73">
          <cell r="A73" t="str">
            <v>Less</v>
          </cell>
          <cell r="B73">
            <v>8</v>
          </cell>
          <cell r="E73" t="str">
            <v>Less</v>
          </cell>
          <cell r="F73">
            <v>6</v>
          </cell>
        </row>
        <row r="74">
          <cell r="A74" t="str">
            <v>NA</v>
          </cell>
          <cell r="B74">
            <v>22</v>
          </cell>
          <cell r="E74" t="str">
            <v>NA</v>
          </cell>
          <cell r="F74">
            <v>11</v>
          </cell>
        </row>
        <row r="75">
          <cell r="A75" t="str">
            <v>Grand Total</v>
          </cell>
          <cell r="B75">
            <v>50</v>
          </cell>
          <cell r="E75" t="str">
            <v>Grand Total</v>
          </cell>
          <cell r="F75">
            <v>50</v>
          </cell>
        </row>
        <row r="77">
          <cell r="A77" t="str">
            <v>US / EU</v>
          </cell>
          <cell r="B77" t="str">
            <v>US</v>
          </cell>
          <cell r="E77" t="str">
            <v>US / EU</v>
          </cell>
          <cell r="F77" t="str">
            <v>US</v>
          </cell>
        </row>
        <row r="78">
          <cell r="A78" t="str">
            <v>Industry</v>
          </cell>
          <cell r="B78" t="str">
            <v>(All)</v>
          </cell>
          <cell r="E78" t="str">
            <v>Industry</v>
          </cell>
          <cell r="F78" t="str">
            <v>(All)</v>
          </cell>
        </row>
        <row r="79">
          <cell r="A79" t="str">
            <v>Revenue</v>
          </cell>
          <cell r="B79" t="str">
            <v>(All)</v>
          </cell>
          <cell r="E79" t="str">
            <v>Revenue</v>
          </cell>
          <cell r="F79" t="str">
            <v>(All)</v>
          </cell>
        </row>
        <row r="81">
          <cell r="A81" t="str">
            <v>Count of 13 Oracle/Sun</v>
          </cell>
          <cell r="E81" t="str">
            <v>Count of 13 Teradata</v>
          </cell>
        </row>
        <row r="82">
          <cell r="A82" t="str">
            <v>13 Oracle/Sun</v>
          </cell>
          <cell r="B82" t="str">
            <v>Total</v>
          </cell>
          <cell r="E82" t="str">
            <v>13 Teradata</v>
          </cell>
          <cell r="F82" t="str">
            <v>Total</v>
          </cell>
        </row>
        <row r="83">
          <cell r="A83" t="str">
            <v>More</v>
          </cell>
          <cell r="B83">
            <v>4</v>
          </cell>
          <cell r="E83" t="str">
            <v>More</v>
          </cell>
          <cell r="F83">
            <v>2</v>
          </cell>
        </row>
        <row r="84">
          <cell r="A84" t="str">
            <v>No Change</v>
          </cell>
          <cell r="B84">
            <v>21</v>
          </cell>
          <cell r="E84" t="str">
            <v>No Change</v>
          </cell>
          <cell r="F84">
            <v>27</v>
          </cell>
        </row>
        <row r="85">
          <cell r="A85" t="str">
            <v>Less</v>
          </cell>
          <cell r="B85">
            <v>6</v>
          </cell>
          <cell r="E85" t="str">
            <v>Less</v>
          </cell>
          <cell r="F85">
            <v>5</v>
          </cell>
        </row>
        <row r="86">
          <cell r="A86" t="str">
            <v>NA</v>
          </cell>
          <cell r="B86">
            <v>19</v>
          </cell>
          <cell r="E86" t="str">
            <v>NA</v>
          </cell>
          <cell r="F86">
            <v>16</v>
          </cell>
        </row>
        <row r="87">
          <cell r="A87" t="str">
            <v>Grand Total</v>
          </cell>
          <cell r="B87">
            <v>50</v>
          </cell>
          <cell r="E87" t="str">
            <v>Grand Total</v>
          </cell>
          <cell r="F87">
            <v>50</v>
          </cell>
        </row>
      </sheetData>
      <sheetData sheetId="13">
        <row r="1">
          <cell r="A1" t="str">
            <v>Morgan Stanley Hardware Survey - November 2011</v>
          </cell>
        </row>
        <row r="3">
          <cell r="A3" t="str">
            <v>14.  How have printers and supplies spending per employee trended in the last twelve months?</v>
          </cell>
        </row>
        <row r="4">
          <cell r="A4" t="str">
            <v xml:space="preserve"> How do you expect it to trend per employee in the next twelve months?</v>
          </cell>
        </row>
        <row r="6">
          <cell r="A6" t="str">
            <v>US / EU</v>
          </cell>
          <cell r="B6" t="str">
            <v>US</v>
          </cell>
          <cell r="E6" t="str">
            <v>Printers</v>
          </cell>
          <cell r="M6" t="str">
            <v>Supplies</v>
          </cell>
        </row>
        <row r="7">
          <cell r="A7" t="str">
            <v>Industry</v>
          </cell>
          <cell r="B7" t="str">
            <v>(All)</v>
          </cell>
          <cell r="E7">
            <v>40087</v>
          </cell>
          <cell r="F7">
            <v>40179</v>
          </cell>
          <cell r="G7">
            <v>40452</v>
          </cell>
          <cell r="H7">
            <v>40544</v>
          </cell>
          <cell r="I7">
            <v>40634</v>
          </cell>
          <cell r="J7">
            <v>40725</v>
          </cell>
          <cell r="K7">
            <v>40858</v>
          </cell>
          <cell r="M7">
            <v>40087</v>
          </cell>
          <cell r="N7">
            <v>40179</v>
          </cell>
          <cell r="O7">
            <v>40452</v>
          </cell>
          <cell r="P7">
            <v>40544</v>
          </cell>
          <cell r="Q7">
            <v>40634</v>
          </cell>
          <cell r="R7">
            <v>40725</v>
          </cell>
          <cell r="S7">
            <v>40858</v>
          </cell>
        </row>
        <row r="8">
          <cell r="A8" t="str">
            <v>Revenue</v>
          </cell>
          <cell r="B8" t="str">
            <v>(All)</v>
          </cell>
          <cell r="D8" t="str">
            <v>Increase</v>
          </cell>
          <cell r="E8">
            <v>0.11678832116788321</v>
          </cell>
          <cell r="F8">
            <v>7.2992700729927001E-2</v>
          </cell>
          <cell r="G8">
            <v>6.9767441860465115E-2</v>
          </cell>
          <cell r="H8">
            <v>0.1</v>
          </cell>
          <cell r="I8">
            <v>0.12</v>
          </cell>
          <cell r="J8">
            <v>0.08</v>
          </cell>
          <cell r="K8">
            <v>0.08</v>
          </cell>
          <cell r="M8">
            <v>8.9552238805970144E-2</v>
          </cell>
          <cell r="N8">
            <v>0.15217391304347827</v>
          </cell>
          <cell r="O8">
            <v>0.14893617021276595</v>
          </cell>
          <cell r="P8">
            <v>0.12</v>
          </cell>
          <cell r="Q8">
            <v>0.14000000000000001</v>
          </cell>
          <cell r="R8">
            <v>0.16</v>
          </cell>
          <cell r="S8">
            <v>0.12</v>
          </cell>
        </row>
        <row r="9">
          <cell r="D9" t="str">
            <v>Decrease</v>
          </cell>
          <cell r="E9">
            <v>-0.29927007299270098</v>
          </cell>
          <cell r="F9">
            <v>-0.29927007299270098</v>
          </cell>
          <cell r="G9">
            <v>-0.2558139534883721</v>
          </cell>
          <cell r="H9">
            <v>-0.2</v>
          </cell>
          <cell r="I9">
            <v>-0.18</v>
          </cell>
          <cell r="J9">
            <v>-0.24</v>
          </cell>
          <cell r="K9">
            <v>-0.28000000000000003</v>
          </cell>
          <cell r="M9">
            <v>-0.35820895522388102</v>
          </cell>
          <cell r="N9">
            <v>-0.30434782608695699</v>
          </cell>
          <cell r="O9">
            <v>-0.1276595744680851</v>
          </cell>
          <cell r="P9">
            <v>-0.3</v>
          </cell>
          <cell r="Q9">
            <v>-0.24</v>
          </cell>
          <cell r="R9">
            <v>-0.12</v>
          </cell>
          <cell r="S9">
            <v>-0.24</v>
          </cell>
        </row>
        <row r="10">
          <cell r="A10" t="str">
            <v>Count of 14 Printer Spending Next 12 Months</v>
          </cell>
          <cell r="D10" t="str">
            <v>Net</v>
          </cell>
          <cell r="E10">
            <v>-0.18248175182481777</v>
          </cell>
          <cell r="F10">
            <v>-0.22627737226277397</v>
          </cell>
          <cell r="G10">
            <v>-0.18604651162790697</v>
          </cell>
          <cell r="H10">
            <v>-0.1</v>
          </cell>
          <cell r="I10">
            <v>-0.06</v>
          </cell>
          <cell r="J10">
            <v>-0.15999999999999998</v>
          </cell>
          <cell r="K10">
            <v>-0.2</v>
          </cell>
          <cell r="M10">
            <v>-0.26865671641791089</v>
          </cell>
          <cell r="N10">
            <v>-0.15217391304347871</v>
          </cell>
          <cell r="O10">
            <v>2.1276595744680854E-2</v>
          </cell>
          <cell r="P10">
            <v>-0.18</v>
          </cell>
          <cell r="Q10">
            <v>-9.9999999999999978E-2</v>
          </cell>
          <cell r="R10">
            <v>4.0000000000000008E-2</v>
          </cell>
          <cell r="S10">
            <v>-0.12</v>
          </cell>
        </row>
        <row r="11">
          <cell r="A11" t="str">
            <v>14 Printer Spending Next 12 Months</v>
          </cell>
          <cell r="B11" t="str">
            <v>Total</v>
          </cell>
        </row>
        <row r="12">
          <cell r="A12" t="str">
            <v>Increase</v>
          </cell>
          <cell r="B12">
            <v>4</v>
          </cell>
        </row>
        <row r="13">
          <cell r="A13" t="str">
            <v>Flat</v>
          </cell>
          <cell r="B13">
            <v>32</v>
          </cell>
        </row>
        <row r="14">
          <cell r="A14" t="str">
            <v>Decrease</v>
          </cell>
          <cell r="B14">
            <v>14</v>
          </cell>
        </row>
        <row r="15">
          <cell r="A15" t="str">
            <v>Grand Total</v>
          </cell>
          <cell r="B15">
            <v>50</v>
          </cell>
        </row>
        <row r="17">
          <cell r="A17" t="str">
            <v>US / EU</v>
          </cell>
          <cell r="B17" t="str">
            <v>US</v>
          </cell>
        </row>
        <row r="18">
          <cell r="A18" t="str">
            <v>Industry</v>
          </cell>
          <cell r="B18" t="str">
            <v>(All)</v>
          </cell>
        </row>
        <row r="19">
          <cell r="A19" t="str">
            <v>Revenue</v>
          </cell>
          <cell r="B19" t="str">
            <v>(All)</v>
          </cell>
        </row>
        <row r="21">
          <cell r="A21" t="str">
            <v>Count of 14 Printer Supplies Spending Next 12 Months</v>
          </cell>
        </row>
        <row r="22">
          <cell r="A22" t="str">
            <v>14 Printer Supplies Spending Next 12 Months</v>
          </cell>
          <cell r="B22" t="str">
            <v>Total</v>
          </cell>
        </row>
        <row r="23">
          <cell r="A23" t="str">
            <v>Increase</v>
          </cell>
          <cell r="B23">
            <v>6</v>
          </cell>
        </row>
        <row r="24">
          <cell r="A24" t="str">
            <v>Flat</v>
          </cell>
          <cell r="B24">
            <v>32</v>
          </cell>
        </row>
        <row r="25">
          <cell r="A25" t="str">
            <v>Decrease</v>
          </cell>
          <cell r="B25">
            <v>12</v>
          </cell>
        </row>
        <row r="26">
          <cell r="A26" t="str">
            <v>Grand Total</v>
          </cell>
          <cell r="B26">
            <v>50</v>
          </cell>
        </row>
        <row r="28">
          <cell r="A28" t="str">
            <v>US / EU</v>
          </cell>
          <cell r="B28" t="str">
            <v>US</v>
          </cell>
        </row>
        <row r="29">
          <cell r="A29" t="str">
            <v>Industry</v>
          </cell>
          <cell r="B29" t="str">
            <v>(All)</v>
          </cell>
        </row>
        <row r="30">
          <cell r="A30" t="str">
            <v>Revenue</v>
          </cell>
          <cell r="B30" t="str">
            <v>(All)</v>
          </cell>
        </row>
        <row r="32">
          <cell r="A32" t="str">
            <v>Count of 14 Printer Spending Last 12 Months</v>
          </cell>
        </row>
        <row r="33">
          <cell r="A33" t="str">
            <v>14 Printer Spending Last 12 Months</v>
          </cell>
          <cell r="B33" t="str">
            <v>Total</v>
          </cell>
        </row>
        <row r="34">
          <cell r="A34" t="str">
            <v>Increase</v>
          </cell>
          <cell r="B34">
            <v>6</v>
          </cell>
        </row>
        <row r="35">
          <cell r="A35" t="str">
            <v>Flat</v>
          </cell>
          <cell r="B35">
            <v>26</v>
          </cell>
        </row>
        <row r="36">
          <cell r="A36" t="str">
            <v>Decrease</v>
          </cell>
          <cell r="B36">
            <v>18</v>
          </cell>
        </row>
        <row r="37">
          <cell r="A37" t="str">
            <v>Grand Total</v>
          </cell>
          <cell r="B37">
            <v>50</v>
          </cell>
        </row>
        <row r="39">
          <cell r="A39" t="str">
            <v>US / EU</v>
          </cell>
          <cell r="B39" t="str">
            <v>US</v>
          </cell>
        </row>
        <row r="40">
          <cell r="A40" t="str">
            <v>Industry</v>
          </cell>
          <cell r="B40" t="str">
            <v>(All)</v>
          </cell>
        </row>
        <row r="41">
          <cell r="A41" t="str">
            <v>Revenue</v>
          </cell>
          <cell r="B41" t="str">
            <v>(All)</v>
          </cell>
        </row>
        <row r="43">
          <cell r="A43" t="str">
            <v>Count of 14 Printer Supplies Spending Last 12 Months</v>
          </cell>
          <cell r="E43" t="str">
            <v>US</v>
          </cell>
          <cell r="G43" t="str">
            <v>EU</v>
          </cell>
        </row>
        <row r="44">
          <cell r="A44" t="str">
            <v>14 Printer Supplies Spending Last 12 Months</v>
          </cell>
          <cell r="B44" t="str">
            <v>Total</v>
          </cell>
          <cell r="E44" t="str">
            <v>Printers</v>
          </cell>
          <cell r="F44" t="str">
            <v>Supplies</v>
          </cell>
          <cell r="G44" t="str">
            <v>Printers</v>
          </cell>
          <cell r="H44" t="str">
            <v>Supplies</v>
          </cell>
          <cell r="K44" t="str">
            <v>Printers US</v>
          </cell>
          <cell r="L44" t="str">
            <v>Printers EU</v>
          </cell>
          <cell r="M44" t="str">
            <v>Supplies US</v>
          </cell>
          <cell r="N44" t="str">
            <v>Supplies EU</v>
          </cell>
        </row>
        <row r="45">
          <cell r="A45" t="str">
            <v>Increase</v>
          </cell>
          <cell r="B45">
            <v>5</v>
          </cell>
          <cell r="D45" t="str">
            <v>Increase</v>
          </cell>
          <cell r="E45">
            <v>4</v>
          </cell>
          <cell r="F45">
            <v>6</v>
          </cell>
          <cell r="G45">
            <v>2</v>
          </cell>
          <cell r="H45">
            <v>0</v>
          </cell>
          <cell r="J45" t="str">
            <v>Increase</v>
          </cell>
          <cell r="K45">
            <v>0.08</v>
          </cell>
          <cell r="L45">
            <v>0.08</v>
          </cell>
          <cell r="M45">
            <v>0.12</v>
          </cell>
          <cell r="N45">
            <v>0</v>
          </cell>
        </row>
        <row r="46">
          <cell r="A46" t="str">
            <v>Flat</v>
          </cell>
          <cell r="B46">
            <v>36</v>
          </cell>
          <cell r="D46" t="str">
            <v>Flat</v>
          </cell>
          <cell r="E46">
            <v>32</v>
          </cell>
          <cell r="F46">
            <v>32</v>
          </cell>
          <cell r="G46">
            <v>16</v>
          </cell>
          <cell r="H46">
            <v>18</v>
          </cell>
          <cell r="J46" t="str">
            <v>Flat</v>
          </cell>
          <cell r="K46">
            <v>0.64</v>
          </cell>
          <cell r="L46">
            <v>0.64</v>
          </cell>
          <cell r="M46">
            <v>0.64</v>
          </cell>
          <cell r="N46">
            <v>0.72</v>
          </cell>
        </row>
        <row r="47">
          <cell r="A47" t="str">
            <v>Decrease</v>
          </cell>
          <cell r="B47">
            <v>9</v>
          </cell>
          <cell r="D47" t="str">
            <v>Decrease</v>
          </cell>
          <cell r="E47">
            <v>14</v>
          </cell>
          <cell r="F47">
            <v>12</v>
          </cell>
          <cell r="G47">
            <v>7</v>
          </cell>
          <cell r="H47">
            <v>7</v>
          </cell>
          <cell r="J47" t="str">
            <v>Decrease</v>
          </cell>
          <cell r="K47">
            <v>-0.28000000000000003</v>
          </cell>
          <cell r="L47">
            <v>-0.28000000000000003</v>
          </cell>
          <cell r="M47">
            <v>-0.24</v>
          </cell>
          <cell r="N47">
            <v>-0.28000000000000003</v>
          </cell>
        </row>
        <row r="48">
          <cell r="A48" t="str">
            <v>Grand Total</v>
          </cell>
          <cell r="B48">
            <v>50</v>
          </cell>
        </row>
      </sheetData>
      <sheetData sheetId="14"/>
      <sheetData sheetId="15"/>
      <sheetData sheetId="16">
        <row r="1">
          <cell r="A1" t="str">
            <v>Morgan Stanley CIO Survey - November 2011</v>
          </cell>
        </row>
        <row r="3">
          <cell r="A3" t="str">
            <v>2.  By what percentages did your External IT Spending change for each of the following</v>
          </cell>
        </row>
        <row r="4">
          <cell r="A4" t="str">
            <v xml:space="preserve"> technology areas in 2011 vs. 2010? How would you expect spending to change in 2012 vs. 2011?  </v>
          </cell>
        </row>
        <row r="6">
          <cell r="A6" t="str">
            <v>2011  vs 2010</v>
          </cell>
        </row>
        <row r="7">
          <cell r="A7" t="str">
            <v xml:space="preserve">Hardware </v>
          </cell>
        </row>
        <row r="8">
          <cell r="A8" t="str">
            <v>Industry</v>
          </cell>
          <cell r="D8" t="str">
            <v>Median</v>
          </cell>
          <cell r="E8" t="str">
            <v>Average</v>
          </cell>
          <cell r="F8" t="str">
            <v>total</v>
          </cell>
        </row>
        <row r="9">
          <cell r="A9" t="str">
            <v>Aerospace</v>
          </cell>
          <cell r="D9">
            <v>0.05</v>
          </cell>
          <cell r="E9">
            <v>0.05</v>
          </cell>
          <cell r="F9">
            <v>1</v>
          </cell>
          <cell r="I9">
            <v>2011</v>
          </cell>
          <cell r="J9">
            <v>2012</v>
          </cell>
        </row>
        <row r="10">
          <cell r="A10" t="str">
            <v>Automotive</v>
          </cell>
          <cell r="D10">
            <v>0.08</v>
          </cell>
          <cell r="E10">
            <v>0.08</v>
          </cell>
          <cell r="F10">
            <v>1</v>
          </cell>
          <cell r="H10" t="str">
            <v>EU</v>
          </cell>
          <cell r="I10">
            <v>2.4199999999999999E-2</v>
          </cell>
          <cell r="J10">
            <v>2.3199999999999998E-2</v>
          </cell>
        </row>
        <row r="11">
          <cell r="A11" t="str">
            <v>Business services</v>
          </cell>
          <cell r="D11">
            <v>0.05</v>
          </cell>
          <cell r="E11">
            <v>4.5294117647058825E-2</v>
          </cell>
          <cell r="F11">
            <v>17</v>
          </cell>
          <cell r="H11" t="str">
            <v>US</v>
          </cell>
          <cell r="I11">
            <v>1.91752577E-2</v>
          </cell>
          <cell r="J11">
            <v>2.9690721600000001E-2</v>
          </cell>
        </row>
        <row r="12">
          <cell r="A12" t="str">
            <v>Communications</v>
          </cell>
          <cell r="D12">
            <v>0.03</v>
          </cell>
          <cell r="E12">
            <v>2.3636363636363636E-2</v>
          </cell>
          <cell r="F12">
            <v>11</v>
          </cell>
        </row>
        <row r="13">
          <cell r="A13" t="str">
            <v>Engineering / Construction</v>
          </cell>
          <cell r="D13">
            <v>0.05</v>
          </cell>
          <cell r="E13">
            <v>-1.6666666666666666E-2</v>
          </cell>
          <cell r="F13">
            <v>3</v>
          </cell>
        </row>
        <row r="14">
          <cell r="A14" t="str">
            <v>Financial services</v>
          </cell>
          <cell r="D14">
            <v>0.04</v>
          </cell>
          <cell r="E14">
            <v>1.9666666666666666E-2</v>
          </cell>
          <cell r="F14">
            <v>30</v>
          </cell>
        </row>
        <row r="15">
          <cell r="A15" t="str">
            <v>Healthcare</v>
          </cell>
          <cell r="D15">
            <v>0.01</v>
          </cell>
          <cell r="E15">
            <v>0.02</v>
          </cell>
          <cell r="F15">
            <v>8</v>
          </cell>
        </row>
        <row r="16">
          <cell r="A16" t="str">
            <v>Hospitality / Leisure</v>
          </cell>
          <cell r="D16">
            <v>-0.05</v>
          </cell>
          <cell r="E16">
            <v>-0.05</v>
          </cell>
          <cell r="F16">
            <v>1</v>
          </cell>
        </row>
        <row r="17">
          <cell r="A17" t="str">
            <v>Manufacturing</v>
          </cell>
          <cell r="D17">
            <v>0.02</v>
          </cell>
          <cell r="E17">
            <v>1.6774193548387096E-2</v>
          </cell>
          <cell r="F17">
            <v>31</v>
          </cell>
        </row>
        <row r="18">
          <cell r="A18" t="str">
            <v>Mining &amp; Minerals</v>
          </cell>
          <cell r="D18">
            <v>7.0000000000000007E-2</v>
          </cell>
          <cell r="E18">
            <v>7.0000000000000007E-2</v>
          </cell>
          <cell r="F18">
            <v>1</v>
          </cell>
        </row>
        <row r="19">
          <cell r="A19" t="str">
            <v>Pharmaceuticals</v>
          </cell>
          <cell r="D19">
            <v>0.01</v>
          </cell>
          <cell r="E19">
            <v>0.01</v>
          </cell>
          <cell r="F19">
            <v>1</v>
          </cell>
        </row>
        <row r="20">
          <cell r="A20" t="str">
            <v>Retail</v>
          </cell>
          <cell r="D20">
            <v>0.05</v>
          </cell>
          <cell r="E20">
            <v>2.357142857E-2</v>
          </cell>
          <cell r="F20">
            <v>14</v>
          </cell>
        </row>
        <row r="21">
          <cell r="A21" t="str">
            <v>Technology</v>
          </cell>
          <cell r="D21">
            <v>0</v>
          </cell>
          <cell r="E21">
            <v>1.842105263E-2</v>
          </cell>
          <cell r="F21">
            <v>19</v>
          </cell>
        </row>
        <row r="22">
          <cell r="A22" t="str">
            <v>Transportation</v>
          </cell>
          <cell r="D22">
            <v>1.4999999999999999E-2</v>
          </cell>
          <cell r="E22">
            <v>0.02</v>
          </cell>
          <cell r="F22">
            <v>4</v>
          </cell>
        </row>
        <row r="23">
          <cell r="A23" t="str">
            <v>Utilities</v>
          </cell>
          <cell r="D23">
            <v>0.03</v>
          </cell>
          <cell r="E23">
            <v>0.03</v>
          </cell>
          <cell r="F23">
            <v>2</v>
          </cell>
        </row>
        <row r="24">
          <cell r="A24" t="str">
            <v>Wholesale / Distribution</v>
          </cell>
          <cell r="D24">
            <v>-0.08</v>
          </cell>
          <cell r="E24">
            <v>-5.3333333330000003E-2</v>
          </cell>
          <cell r="F24">
            <v>3</v>
          </cell>
        </row>
        <row r="25">
          <cell r="A25" t="str">
            <v>Overall</v>
          </cell>
          <cell r="D25">
            <v>0.03</v>
          </cell>
          <cell r="E25">
            <v>2.0884353741224489E-2</v>
          </cell>
          <cell r="F25">
            <v>147</v>
          </cell>
        </row>
        <row r="27">
          <cell r="A27" t="str">
            <v>Revenue</v>
          </cell>
          <cell r="D27" t="str">
            <v>Median</v>
          </cell>
          <cell r="E27" t="str">
            <v>Average</v>
          </cell>
          <cell r="F27" t="str">
            <v>total</v>
          </cell>
        </row>
        <row r="28">
          <cell r="A28" t="str">
            <v>&lt;$500M</v>
          </cell>
          <cell r="D28">
            <v>-5.0000000000000001E-3</v>
          </cell>
          <cell r="E28">
            <v>-3.7499999999999999E-3</v>
          </cell>
          <cell r="F28">
            <v>8</v>
          </cell>
        </row>
        <row r="29">
          <cell r="A29" t="str">
            <v>$500M - $1B</v>
          </cell>
          <cell r="D29">
            <v>0.03</v>
          </cell>
          <cell r="E29">
            <v>3.2571428999999999E-2</v>
          </cell>
          <cell r="F29">
            <v>35</v>
          </cell>
        </row>
        <row r="30">
          <cell r="A30" t="str">
            <v>$1-5B</v>
          </cell>
          <cell r="D30">
            <v>0.02</v>
          </cell>
          <cell r="E30">
            <v>4.5945945945945945E-3</v>
          </cell>
          <cell r="F30">
            <v>37</v>
          </cell>
        </row>
        <row r="31">
          <cell r="A31" t="str">
            <v>$5-10B</v>
          </cell>
          <cell r="D31">
            <v>0.03</v>
          </cell>
          <cell r="E31">
            <v>3.4571428571428572E-2</v>
          </cell>
          <cell r="F31">
            <v>35</v>
          </cell>
        </row>
        <row r="32">
          <cell r="A32" t="str">
            <v>$10-15B</v>
          </cell>
          <cell r="D32">
            <v>0.03</v>
          </cell>
          <cell r="E32">
            <v>9.4736842105263147E-3</v>
          </cell>
          <cell r="F32">
            <v>19</v>
          </cell>
        </row>
        <row r="33">
          <cell r="A33" t="str">
            <v>$15-20B</v>
          </cell>
          <cell r="D33">
            <v>0.05</v>
          </cell>
          <cell r="E33">
            <v>3.8571428571428569E-2</v>
          </cell>
          <cell r="F33">
            <v>7</v>
          </cell>
        </row>
        <row r="34">
          <cell r="A34" t="str">
            <v>&gt;$20B</v>
          </cell>
          <cell r="D34">
            <v>0.05</v>
          </cell>
          <cell r="E34">
            <v>2.1666666666666664E-2</v>
          </cell>
          <cell r="F34">
            <v>6</v>
          </cell>
        </row>
        <row r="35">
          <cell r="A35" t="str">
            <v>Overall</v>
          </cell>
          <cell r="D35">
            <v>0.03</v>
          </cell>
          <cell r="E35">
            <v>2.0884353843537415E-2</v>
          </cell>
          <cell r="F35">
            <v>147</v>
          </cell>
        </row>
        <row r="37">
          <cell r="A37" t="str">
            <v>Response</v>
          </cell>
        </row>
        <row r="38">
          <cell r="A38">
            <v>0.5</v>
          </cell>
          <cell r="B38">
            <v>1</v>
          </cell>
        </row>
        <row r="39">
          <cell r="A39">
            <v>0.2</v>
          </cell>
          <cell r="B39">
            <v>1</v>
          </cell>
        </row>
        <row r="40">
          <cell r="A40">
            <v>0.17</v>
          </cell>
          <cell r="B40">
            <v>1</v>
          </cell>
        </row>
        <row r="41">
          <cell r="A41">
            <v>0.15</v>
          </cell>
          <cell r="B41">
            <v>3</v>
          </cell>
        </row>
        <row r="42">
          <cell r="A42">
            <v>0.12</v>
          </cell>
          <cell r="B42">
            <v>2</v>
          </cell>
        </row>
        <row r="43">
          <cell r="A43">
            <v>0.1</v>
          </cell>
          <cell r="B43">
            <v>16</v>
          </cell>
        </row>
        <row r="44">
          <cell r="A44">
            <v>0.08</v>
          </cell>
          <cell r="B44">
            <v>4</v>
          </cell>
        </row>
        <row r="45">
          <cell r="A45">
            <v>7.0000000000000007E-2</v>
          </cell>
          <cell r="B45">
            <v>7</v>
          </cell>
        </row>
        <row r="46">
          <cell r="A46">
            <v>0.05</v>
          </cell>
          <cell r="B46">
            <v>35</v>
          </cell>
        </row>
        <row r="47">
          <cell r="A47">
            <v>0.03</v>
          </cell>
          <cell r="B47">
            <v>10</v>
          </cell>
        </row>
        <row r="48">
          <cell r="A48">
            <v>0.02</v>
          </cell>
          <cell r="B48">
            <v>5</v>
          </cell>
        </row>
        <row r="49">
          <cell r="A49">
            <v>0.01</v>
          </cell>
          <cell r="B49">
            <v>4</v>
          </cell>
        </row>
        <row r="50">
          <cell r="A50">
            <v>0</v>
          </cell>
          <cell r="B50">
            <v>15</v>
          </cell>
        </row>
        <row r="51">
          <cell r="A51">
            <v>-0.01</v>
          </cell>
          <cell r="B51">
            <v>1</v>
          </cell>
        </row>
        <row r="52">
          <cell r="A52">
            <v>-0.02</v>
          </cell>
          <cell r="B52">
            <v>2</v>
          </cell>
        </row>
        <row r="53">
          <cell r="A53">
            <v>-0.03</v>
          </cell>
          <cell r="B53">
            <v>2</v>
          </cell>
        </row>
        <row r="54">
          <cell r="A54">
            <v>-0.05</v>
          </cell>
          <cell r="B54">
            <v>23</v>
          </cell>
        </row>
        <row r="55">
          <cell r="A55">
            <v>-7.0000000000000007E-2</v>
          </cell>
          <cell r="B55">
            <v>1</v>
          </cell>
        </row>
        <row r="56">
          <cell r="A56">
            <v>-0.08</v>
          </cell>
          <cell r="B56">
            <v>2</v>
          </cell>
        </row>
        <row r="57">
          <cell r="A57">
            <v>-0.1</v>
          </cell>
          <cell r="B57">
            <v>7</v>
          </cell>
        </row>
        <row r="58">
          <cell r="A58">
            <v>-0.15</v>
          </cell>
          <cell r="B58">
            <v>2</v>
          </cell>
        </row>
        <row r="59">
          <cell r="A59">
            <v>-0.2</v>
          </cell>
          <cell r="B59">
            <v>3</v>
          </cell>
        </row>
        <row r="60">
          <cell r="B60">
            <v>147</v>
          </cell>
        </row>
        <row r="62">
          <cell r="A62" t="str">
            <v>Software</v>
          </cell>
        </row>
        <row r="63">
          <cell r="A63" t="str">
            <v>Industry</v>
          </cell>
          <cell r="D63" t="str">
            <v>Median</v>
          </cell>
          <cell r="E63" t="str">
            <v>Average</v>
          </cell>
          <cell r="F63" t="str">
            <v>total</v>
          </cell>
        </row>
        <row r="64">
          <cell r="A64" t="str">
            <v>Aerospace</v>
          </cell>
          <cell r="D64">
            <v>0.05</v>
          </cell>
          <cell r="E64">
            <v>0.05</v>
          </cell>
          <cell r="F64">
            <v>1</v>
          </cell>
        </row>
        <row r="65">
          <cell r="A65" t="str">
            <v>Automotive</v>
          </cell>
          <cell r="D65">
            <v>7.0000000000000007E-2</v>
          </cell>
          <cell r="E65">
            <v>7.0000000000000007E-2</v>
          </cell>
          <cell r="F65">
            <v>1</v>
          </cell>
        </row>
        <row r="66">
          <cell r="A66" t="str">
            <v>Business services</v>
          </cell>
          <cell r="D66">
            <v>0.05</v>
          </cell>
          <cell r="E66">
            <v>2.5882352941176471E-2</v>
          </cell>
          <cell r="F66">
            <v>17</v>
          </cell>
        </row>
        <row r="67">
          <cell r="A67" t="str">
            <v>Communications</v>
          </cell>
          <cell r="D67">
            <v>0.03</v>
          </cell>
          <cell r="E67">
            <v>1.1818181818181818E-2</v>
          </cell>
          <cell r="F67">
            <v>11</v>
          </cell>
        </row>
        <row r="68">
          <cell r="A68" t="str">
            <v>Engineering / Construction</v>
          </cell>
          <cell r="D68">
            <v>0.03</v>
          </cell>
          <cell r="E68">
            <v>0.08</v>
          </cell>
          <cell r="F68">
            <v>3</v>
          </cell>
        </row>
        <row r="69">
          <cell r="A69" t="str">
            <v>Financial services</v>
          </cell>
          <cell r="D69">
            <v>0.05</v>
          </cell>
          <cell r="E69">
            <v>4.4333333333333336E-2</v>
          </cell>
          <cell r="F69">
            <v>30</v>
          </cell>
        </row>
        <row r="70">
          <cell r="A70" t="str">
            <v>Healthcare</v>
          </cell>
          <cell r="D70">
            <v>7.4999999999999997E-2</v>
          </cell>
          <cell r="E70">
            <v>0.06</v>
          </cell>
          <cell r="F70">
            <v>8</v>
          </cell>
        </row>
        <row r="71">
          <cell r="A71" t="str">
            <v>Hospitality / Leisure</v>
          </cell>
          <cell r="D71">
            <v>-0.1</v>
          </cell>
          <cell r="E71">
            <v>-0.1</v>
          </cell>
          <cell r="F71">
            <v>1</v>
          </cell>
        </row>
        <row r="72">
          <cell r="A72" t="str">
            <v>Manufacturing</v>
          </cell>
          <cell r="D72">
            <v>0.03</v>
          </cell>
          <cell r="E72">
            <v>1.7741935483870968E-2</v>
          </cell>
          <cell r="F72">
            <v>31</v>
          </cell>
        </row>
        <row r="73">
          <cell r="A73" t="str">
            <v>Mining &amp; Minerals</v>
          </cell>
          <cell r="D73">
            <v>7.0000000000000007E-2</v>
          </cell>
          <cell r="E73">
            <v>7.0000000000000007E-2</v>
          </cell>
          <cell r="F73">
            <v>1</v>
          </cell>
        </row>
        <row r="74">
          <cell r="A74" t="str">
            <v>Pharmaceuticals</v>
          </cell>
          <cell r="D74">
            <v>0.05</v>
          </cell>
          <cell r="E74">
            <v>0.05</v>
          </cell>
          <cell r="F74">
            <v>1</v>
          </cell>
        </row>
        <row r="75">
          <cell r="A75" t="str">
            <v>Retail</v>
          </cell>
          <cell r="D75">
            <v>0.02</v>
          </cell>
          <cell r="E75">
            <v>1.3571400000000001E-2</v>
          </cell>
          <cell r="F75">
            <v>14</v>
          </cell>
        </row>
        <row r="76">
          <cell r="A76" t="str">
            <v>Technology</v>
          </cell>
          <cell r="D76">
            <v>0</v>
          </cell>
          <cell r="E76">
            <v>2.2105263E-2</v>
          </cell>
          <cell r="F76">
            <v>19</v>
          </cell>
        </row>
        <row r="77">
          <cell r="A77" t="str">
            <v>Transportation</v>
          </cell>
          <cell r="D77">
            <v>5.0000000000000001E-3</v>
          </cell>
          <cell r="E77">
            <v>-5.0000000000000001E-3</v>
          </cell>
          <cell r="F77">
            <v>4</v>
          </cell>
        </row>
        <row r="78">
          <cell r="A78" t="str">
            <v>Utilities</v>
          </cell>
          <cell r="D78">
            <v>-1.4999999999999999E-2</v>
          </cell>
          <cell r="E78">
            <v>-1.4999999999999999E-2</v>
          </cell>
          <cell r="F78">
            <v>2</v>
          </cell>
        </row>
        <row r="79">
          <cell r="A79" t="str">
            <v>Wholesale / Distribution</v>
          </cell>
          <cell r="D79">
            <v>0</v>
          </cell>
          <cell r="E79">
            <v>6.6666666699999998E-3</v>
          </cell>
          <cell r="F79">
            <v>3</v>
          </cell>
        </row>
        <row r="80">
          <cell r="A80" t="str">
            <v>Overall</v>
          </cell>
          <cell r="D80">
            <v>0.05</v>
          </cell>
          <cell r="E80">
            <v>2.6462582292585038E-2</v>
          </cell>
          <cell r="F80">
            <v>147</v>
          </cell>
        </row>
        <row r="82">
          <cell r="A82" t="str">
            <v>Revenue</v>
          </cell>
          <cell r="D82" t="str">
            <v>Median</v>
          </cell>
          <cell r="E82" t="str">
            <v>Average</v>
          </cell>
          <cell r="F82" t="str">
            <v>total</v>
          </cell>
        </row>
        <row r="83">
          <cell r="A83" t="str">
            <v>&lt;$500M</v>
          </cell>
          <cell r="D83">
            <v>-5.0000000000000001E-3</v>
          </cell>
          <cell r="E83">
            <v>2.5000000000000001E-3</v>
          </cell>
          <cell r="F83">
            <v>8</v>
          </cell>
        </row>
        <row r="84">
          <cell r="A84" t="str">
            <v>$500M - $1B</v>
          </cell>
          <cell r="D84">
            <v>0.05</v>
          </cell>
          <cell r="E84">
            <v>2.6285714290000001E-2</v>
          </cell>
          <cell r="F84">
            <v>35</v>
          </cell>
        </row>
        <row r="85">
          <cell r="A85" t="str">
            <v>$1-5B</v>
          </cell>
          <cell r="D85">
            <v>0.02</v>
          </cell>
          <cell r="E85">
            <v>2.081081081081081E-2</v>
          </cell>
          <cell r="F85">
            <v>37</v>
          </cell>
        </row>
        <row r="86">
          <cell r="A86" t="str">
            <v>$5-10B</v>
          </cell>
          <cell r="D86">
            <v>0.05</v>
          </cell>
          <cell r="E86">
            <v>4.2000000000000003E-2</v>
          </cell>
          <cell r="F86">
            <v>35</v>
          </cell>
        </row>
        <row r="87">
          <cell r="A87" t="str">
            <v>$10-15B</v>
          </cell>
          <cell r="D87">
            <v>0.03</v>
          </cell>
          <cell r="E87">
            <v>2.5789473684210525E-2</v>
          </cell>
          <cell r="F87">
            <v>19</v>
          </cell>
        </row>
        <row r="88">
          <cell r="A88" t="str">
            <v>$15-20B</v>
          </cell>
          <cell r="D88">
            <v>0</v>
          </cell>
          <cell r="E88">
            <v>1.4285714285714285E-2</v>
          </cell>
          <cell r="F88">
            <v>7</v>
          </cell>
        </row>
        <row r="89">
          <cell r="A89" t="str">
            <v>&gt;$20B</v>
          </cell>
          <cell r="D89">
            <v>0.05</v>
          </cell>
          <cell r="E89">
            <v>0.02</v>
          </cell>
          <cell r="F89">
            <v>6</v>
          </cell>
        </row>
        <row r="90">
          <cell r="A90" t="str">
            <v>Overall</v>
          </cell>
          <cell r="D90">
            <v>0.05</v>
          </cell>
          <cell r="E90">
            <v>2.6462585035034014E-2</v>
          </cell>
          <cell r="F90">
            <v>147</v>
          </cell>
        </row>
        <row r="92">
          <cell r="A92" t="str">
            <v>Response</v>
          </cell>
        </row>
        <row r="93">
          <cell r="A93">
            <v>0.3</v>
          </cell>
          <cell r="B93">
            <v>1</v>
          </cell>
        </row>
        <row r="94">
          <cell r="A94">
            <v>0.2</v>
          </cell>
          <cell r="B94">
            <v>1</v>
          </cell>
        </row>
        <row r="95">
          <cell r="A95">
            <v>0.15</v>
          </cell>
          <cell r="B95">
            <v>3</v>
          </cell>
        </row>
        <row r="96">
          <cell r="A96">
            <v>0.12</v>
          </cell>
          <cell r="B96">
            <v>2</v>
          </cell>
        </row>
        <row r="97">
          <cell r="A97">
            <v>0.1</v>
          </cell>
          <cell r="B97">
            <v>20</v>
          </cell>
        </row>
        <row r="98">
          <cell r="A98">
            <v>0.08</v>
          </cell>
          <cell r="B98">
            <v>3</v>
          </cell>
        </row>
        <row r="99">
          <cell r="A99">
            <v>7.0000000000000007E-2</v>
          </cell>
          <cell r="B99">
            <v>5</v>
          </cell>
        </row>
        <row r="100">
          <cell r="A100">
            <v>0.06</v>
          </cell>
          <cell r="B100">
            <v>1</v>
          </cell>
        </row>
        <row r="101">
          <cell r="A101">
            <v>0.05</v>
          </cell>
          <cell r="B101">
            <v>39</v>
          </cell>
        </row>
        <row r="102">
          <cell r="A102">
            <v>0.04</v>
          </cell>
          <cell r="B102">
            <v>1</v>
          </cell>
        </row>
        <row r="103">
          <cell r="A103">
            <v>0.03</v>
          </cell>
          <cell r="B103">
            <v>5</v>
          </cell>
        </row>
        <row r="104">
          <cell r="A104">
            <v>0.02</v>
          </cell>
          <cell r="B104">
            <v>6</v>
          </cell>
        </row>
        <row r="105">
          <cell r="A105">
            <v>0.01</v>
          </cell>
          <cell r="B105">
            <v>3</v>
          </cell>
        </row>
        <row r="106">
          <cell r="A106">
            <v>0</v>
          </cell>
          <cell r="B106">
            <v>19</v>
          </cell>
        </row>
        <row r="107">
          <cell r="A107">
            <v>-0.01</v>
          </cell>
          <cell r="B107">
            <v>1</v>
          </cell>
        </row>
        <row r="108">
          <cell r="A108">
            <v>-0.02</v>
          </cell>
          <cell r="B108">
            <v>2</v>
          </cell>
        </row>
        <row r="109">
          <cell r="A109">
            <v>-0.03</v>
          </cell>
          <cell r="B109">
            <v>1</v>
          </cell>
        </row>
        <row r="110">
          <cell r="A110">
            <v>-0.05</v>
          </cell>
          <cell r="B110">
            <v>25</v>
          </cell>
        </row>
        <row r="111">
          <cell r="A111">
            <v>-0.08</v>
          </cell>
          <cell r="B111">
            <v>2</v>
          </cell>
        </row>
        <row r="112">
          <cell r="A112">
            <v>-0.1</v>
          </cell>
          <cell r="B112">
            <v>6</v>
          </cell>
        </row>
        <row r="113">
          <cell r="A113">
            <v>-0.15</v>
          </cell>
          <cell r="B113">
            <v>1</v>
          </cell>
          <cell r="D113" t="str">
            <v xml:space="preserve"> </v>
          </cell>
        </row>
        <row r="114">
          <cell r="B114">
            <v>147</v>
          </cell>
        </row>
        <row r="116">
          <cell r="A116" t="str">
            <v>Communications Equipment</v>
          </cell>
        </row>
        <row r="117">
          <cell r="A117" t="str">
            <v>Industry</v>
          </cell>
          <cell r="D117" t="str">
            <v>Median</v>
          </cell>
          <cell r="E117" t="str">
            <v>Average</v>
          </cell>
          <cell r="F117" t="str">
            <v>total</v>
          </cell>
        </row>
        <row r="118">
          <cell r="A118" t="str">
            <v>Aerospace</v>
          </cell>
          <cell r="D118">
            <v>0.05</v>
          </cell>
          <cell r="E118">
            <v>0.05</v>
          </cell>
          <cell r="F118">
            <v>1</v>
          </cell>
        </row>
        <row r="119">
          <cell r="A119" t="str">
            <v>Automotive</v>
          </cell>
          <cell r="D119">
            <v>0.13</v>
          </cell>
          <cell r="E119">
            <v>0.13</v>
          </cell>
          <cell r="F119">
            <v>1</v>
          </cell>
        </row>
        <row r="120">
          <cell r="A120" t="str">
            <v>Business services</v>
          </cell>
          <cell r="D120">
            <v>0.05</v>
          </cell>
          <cell r="E120">
            <v>2.823529411764706E-2</v>
          </cell>
          <cell r="F120">
            <v>17</v>
          </cell>
        </row>
        <row r="121">
          <cell r="A121" t="str">
            <v>Communications</v>
          </cell>
          <cell r="D121">
            <v>0.05</v>
          </cell>
          <cell r="E121">
            <v>2.1818181818181816E-2</v>
          </cell>
          <cell r="F121">
            <v>11</v>
          </cell>
        </row>
        <row r="122">
          <cell r="A122" t="str">
            <v>Engineering / Construction</v>
          </cell>
          <cell r="D122">
            <v>0.02</v>
          </cell>
          <cell r="E122">
            <v>2.3333333333333334E-2</v>
          </cell>
          <cell r="F122">
            <v>3</v>
          </cell>
        </row>
        <row r="123">
          <cell r="A123" t="str">
            <v>Financial services</v>
          </cell>
          <cell r="D123">
            <v>0.05</v>
          </cell>
          <cell r="E123">
            <v>4.7666666666666663E-2</v>
          </cell>
          <cell r="F123">
            <v>30</v>
          </cell>
        </row>
        <row r="124">
          <cell r="A124" t="str">
            <v>Healthcare</v>
          </cell>
          <cell r="D124">
            <v>2.5000000000000001E-2</v>
          </cell>
          <cell r="E124">
            <v>2.75E-2</v>
          </cell>
          <cell r="F124">
            <v>8</v>
          </cell>
        </row>
        <row r="125">
          <cell r="A125" t="str">
            <v>Hospitality / Leisure</v>
          </cell>
          <cell r="D125">
            <v>-0.05</v>
          </cell>
          <cell r="E125">
            <v>-0.05</v>
          </cell>
          <cell r="F125">
            <v>1</v>
          </cell>
        </row>
        <row r="126">
          <cell r="A126" t="str">
            <v>Manufacturing</v>
          </cell>
          <cell r="D126">
            <v>0</v>
          </cell>
          <cell r="E126">
            <v>4.8387096774193551E-3</v>
          </cell>
          <cell r="F126">
            <v>31</v>
          </cell>
        </row>
        <row r="127">
          <cell r="A127" t="str">
            <v>Mining &amp; Minerals</v>
          </cell>
          <cell r="D127">
            <v>0.06</v>
          </cell>
          <cell r="E127">
            <v>0.06</v>
          </cell>
          <cell r="F127">
            <v>1</v>
          </cell>
        </row>
        <row r="128">
          <cell r="A128" t="str">
            <v>Pharmaceuticals</v>
          </cell>
          <cell r="D128">
            <v>0.03</v>
          </cell>
          <cell r="E128">
            <v>0.03</v>
          </cell>
          <cell r="F128">
            <v>1</v>
          </cell>
        </row>
        <row r="129">
          <cell r="A129" t="str">
            <v>Retail</v>
          </cell>
          <cell r="D129">
            <v>0.04</v>
          </cell>
          <cell r="E129">
            <v>1.9285714289999999E-2</v>
          </cell>
          <cell r="F129">
            <v>14</v>
          </cell>
        </row>
        <row r="130">
          <cell r="A130" t="str">
            <v>Technology</v>
          </cell>
          <cell r="D130">
            <v>0</v>
          </cell>
          <cell r="E130">
            <v>1.052632E-3</v>
          </cell>
          <cell r="F130">
            <v>19</v>
          </cell>
        </row>
        <row r="131">
          <cell r="A131" t="str">
            <v>Transportation</v>
          </cell>
          <cell r="D131">
            <v>0.01</v>
          </cell>
          <cell r="E131">
            <v>1.2500000000000001E-2</v>
          </cell>
          <cell r="F131">
            <v>4</v>
          </cell>
        </row>
        <row r="132">
          <cell r="A132" t="str">
            <v>Utilities</v>
          </cell>
          <cell r="D132">
            <v>3.5000000000000003E-2</v>
          </cell>
          <cell r="E132">
            <v>3.5000000000000003E-2</v>
          </cell>
          <cell r="F132">
            <v>2</v>
          </cell>
        </row>
        <row r="133">
          <cell r="A133" t="str">
            <v>Wholesale / Distribution</v>
          </cell>
          <cell r="D133">
            <v>0</v>
          </cell>
          <cell r="E133">
            <v>-0.01</v>
          </cell>
          <cell r="F133">
            <v>3</v>
          </cell>
        </row>
        <row r="134">
          <cell r="A134" t="str">
            <v>Overall</v>
          </cell>
          <cell r="D134">
            <v>0.03</v>
          </cell>
          <cell r="E134">
            <v>2.1700680326938775E-2</v>
          </cell>
          <cell r="F134">
            <v>147</v>
          </cell>
        </row>
        <row r="136">
          <cell r="A136" t="str">
            <v>Revenue</v>
          </cell>
          <cell r="D136" t="str">
            <v>Median</v>
          </cell>
          <cell r="E136" t="str">
            <v>Average</v>
          </cell>
          <cell r="F136" t="str">
            <v>total</v>
          </cell>
        </row>
        <row r="137">
          <cell r="A137" t="str">
            <v>&lt;$500M</v>
          </cell>
          <cell r="D137">
            <v>0.01</v>
          </cell>
          <cell r="E137">
            <v>1.6250000000000001E-2</v>
          </cell>
          <cell r="F137">
            <v>8</v>
          </cell>
        </row>
        <row r="138">
          <cell r="A138" t="str">
            <v>$500M - $1B</v>
          </cell>
          <cell r="D138">
            <v>0.03</v>
          </cell>
          <cell r="E138">
            <v>2.0571428570000001E-2</v>
          </cell>
          <cell r="F138">
            <v>35</v>
          </cell>
        </row>
        <row r="139">
          <cell r="A139" t="str">
            <v>$1-5B</v>
          </cell>
          <cell r="D139">
            <v>0</v>
          </cell>
          <cell r="E139">
            <v>1.2432432432432432E-2</v>
          </cell>
          <cell r="F139">
            <v>37</v>
          </cell>
        </row>
        <row r="140">
          <cell r="A140" t="str">
            <v>$5-10B</v>
          </cell>
          <cell r="D140">
            <v>0.05</v>
          </cell>
          <cell r="E140">
            <v>3.7714285714285714E-2</v>
          </cell>
          <cell r="F140">
            <v>35</v>
          </cell>
        </row>
        <row r="141">
          <cell r="A141" t="str">
            <v>$10-15B</v>
          </cell>
          <cell r="D141">
            <v>0</v>
          </cell>
          <cell r="E141">
            <v>1.1578947368421053E-2</v>
          </cell>
          <cell r="F141">
            <v>19</v>
          </cell>
        </row>
        <row r="142">
          <cell r="A142" t="str">
            <v>$15-20B</v>
          </cell>
          <cell r="D142">
            <v>0.03</v>
          </cell>
          <cell r="E142">
            <v>3.1428571428571431E-2</v>
          </cell>
          <cell r="F142">
            <v>7</v>
          </cell>
        </row>
        <row r="143">
          <cell r="A143" t="str">
            <v>&gt;$20B</v>
          </cell>
          <cell r="D143">
            <v>3.5000000000000003E-2</v>
          </cell>
          <cell r="E143">
            <v>0.02</v>
          </cell>
          <cell r="F143">
            <v>6</v>
          </cell>
        </row>
        <row r="144">
          <cell r="A144" t="str">
            <v>Overall</v>
          </cell>
          <cell r="D144">
            <v>0.03</v>
          </cell>
          <cell r="E144">
            <v>2.1700680271768712E-2</v>
          </cell>
          <cell r="F144">
            <v>147</v>
          </cell>
        </row>
        <row r="146">
          <cell r="A146" t="str">
            <v>Response</v>
          </cell>
        </row>
        <row r="147">
          <cell r="A147">
            <v>0.2</v>
          </cell>
          <cell r="B147">
            <v>1</v>
          </cell>
        </row>
        <row r="148">
          <cell r="A148">
            <v>0.15</v>
          </cell>
          <cell r="B148">
            <v>3</v>
          </cell>
        </row>
        <row r="149">
          <cell r="A149">
            <v>0.13</v>
          </cell>
          <cell r="B149">
            <v>2</v>
          </cell>
        </row>
        <row r="150">
          <cell r="A150">
            <v>0.12</v>
          </cell>
          <cell r="B150">
            <v>2</v>
          </cell>
        </row>
        <row r="151">
          <cell r="A151">
            <v>0.1</v>
          </cell>
          <cell r="B151">
            <v>14</v>
          </cell>
        </row>
        <row r="152">
          <cell r="A152">
            <v>7.0000000000000007E-2</v>
          </cell>
          <cell r="B152">
            <v>7</v>
          </cell>
        </row>
        <row r="153">
          <cell r="A153">
            <v>0.06</v>
          </cell>
          <cell r="B153">
            <v>1</v>
          </cell>
        </row>
        <row r="154">
          <cell r="A154">
            <v>0.05</v>
          </cell>
          <cell r="B154">
            <v>35</v>
          </cell>
        </row>
        <row r="155">
          <cell r="A155">
            <v>0.04</v>
          </cell>
          <cell r="B155">
            <v>1</v>
          </cell>
        </row>
        <row r="156">
          <cell r="A156">
            <v>0.03</v>
          </cell>
          <cell r="B156">
            <v>8</v>
          </cell>
        </row>
        <row r="157">
          <cell r="A157">
            <v>0.02</v>
          </cell>
          <cell r="B157">
            <v>10</v>
          </cell>
        </row>
        <row r="158">
          <cell r="A158">
            <v>0</v>
          </cell>
          <cell r="B158">
            <v>29</v>
          </cell>
        </row>
        <row r="159">
          <cell r="A159">
            <v>-0.02</v>
          </cell>
          <cell r="B159">
            <v>2</v>
          </cell>
        </row>
        <row r="160">
          <cell r="A160">
            <v>-0.03</v>
          </cell>
          <cell r="B160">
            <v>3</v>
          </cell>
        </row>
        <row r="161">
          <cell r="A161">
            <v>-0.04</v>
          </cell>
          <cell r="B161">
            <v>1</v>
          </cell>
        </row>
        <row r="162">
          <cell r="A162">
            <v>-0.05</v>
          </cell>
          <cell r="B162">
            <v>18</v>
          </cell>
        </row>
        <row r="163">
          <cell r="A163">
            <v>-7.0000000000000007E-2</v>
          </cell>
          <cell r="B163">
            <v>2</v>
          </cell>
        </row>
        <row r="164">
          <cell r="A164">
            <v>-0.08</v>
          </cell>
          <cell r="B164">
            <v>1</v>
          </cell>
        </row>
        <row r="165">
          <cell r="A165">
            <v>-0.1</v>
          </cell>
          <cell r="B165">
            <v>4</v>
          </cell>
        </row>
        <row r="166">
          <cell r="A166">
            <v>-0.15</v>
          </cell>
          <cell r="B166">
            <v>3</v>
          </cell>
        </row>
        <row r="167">
          <cell r="B167">
            <v>147</v>
          </cell>
        </row>
        <row r="169">
          <cell r="A169" t="str">
            <v>Professional Services</v>
          </cell>
        </row>
        <row r="170">
          <cell r="A170" t="str">
            <v>Industry</v>
          </cell>
          <cell r="D170" t="str">
            <v>Median</v>
          </cell>
          <cell r="E170" t="str">
            <v>Average</v>
          </cell>
          <cell r="F170" t="str">
            <v>total</v>
          </cell>
        </row>
        <row r="171">
          <cell r="A171" t="str">
            <v>Aerospace</v>
          </cell>
          <cell r="D171">
            <v>0.05</v>
          </cell>
          <cell r="E171">
            <v>0.05</v>
          </cell>
          <cell r="F171">
            <v>1</v>
          </cell>
        </row>
        <row r="172">
          <cell r="A172" t="str">
            <v>Automotive</v>
          </cell>
          <cell r="D172">
            <v>0.13</v>
          </cell>
          <cell r="E172">
            <v>0.13</v>
          </cell>
          <cell r="F172">
            <v>1</v>
          </cell>
        </row>
        <row r="173">
          <cell r="A173" t="str">
            <v>Business services</v>
          </cell>
          <cell r="D173">
            <v>0.05</v>
          </cell>
          <cell r="E173">
            <v>2.8823529411764706E-2</v>
          </cell>
          <cell r="F173">
            <v>17</v>
          </cell>
        </row>
        <row r="174">
          <cell r="A174" t="str">
            <v>Communications</v>
          </cell>
          <cell r="D174">
            <v>0</v>
          </cell>
          <cell r="E174">
            <v>2.3636363636363636E-2</v>
          </cell>
          <cell r="F174">
            <v>11</v>
          </cell>
        </row>
        <row r="175">
          <cell r="A175" t="str">
            <v>Engineering / Construction</v>
          </cell>
          <cell r="D175">
            <v>0.1</v>
          </cell>
          <cell r="E175">
            <v>8.3333333333333343E-2</v>
          </cell>
          <cell r="F175">
            <v>3</v>
          </cell>
        </row>
        <row r="176">
          <cell r="A176" t="str">
            <v>Financial services</v>
          </cell>
          <cell r="D176">
            <v>0.05</v>
          </cell>
          <cell r="E176">
            <v>3.1E-2</v>
          </cell>
          <cell r="F176">
            <v>30</v>
          </cell>
        </row>
        <row r="177">
          <cell r="A177" t="str">
            <v>Healthcare</v>
          </cell>
          <cell r="D177">
            <v>0.01</v>
          </cell>
          <cell r="E177">
            <v>2.5000000000000001E-2</v>
          </cell>
          <cell r="F177">
            <v>8</v>
          </cell>
        </row>
        <row r="178">
          <cell r="A178" t="str">
            <v>Hospitality / Leisure</v>
          </cell>
          <cell r="D178">
            <v>-0.25</v>
          </cell>
          <cell r="E178">
            <v>-0.25</v>
          </cell>
          <cell r="F178">
            <v>1</v>
          </cell>
        </row>
        <row r="179">
          <cell r="A179" t="str">
            <v>Manufacturing</v>
          </cell>
          <cell r="D179">
            <v>0.05</v>
          </cell>
          <cell r="E179">
            <v>3.1290322580645159E-2</v>
          </cell>
          <cell r="F179">
            <v>31</v>
          </cell>
        </row>
        <row r="180">
          <cell r="A180" t="str">
            <v>Mining &amp; Minerals</v>
          </cell>
          <cell r="D180">
            <v>0.05</v>
          </cell>
          <cell r="E180">
            <v>0.05</v>
          </cell>
          <cell r="F180">
            <v>1</v>
          </cell>
        </row>
        <row r="181">
          <cell r="A181" t="str">
            <v>Pharmaceuticals</v>
          </cell>
          <cell r="D181">
            <v>-0.1</v>
          </cell>
          <cell r="E181">
            <v>-0.1</v>
          </cell>
          <cell r="F181">
            <v>1</v>
          </cell>
        </row>
        <row r="182">
          <cell r="A182" t="str">
            <v>Retail</v>
          </cell>
          <cell r="D182">
            <v>0</v>
          </cell>
          <cell r="E182">
            <v>-5.7142859999999998E-3</v>
          </cell>
          <cell r="F182">
            <v>14</v>
          </cell>
        </row>
        <row r="183">
          <cell r="A183" t="str">
            <v>Technology</v>
          </cell>
          <cell r="D183">
            <v>0</v>
          </cell>
          <cell r="E183">
            <v>-5.2631580000000004E-3</v>
          </cell>
          <cell r="F183">
            <v>19</v>
          </cell>
        </row>
        <row r="184">
          <cell r="A184" t="str">
            <v>Transportation</v>
          </cell>
          <cell r="D184">
            <v>0.05</v>
          </cell>
          <cell r="E184">
            <v>3.7499999999999999E-2</v>
          </cell>
          <cell r="F184">
            <v>4</v>
          </cell>
        </row>
        <row r="185">
          <cell r="A185" t="str">
            <v>Utilities</v>
          </cell>
          <cell r="D185">
            <v>0.05</v>
          </cell>
          <cell r="E185">
            <v>0.05</v>
          </cell>
          <cell r="F185">
            <v>2</v>
          </cell>
        </row>
        <row r="186">
          <cell r="A186" t="str">
            <v>Wholesale / Distribution</v>
          </cell>
          <cell r="D186">
            <v>-0.05</v>
          </cell>
          <cell r="E186">
            <v>-3.3333333299999997E-2</v>
          </cell>
          <cell r="F186">
            <v>3</v>
          </cell>
        </row>
        <row r="187">
          <cell r="A187" t="str">
            <v>Overall</v>
          </cell>
          <cell r="D187">
            <v>0.03</v>
          </cell>
          <cell r="E187">
            <v>2.00680271707483E-2</v>
          </cell>
          <cell r="F187">
            <v>147</v>
          </cell>
        </row>
        <row r="189">
          <cell r="A189" t="str">
            <v>Revenue</v>
          </cell>
          <cell r="D189" t="str">
            <v>Median</v>
          </cell>
          <cell r="E189" t="str">
            <v>Average</v>
          </cell>
          <cell r="F189" t="str">
            <v>total</v>
          </cell>
        </row>
        <row r="190">
          <cell r="A190" t="str">
            <v>&lt;$500M</v>
          </cell>
          <cell r="D190">
            <v>0</v>
          </cell>
          <cell r="E190">
            <v>5.0000000000000001E-3</v>
          </cell>
          <cell r="F190">
            <v>8</v>
          </cell>
        </row>
        <row r="191">
          <cell r="A191" t="str">
            <v>$500M - $1B</v>
          </cell>
          <cell r="D191">
            <v>0</v>
          </cell>
          <cell r="E191">
            <v>2.28571429E-3</v>
          </cell>
          <cell r="F191">
            <v>35</v>
          </cell>
        </row>
        <row r="192">
          <cell r="A192" t="str">
            <v>$1-5B</v>
          </cell>
          <cell r="D192">
            <v>0.03</v>
          </cell>
          <cell r="E192">
            <v>3.7567567567567565E-2</v>
          </cell>
          <cell r="F192">
            <v>37</v>
          </cell>
        </row>
        <row r="193">
          <cell r="A193" t="str">
            <v>$5-10B</v>
          </cell>
          <cell r="D193">
            <v>0.05</v>
          </cell>
          <cell r="E193">
            <v>2.4285714285714285E-2</v>
          </cell>
          <cell r="F193">
            <v>35</v>
          </cell>
        </row>
        <row r="194">
          <cell r="A194" t="str">
            <v>$10-15B</v>
          </cell>
          <cell r="D194">
            <v>0</v>
          </cell>
          <cell r="E194">
            <v>2.2631578947368419E-2</v>
          </cell>
          <cell r="F194">
            <v>19</v>
          </cell>
        </row>
        <row r="195">
          <cell r="A195" t="str">
            <v>$15-20B</v>
          </cell>
          <cell r="D195">
            <v>0.05</v>
          </cell>
          <cell r="E195">
            <v>1.1428571428571429E-2</v>
          </cell>
          <cell r="F195">
            <v>7</v>
          </cell>
        </row>
        <row r="196">
          <cell r="A196" t="str">
            <v>&gt;$20B</v>
          </cell>
          <cell r="D196">
            <v>0.04</v>
          </cell>
          <cell r="E196">
            <v>1.3333333333333332E-2</v>
          </cell>
          <cell r="F196">
            <v>6</v>
          </cell>
        </row>
        <row r="197">
          <cell r="A197" t="str">
            <v>Overall</v>
          </cell>
          <cell r="D197">
            <v>0.03</v>
          </cell>
          <cell r="E197">
            <v>2.0068027211904763E-2</v>
          </cell>
          <cell r="F197">
            <v>147</v>
          </cell>
        </row>
        <row r="199">
          <cell r="A199" t="str">
            <v>Response</v>
          </cell>
        </row>
        <row r="200">
          <cell r="A200">
            <v>0.4</v>
          </cell>
          <cell r="B200">
            <v>1</v>
          </cell>
        </row>
        <row r="201">
          <cell r="A201">
            <v>0.2</v>
          </cell>
          <cell r="B201">
            <v>3</v>
          </cell>
        </row>
        <row r="202">
          <cell r="A202">
            <v>0.15</v>
          </cell>
          <cell r="B202">
            <v>3</v>
          </cell>
        </row>
        <row r="203">
          <cell r="A203">
            <v>0.13</v>
          </cell>
          <cell r="B203">
            <v>2</v>
          </cell>
        </row>
        <row r="204">
          <cell r="A204">
            <v>0.12</v>
          </cell>
          <cell r="B204">
            <v>3</v>
          </cell>
        </row>
        <row r="205">
          <cell r="A205">
            <v>0.1</v>
          </cell>
          <cell r="B205">
            <v>23</v>
          </cell>
        </row>
        <row r="206">
          <cell r="A206">
            <v>0.08</v>
          </cell>
          <cell r="B206">
            <v>2</v>
          </cell>
        </row>
        <row r="207">
          <cell r="A207">
            <v>7.0000000000000007E-2</v>
          </cell>
          <cell r="B207">
            <v>2</v>
          </cell>
        </row>
        <row r="208">
          <cell r="A208">
            <v>0.06</v>
          </cell>
          <cell r="B208">
            <v>1</v>
          </cell>
        </row>
        <row r="209">
          <cell r="A209">
            <v>0.05</v>
          </cell>
          <cell r="B209">
            <v>31</v>
          </cell>
        </row>
        <row r="210">
          <cell r="A210">
            <v>0.03</v>
          </cell>
          <cell r="B210">
            <v>6</v>
          </cell>
        </row>
        <row r="211">
          <cell r="A211">
            <v>0.02</v>
          </cell>
          <cell r="B211">
            <v>4</v>
          </cell>
        </row>
        <row r="212">
          <cell r="A212">
            <v>0.01</v>
          </cell>
          <cell r="B212">
            <v>1</v>
          </cell>
        </row>
        <row r="213">
          <cell r="A213">
            <v>0</v>
          </cell>
          <cell r="B213">
            <v>20</v>
          </cell>
        </row>
        <row r="214">
          <cell r="A214">
            <v>-0.01</v>
          </cell>
          <cell r="B214">
            <v>1</v>
          </cell>
        </row>
        <row r="215">
          <cell r="A215">
            <v>-0.02</v>
          </cell>
          <cell r="B215">
            <v>1</v>
          </cell>
        </row>
        <row r="216">
          <cell r="A216">
            <v>-0.03</v>
          </cell>
          <cell r="B216">
            <v>3</v>
          </cell>
        </row>
        <row r="217">
          <cell r="A217">
            <v>-0.05</v>
          </cell>
          <cell r="B217">
            <v>17</v>
          </cell>
        </row>
        <row r="218">
          <cell r="A218">
            <v>-7.0000000000000007E-2</v>
          </cell>
          <cell r="B218">
            <v>6</v>
          </cell>
        </row>
        <row r="219">
          <cell r="A219">
            <v>-0.08</v>
          </cell>
          <cell r="B219">
            <v>3</v>
          </cell>
        </row>
        <row r="220">
          <cell r="A220">
            <v>-0.1</v>
          </cell>
          <cell r="B220">
            <v>9</v>
          </cell>
        </row>
        <row r="221">
          <cell r="A221">
            <v>-0.12</v>
          </cell>
          <cell r="B221">
            <v>1</v>
          </cell>
        </row>
        <row r="222">
          <cell r="A222">
            <v>-0.15</v>
          </cell>
          <cell r="B222">
            <v>2</v>
          </cell>
        </row>
        <row r="223">
          <cell r="A223">
            <v>-0.25</v>
          </cell>
          <cell r="B223">
            <v>1</v>
          </cell>
        </row>
        <row r="224">
          <cell r="A224">
            <v>-0.4</v>
          </cell>
          <cell r="B224">
            <v>1</v>
          </cell>
        </row>
        <row r="225">
          <cell r="B225">
            <v>147</v>
          </cell>
        </row>
        <row r="227">
          <cell r="A227" t="str">
            <v>2012 vs 2011</v>
          </cell>
        </row>
        <row r="228">
          <cell r="A228" t="str">
            <v>Hardware</v>
          </cell>
        </row>
        <row r="229">
          <cell r="A229" t="str">
            <v>Industry</v>
          </cell>
          <cell r="D229" t="str">
            <v>Median</v>
          </cell>
          <cell r="E229" t="str">
            <v>Average</v>
          </cell>
          <cell r="F229" t="str">
            <v>total</v>
          </cell>
        </row>
        <row r="230">
          <cell r="A230" t="str">
            <v>Aerospace</v>
          </cell>
          <cell r="D230">
            <v>-0.05</v>
          </cell>
          <cell r="E230">
            <v>-0.05</v>
          </cell>
          <cell r="F230">
            <v>1</v>
          </cell>
        </row>
        <row r="231">
          <cell r="A231" t="str">
            <v>Automotive</v>
          </cell>
          <cell r="D231">
            <v>7.0000000000000007E-2</v>
          </cell>
          <cell r="E231">
            <v>7.0000000000000007E-2</v>
          </cell>
          <cell r="F231">
            <v>1</v>
          </cell>
        </row>
        <row r="232">
          <cell r="A232" t="str">
            <v>Business services</v>
          </cell>
          <cell r="D232">
            <v>0.03</v>
          </cell>
          <cell r="E232">
            <v>9.4117647058823521E-3</v>
          </cell>
          <cell r="F232">
            <v>17</v>
          </cell>
        </row>
        <row r="233">
          <cell r="A233" t="str">
            <v>Communications</v>
          </cell>
          <cell r="D233">
            <v>0.05</v>
          </cell>
          <cell r="E233">
            <v>5.4545454545454543E-2</v>
          </cell>
          <cell r="F233">
            <v>11</v>
          </cell>
        </row>
        <row r="234">
          <cell r="A234" t="str">
            <v>Engineering / Construction</v>
          </cell>
          <cell r="D234">
            <v>0.1</v>
          </cell>
          <cell r="E234">
            <v>9.3333333333333338E-2</v>
          </cell>
          <cell r="F234">
            <v>3</v>
          </cell>
        </row>
        <row r="235">
          <cell r="A235" t="str">
            <v>Financial services</v>
          </cell>
          <cell r="D235">
            <v>0.05</v>
          </cell>
          <cell r="E235">
            <v>2.7000000000000003E-2</v>
          </cell>
          <cell r="F235">
            <v>30</v>
          </cell>
        </row>
        <row r="236">
          <cell r="A236" t="str">
            <v>Healthcare</v>
          </cell>
          <cell r="D236">
            <v>0</v>
          </cell>
          <cell r="E236">
            <v>3.7499999999999999E-3</v>
          </cell>
          <cell r="F236">
            <v>8</v>
          </cell>
        </row>
        <row r="237">
          <cell r="A237" t="str">
            <v>Hospitality / Leisure</v>
          </cell>
          <cell r="D237">
            <v>-0.03</v>
          </cell>
          <cell r="E237">
            <v>-0.03</v>
          </cell>
          <cell r="F237">
            <v>1</v>
          </cell>
        </row>
        <row r="238">
          <cell r="A238" t="str">
            <v>Manufacturing</v>
          </cell>
          <cell r="D238">
            <v>0.03</v>
          </cell>
          <cell r="E238">
            <v>3.1290322580645159E-2</v>
          </cell>
          <cell r="F238">
            <v>31</v>
          </cell>
        </row>
        <row r="239">
          <cell r="A239" t="str">
            <v>Mining &amp; Minerals</v>
          </cell>
          <cell r="D239">
            <v>0.05</v>
          </cell>
          <cell r="E239">
            <v>0.05</v>
          </cell>
          <cell r="F239">
            <v>1</v>
          </cell>
        </row>
        <row r="240">
          <cell r="A240" t="str">
            <v>Pharmaceuticals</v>
          </cell>
          <cell r="D240">
            <v>0.02</v>
          </cell>
          <cell r="E240">
            <v>0.02</v>
          </cell>
          <cell r="F240">
            <v>1</v>
          </cell>
        </row>
        <row r="241">
          <cell r="A241" t="str">
            <v>Retail</v>
          </cell>
          <cell r="D241">
            <v>0.05</v>
          </cell>
          <cell r="E241">
            <v>5.8571428600000003E-2</v>
          </cell>
          <cell r="F241">
            <v>14</v>
          </cell>
        </row>
        <row r="242">
          <cell r="A242" t="str">
            <v>Technology</v>
          </cell>
          <cell r="D242">
            <v>0.02</v>
          </cell>
          <cell r="E242">
            <v>-3.157895E-3</v>
          </cell>
          <cell r="F242">
            <v>19</v>
          </cell>
        </row>
        <row r="243">
          <cell r="A243" t="str">
            <v>Transportation</v>
          </cell>
          <cell r="D243">
            <v>0</v>
          </cell>
          <cell r="E243">
            <v>1.2500000000000001E-2</v>
          </cell>
          <cell r="F243">
            <v>4</v>
          </cell>
        </row>
        <row r="244">
          <cell r="A244" t="str">
            <v>Utilities</v>
          </cell>
          <cell r="D244">
            <v>0.11</v>
          </cell>
          <cell r="E244">
            <v>0.11</v>
          </cell>
          <cell r="F244">
            <v>2</v>
          </cell>
        </row>
        <row r="245">
          <cell r="A245" t="str">
            <v>Wholesale / Distribution</v>
          </cell>
          <cell r="D245">
            <v>0.05</v>
          </cell>
          <cell r="E245">
            <v>3.3333333E-2</v>
          </cell>
          <cell r="F245">
            <v>3</v>
          </cell>
        </row>
        <row r="246">
          <cell r="A246" t="str">
            <v>Overall</v>
          </cell>
          <cell r="D246">
            <v>0.03</v>
          </cell>
          <cell r="E246">
            <v>2.748299315918367E-2</v>
          </cell>
          <cell r="F246">
            <v>147</v>
          </cell>
        </row>
        <row r="248">
          <cell r="A248" t="str">
            <v>Revenue</v>
          </cell>
          <cell r="D248" t="str">
            <v>Median</v>
          </cell>
          <cell r="E248" t="str">
            <v>Average</v>
          </cell>
          <cell r="F248" t="str">
            <v>total</v>
          </cell>
        </row>
        <row r="249">
          <cell r="A249" t="str">
            <v>&lt;$500M</v>
          </cell>
          <cell r="D249">
            <v>0.04</v>
          </cell>
          <cell r="E249">
            <v>5.7500000000000002E-2</v>
          </cell>
          <cell r="F249">
            <v>8</v>
          </cell>
        </row>
        <row r="250">
          <cell r="A250" t="str">
            <v>$500M - $1B</v>
          </cell>
          <cell r="D250">
            <v>0.03</v>
          </cell>
          <cell r="E250">
            <v>2.6285714299999999E-2</v>
          </cell>
          <cell r="F250">
            <v>35</v>
          </cell>
        </row>
        <row r="251">
          <cell r="A251" t="str">
            <v>$1-5B</v>
          </cell>
          <cell r="D251">
            <v>0.05</v>
          </cell>
          <cell r="E251">
            <v>2.0540540540540539E-2</v>
          </cell>
          <cell r="F251">
            <v>37</v>
          </cell>
        </row>
        <row r="252">
          <cell r="A252" t="str">
            <v>$5-10B</v>
          </cell>
          <cell r="D252">
            <v>0.03</v>
          </cell>
          <cell r="E252">
            <v>3.2571428571428571E-2</v>
          </cell>
          <cell r="F252">
            <v>35</v>
          </cell>
        </row>
        <row r="253">
          <cell r="A253" t="str">
            <v>$10-15B</v>
          </cell>
          <cell r="D253">
            <v>0</v>
          </cell>
          <cell r="E253">
            <v>8.4210526315789472E-3</v>
          </cell>
          <cell r="F253">
            <v>19</v>
          </cell>
        </row>
        <row r="254">
          <cell r="A254" t="str">
            <v>$15-20B</v>
          </cell>
          <cell r="D254">
            <v>0.1</v>
          </cell>
          <cell r="E254">
            <v>7.857142857142857E-2</v>
          </cell>
          <cell r="F254">
            <v>7</v>
          </cell>
        </row>
        <row r="255">
          <cell r="A255" t="str">
            <v>&gt;$20B</v>
          </cell>
          <cell r="D255">
            <v>2.5000000000000001E-2</v>
          </cell>
          <cell r="E255">
            <v>8.3333333333333332E-3</v>
          </cell>
          <cell r="F255">
            <v>6</v>
          </cell>
        </row>
        <row r="256">
          <cell r="A256" t="str">
            <v>Overall</v>
          </cell>
          <cell r="D256">
            <v>0.03</v>
          </cell>
          <cell r="E256">
            <v>2.7482993200680268E-2</v>
          </cell>
          <cell r="F256">
            <v>147</v>
          </cell>
        </row>
        <row r="258">
          <cell r="A258" t="str">
            <v>Response</v>
          </cell>
        </row>
        <row r="259">
          <cell r="A259">
            <v>0.2</v>
          </cell>
          <cell r="B259">
            <v>1</v>
          </cell>
        </row>
        <row r="260">
          <cell r="A260">
            <v>0.16</v>
          </cell>
          <cell r="B260">
            <v>1</v>
          </cell>
        </row>
        <row r="261">
          <cell r="A261">
            <v>0.15</v>
          </cell>
          <cell r="B261">
            <v>4</v>
          </cell>
        </row>
        <row r="262">
          <cell r="A262">
            <v>0.12</v>
          </cell>
          <cell r="B262">
            <v>5</v>
          </cell>
        </row>
        <row r="263">
          <cell r="A263">
            <v>0.1</v>
          </cell>
          <cell r="B263">
            <v>18</v>
          </cell>
        </row>
        <row r="264">
          <cell r="A264">
            <v>0.08</v>
          </cell>
          <cell r="B264">
            <v>2</v>
          </cell>
          <cell r="F264" t="str">
            <v xml:space="preserve"> </v>
          </cell>
        </row>
        <row r="265">
          <cell r="A265">
            <v>7.0000000000000007E-2</v>
          </cell>
          <cell r="B265">
            <v>3</v>
          </cell>
        </row>
        <row r="266">
          <cell r="A266">
            <v>0.06</v>
          </cell>
          <cell r="B266">
            <v>1</v>
          </cell>
        </row>
        <row r="267">
          <cell r="A267">
            <v>0.05</v>
          </cell>
          <cell r="B267">
            <v>37</v>
          </cell>
        </row>
        <row r="268">
          <cell r="A268">
            <v>0.04</v>
          </cell>
          <cell r="B268">
            <v>1</v>
          </cell>
        </row>
        <row r="269">
          <cell r="A269">
            <v>0.03</v>
          </cell>
          <cell r="B269">
            <v>12</v>
          </cell>
        </row>
        <row r="270">
          <cell r="A270">
            <v>0.02</v>
          </cell>
          <cell r="B270">
            <v>4</v>
          </cell>
        </row>
        <row r="271">
          <cell r="A271">
            <v>0</v>
          </cell>
          <cell r="B271">
            <v>27</v>
          </cell>
        </row>
        <row r="272">
          <cell r="A272">
            <v>-0.01</v>
          </cell>
          <cell r="B272">
            <v>1</v>
          </cell>
        </row>
        <row r="273">
          <cell r="A273">
            <v>-0.02</v>
          </cell>
          <cell r="B273">
            <v>2</v>
          </cell>
        </row>
        <row r="274">
          <cell r="A274">
            <v>-0.03</v>
          </cell>
          <cell r="B274">
            <v>2</v>
          </cell>
        </row>
        <row r="275">
          <cell r="A275">
            <v>-0.05</v>
          </cell>
          <cell r="B275">
            <v>18</v>
          </cell>
        </row>
        <row r="276">
          <cell r="A276">
            <v>-7.0000000000000007E-2</v>
          </cell>
          <cell r="B276">
            <v>1</v>
          </cell>
        </row>
        <row r="277">
          <cell r="A277">
            <v>-0.1</v>
          </cell>
          <cell r="B277">
            <v>4</v>
          </cell>
        </row>
        <row r="278">
          <cell r="A278">
            <v>-0.2</v>
          </cell>
          <cell r="B278">
            <v>3</v>
          </cell>
        </row>
        <row r="279">
          <cell r="B279">
            <v>147</v>
          </cell>
        </row>
        <row r="281">
          <cell r="A281" t="str">
            <v>Software</v>
          </cell>
        </row>
        <row r="282">
          <cell r="A282" t="str">
            <v>Industry</v>
          </cell>
          <cell r="D282" t="str">
            <v>Median</v>
          </cell>
          <cell r="E282" t="str">
            <v>Average</v>
          </cell>
          <cell r="F282" t="str">
            <v>total</v>
          </cell>
        </row>
        <row r="283">
          <cell r="A283" t="str">
            <v>Aerospace</v>
          </cell>
          <cell r="D283">
            <v>-0.03</v>
          </cell>
          <cell r="E283">
            <v>-0.03</v>
          </cell>
          <cell r="F283">
            <v>1</v>
          </cell>
        </row>
        <row r="284">
          <cell r="A284" t="str">
            <v>Automotive</v>
          </cell>
          <cell r="D284">
            <v>0.08</v>
          </cell>
          <cell r="E284">
            <v>0.08</v>
          </cell>
          <cell r="F284">
            <v>1</v>
          </cell>
        </row>
        <row r="285">
          <cell r="A285" t="str">
            <v>Business services</v>
          </cell>
          <cell r="D285">
            <v>0.03</v>
          </cell>
          <cell r="E285">
            <v>5.8823529411764701E-4</v>
          </cell>
          <cell r="F285">
            <v>17</v>
          </cell>
        </row>
        <row r="286">
          <cell r="A286" t="str">
            <v>Communications</v>
          </cell>
          <cell r="D286">
            <v>0.03</v>
          </cell>
          <cell r="E286">
            <v>8.1818181818181825E-3</v>
          </cell>
          <cell r="F286">
            <v>11</v>
          </cell>
        </row>
        <row r="287">
          <cell r="A287" t="str">
            <v>Engineering / Construction</v>
          </cell>
          <cell r="D287">
            <v>0.03</v>
          </cell>
          <cell r="E287">
            <v>0.08</v>
          </cell>
          <cell r="F287">
            <v>3</v>
          </cell>
        </row>
        <row r="288">
          <cell r="A288" t="str">
            <v>Financial services</v>
          </cell>
          <cell r="D288">
            <v>0.05</v>
          </cell>
          <cell r="E288">
            <v>4.4999999999999998E-2</v>
          </cell>
          <cell r="F288">
            <v>30</v>
          </cell>
        </row>
        <row r="289">
          <cell r="A289" t="str">
            <v>Healthcare</v>
          </cell>
          <cell r="D289">
            <v>0.05</v>
          </cell>
          <cell r="E289">
            <v>2.5000000000000001E-2</v>
          </cell>
          <cell r="F289">
            <v>8</v>
          </cell>
        </row>
        <row r="290">
          <cell r="A290" t="str">
            <v>Hospitality / Leisure</v>
          </cell>
          <cell r="D290">
            <v>-0.05</v>
          </cell>
          <cell r="E290">
            <v>-0.05</v>
          </cell>
          <cell r="F290">
            <v>1</v>
          </cell>
        </row>
        <row r="291">
          <cell r="A291" t="str">
            <v>Manufacturing</v>
          </cell>
          <cell r="D291">
            <v>0.05</v>
          </cell>
          <cell r="E291">
            <v>3.3548387096774192E-2</v>
          </cell>
          <cell r="F291">
            <v>31</v>
          </cell>
        </row>
        <row r="292">
          <cell r="A292" t="str">
            <v>Mining &amp; Minerals</v>
          </cell>
          <cell r="D292">
            <v>0.05</v>
          </cell>
          <cell r="E292">
            <v>0.05</v>
          </cell>
          <cell r="F292">
            <v>1</v>
          </cell>
        </row>
        <row r="293">
          <cell r="A293" t="str">
            <v>Pharmaceuticals</v>
          </cell>
          <cell r="D293">
            <v>0.02</v>
          </cell>
          <cell r="E293">
            <v>0.02</v>
          </cell>
          <cell r="F293">
            <v>1</v>
          </cell>
        </row>
        <row r="294">
          <cell r="A294" t="str">
            <v>Retail</v>
          </cell>
          <cell r="D294">
            <v>0.05</v>
          </cell>
          <cell r="E294">
            <v>3.5000000000000003E-2</v>
          </cell>
          <cell r="F294">
            <v>14</v>
          </cell>
        </row>
        <row r="295">
          <cell r="A295" t="str">
            <v>Technology</v>
          </cell>
          <cell r="D295">
            <v>0.03</v>
          </cell>
          <cell r="E295">
            <v>3.8947368400000001E-2</v>
          </cell>
          <cell r="F295">
            <v>19</v>
          </cell>
        </row>
        <row r="296">
          <cell r="A296" t="str">
            <v>Transportation</v>
          </cell>
          <cell r="D296">
            <v>-0.02</v>
          </cell>
          <cell r="E296">
            <v>-0.01</v>
          </cell>
          <cell r="F296">
            <v>4</v>
          </cell>
        </row>
        <row r="297">
          <cell r="A297" t="str">
            <v>Utilities</v>
          </cell>
          <cell r="D297">
            <v>0.1</v>
          </cell>
          <cell r="E297">
            <v>0.1</v>
          </cell>
          <cell r="F297">
            <v>2</v>
          </cell>
        </row>
        <row r="298">
          <cell r="A298" t="str">
            <v>Wholesale / Distribution</v>
          </cell>
          <cell r="D298">
            <v>0.03</v>
          </cell>
          <cell r="E298">
            <v>4.3333333330000001E-2</v>
          </cell>
          <cell r="F298">
            <v>3</v>
          </cell>
        </row>
        <row r="299">
          <cell r="A299" t="str">
            <v>Overall</v>
          </cell>
          <cell r="D299">
            <v>0.05</v>
          </cell>
          <cell r="E299">
            <v>3.0748299316938774E-2</v>
          </cell>
          <cell r="F299">
            <v>147</v>
          </cell>
        </row>
        <row r="301">
          <cell r="A301" t="str">
            <v>Revenue</v>
          </cell>
          <cell r="D301" t="str">
            <v>Median</v>
          </cell>
          <cell r="E301" t="str">
            <v>Average</v>
          </cell>
          <cell r="F301" t="str">
            <v>total</v>
          </cell>
        </row>
        <row r="302">
          <cell r="A302" t="str">
            <v>&lt;$500M</v>
          </cell>
          <cell r="D302">
            <v>0.04</v>
          </cell>
          <cell r="E302">
            <v>1.7500000000000002E-2</v>
          </cell>
          <cell r="F302">
            <v>8</v>
          </cell>
        </row>
        <row r="303">
          <cell r="A303" t="str">
            <v>$500M - $1B</v>
          </cell>
          <cell r="D303">
            <v>0.03</v>
          </cell>
          <cell r="E303">
            <v>2.6285714299999999E-2</v>
          </cell>
          <cell r="F303">
            <v>35</v>
          </cell>
        </row>
        <row r="304">
          <cell r="A304" t="str">
            <v>$1-5B</v>
          </cell>
          <cell r="D304">
            <v>0.05</v>
          </cell>
          <cell r="E304">
            <v>4.162162162162162E-2</v>
          </cell>
          <cell r="F304">
            <v>37</v>
          </cell>
        </row>
        <row r="305">
          <cell r="A305" t="str">
            <v>$5-10B</v>
          </cell>
          <cell r="D305">
            <v>0.03</v>
          </cell>
          <cell r="E305">
            <v>2.6285714285714287E-2</v>
          </cell>
          <cell r="F305">
            <v>35</v>
          </cell>
        </row>
        <row r="306">
          <cell r="A306" t="str">
            <v>$10-15B</v>
          </cell>
          <cell r="D306">
            <v>0.05</v>
          </cell>
          <cell r="E306">
            <v>2.5789473684210525E-2</v>
          </cell>
          <cell r="F306">
            <v>19</v>
          </cell>
        </row>
        <row r="307">
          <cell r="A307" t="str">
            <v>$15-20B</v>
          </cell>
          <cell r="D307">
            <v>0.05</v>
          </cell>
          <cell r="E307">
            <v>7.1428571428571438E-2</v>
          </cell>
          <cell r="F307">
            <v>7</v>
          </cell>
        </row>
        <row r="308">
          <cell r="A308" t="str">
            <v>&gt;$20B</v>
          </cell>
          <cell r="D308">
            <v>0.03</v>
          </cell>
          <cell r="E308">
            <v>1.6666666666666666E-3</v>
          </cell>
          <cell r="F308">
            <v>6</v>
          </cell>
        </row>
        <row r="309">
          <cell r="A309" t="str">
            <v>Overall</v>
          </cell>
          <cell r="D309">
            <v>0.05</v>
          </cell>
          <cell r="E309">
            <v>3.0748299323129249E-2</v>
          </cell>
          <cell r="F309">
            <v>147</v>
          </cell>
        </row>
        <row r="311">
          <cell r="A311" t="str">
            <v>Response</v>
          </cell>
        </row>
        <row r="312">
          <cell r="A312">
            <v>0.2</v>
          </cell>
          <cell r="B312">
            <v>2</v>
          </cell>
        </row>
        <row r="313">
          <cell r="A313">
            <v>0.15</v>
          </cell>
          <cell r="B313">
            <v>7</v>
          </cell>
        </row>
        <row r="314">
          <cell r="A314">
            <v>0.12</v>
          </cell>
          <cell r="B314">
            <v>2</v>
          </cell>
        </row>
        <row r="315">
          <cell r="A315">
            <v>0.1</v>
          </cell>
          <cell r="B315">
            <v>20</v>
          </cell>
        </row>
        <row r="316">
          <cell r="A316">
            <v>0.08</v>
          </cell>
          <cell r="B316">
            <v>2</v>
          </cell>
        </row>
        <row r="317">
          <cell r="A317">
            <v>7.0000000000000007E-2</v>
          </cell>
          <cell r="B317">
            <v>5</v>
          </cell>
        </row>
        <row r="318">
          <cell r="A318">
            <v>0.06</v>
          </cell>
          <cell r="B318">
            <v>1</v>
          </cell>
        </row>
        <row r="319">
          <cell r="A319">
            <v>0.05</v>
          </cell>
          <cell r="B319">
            <v>39</v>
          </cell>
        </row>
        <row r="320">
          <cell r="A320">
            <v>0.03</v>
          </cell>
          <cell r="B320">
            <v>11</v>
          </cell>
        </row>
        <row r="321">
          <cell r="A321">
            <v>0.02</v>
          </cell>
          <cell r="B321">
            <v>3</v>
          </cell>
        </row>
        <row r="322">
          <cell r="A322">
            <v>0.01</v>
          </cell>
          <cell r="B322">
            <v>3</v>
          </cell>
        </row>
        <row r="323">
          <cell r="A323">
            <v>0</v>
          </cell>
          <cell r="B323">
            <v>23</v>
          </cell>
        </row>
        <row r="324">
          <cell r="A324">
            <v>-0.01</v>
          </cell>
          <cell r="B324">
            <v>1</v>
          </cell>
        </row>
        <row r="325">
          <cell r="A325">
            <v>-0.02</v>
          </cell>
          <cell r="B325">
            <v>1</v>
          </cell>
        </row>
        <row r="326">
          <cell r="A326">
            <v>-0.03</v>
          </cell>
          <cell r="B326">
            <v>3</v>
          </cell>
        </row>
        <row r="327">
          <cell r="A327">
            <v>-0.05</v>
          </cell>
          <cell r="B327">
            <v>13</v>
          </cell>
        </row>
        <row r="328">
          <cell r="A328">
            <v>-7.0000000000000007E-2</v>
          </cell>
          <cell r="B328">
            <v>2</v>
          </cell>
        </row>
        <row r="329">
          <cell r="A329">
            <v>-0.1</v>
          </cell>
          <cell r="B329">
            <v>7</v>
          </cell>
        </row>
        <row r="330">
          <cell r="A330">
            <v>-0.25</v>
          </cell>
          <cell r="B330">
            <v>2</v>
          </cell>
        </row>
        <row r="331">
          <cell r="B331">
            <v>147</v>
          </cell>
        </row>
        <row r="333">
          <cell r="A333" t="str">
            <v>Communications Equipment</v>
          </cell>
        </row>
        <row r="334">
          <cell r="A334" t="str">
            <v>Industry</v>
          </cell>
          <cell r="D334" t="str">
            <v>Median</v>
          </cell>
          <cell r="E334" t="str">
            <v>Average</v>
          </cell>
          <cell r="F334" t="str">
            <v>total</v>
          </cell>
        </row>
        <row r="335">
          <cell r="A335" t="str">
            <v>Aerospace</v>
          </cell>
          <cell r="D335">
            <v>0</v>
          </cell>
          <cell r="E335">
            <v>0</v>
          </cell>
          <cell r="F335">
            <v>1</v>
          </cell>
        </row>
        <row r="336">
          <cell r="A336" t="str">
            <v>Automotive</v>
          </cell>
          <cell r="D336">
            <v>0.08</v>
          </cell>
          <cell r="E336">
            <v>0.08</v>
          </cell>
          <cell r="F336">
            <v>1</v>
          </cell>
        </row>
        <row r="337">
          <cell r="A337" t="str">
            <v>Business services</v>
          </cell>
          <cell r="D337">
            <v>0</v>
          </cell>
          <cell r="E337">
            <v>7.6470588235294113E-3</v>
          </cell>
          <cell r="F337">
            <v>17</v>
          </cell>
        </row>
        <row r="338">
          <cell r="A338" t="str">
            <v>Communications</v>
          </cell>
          <cell r="D338">
            <v>0.05</v>
          </cell>
          <cell r="E338">
            <v>1.3636363636363636E-2</v>
          </cell>
          <cell r="F338">
            <v>11</v>
          </cell>
        </row>
        <row r="339">
          <cell r="A339" t="str">
            <v>Engineering / Construction</v>
          </cell>
          <cell r="D339">
            <v>0.04</v>
          </cell>
          <cell r="E339">
            <v>4.6666666666666669E-2</v>
          </cell>
          <cell r="F339">
            <v>3</v>
          </cell>
        </row>
        <row r="340">
          <cell r="A340" t="str">
            <v>Financial services</v>
          </cell>
          <cell r="D340">
            <v>0.05</v>
          </cell>
          <cell r="E340">
            <v>4.9000000000000002E-2</v>
          </cell>
          <cell r="F340">
            <v>30</v>
          </cell>
        </row>
        <row r="341">
          <cell r="A341" t="str">
            <v>Healthcare</v>
          </cell>
          <cell r="D341">
            <v>0.01</v>
          </cell>
          <cell r="E341">
            <v>1.8749999999999999E-2</v>
          </cell>
          <cell r="F341">
            <v>8</v>
          </cell>
        </row>
        <row r="342">
          <cell r="A342" t="str">
            <v>Hospitality / Leisure</v>
          </cell>
          <cell r="D342">
            <v>-0.03</v>
          </cell>
          <cell r="E342">
            <v>-0.03</v>
          </cell>
          <cell r="F342">
            <v>1</v>
          </cell>
        </row>
        <row r="343">
          <cell r="A343" t="str">
            <v>Manufacturing</v>
          </cell>
          <cell r="D343">
            <v>0.01</v>
          </cell>
          <cell r="E343">
            <v>1.3548387096774193E-2</v>
          </cell>
          <cell r="F343">
            <v>31</v>
          </cell>
        </row>
        <row r="344">
          <cell r="A344" t="str">
            <v>Mining &amp; Minerals</v>
          </cell>
          <cell r="D344">
            <v>0.03</v>
          </cell>
          <cell r="E344">
            <v>0.03</v>
          </cell>
          <cell r="F344">
            <v>1</v>
          </cell>
        </row>
        <row r="345">
          <cell r="A345" t="str">
            <v>Pharmaceuticals</v>
          </cell>
          <cell r="D345">
            <v>0.02</v>
          </cell>
          <cell r="E345">
            <v>0.02</v>
          </cell>
          <cell r="F345">
            <v>1</v>
          </cell>
        </row>
        <row r="346">
          <cell r="A346" t="str">
            <v>Retail</v>
          </cell>
          <cell r="D346">
            <v>0.05</v>
          </cell>
          <cell r="E346">
            <v>5.07142857E-2</v>
          </cell>
          <cell r="F346">
            <v>14</v>
          </cell>
        </row>
        <row r="347">
          <cell r="A347" t="str">
            <v>Technology</v>
          </cell>
          <cell r="D347">
            <v>0.04</v>
          </cell>
          <cell r="E347">
            <v>3.0526315799999999E-2</v>
          </cell>
          <cell r="F347">
            <v>19</v>
          </cell>
        </row>
        <row r="348">
          <cell r="A348" t="str">
            <v>Transportation</v>
          </cell>
          <cell r="D348">
            <v>0.01</v>
          </cell>
          <cell r="E348">
            <v>1.7500000000000002E-2</v>
          </cell>
          <cell r="F348">
            <v>4</v>
          </cell>
        </row>
        <row r="349">
          <cell r="A349" t="str">
            <v>Utilities</v>
          </cell>
          <cell r="D349">
            <v>7.4999999999999997E-2</v>
          </cell>
          <cell r="E349">
            <v>7.4999999999999997E-2</v>
          </cell>
          <cell r="F349">
            <v>2</v>
          </cell>
        </row>
        <row r="350">
          <cell r="A350" t="str">
            <v>Wholesale / Distribution</v>
          </cell>
          <cell r="D350">
            <v>7.0000000000000007E-2</v>
          </cell>
          <cell r="E350">
            <v>7.3333333299999998E-2</v>
          </cell>
          <cell r="F350">
            <v>3</v>
          </cell>
        </row>
        <row r="351">
          <cell r="A351" t="str">
            <v>Overall</v>
          </cell>
          <cell r="D351">
            <v>0.05</v>
          </cell>
          <cell r="E351">
            <v>2.9183673468707483E-2</v>
          </cell>
          <cell r="F351">
            <v>147</v>
          </cell>
        </row>
        <row r="353">
          <cell r="A353" t="str">
            <v>Revenue</v>
          </cell>
          <cell r="D353" t="str">
            <v>Median</v>
          </cell>
          <cell r="E353" t="str">
            <v>Average</v>
          </cell>
          <cell r="F353" t="str">
            <v>total</v>
          </cell>
        </row>
        <row r="354">
          <cell r="A354" t="str">
            <v>&lt;$500M</v>
          </cell>
          <cell r="D354">
            <v>2.5000000000000001E-2</v>
          </cell>
          <cell r="E354">
            <v>8.7500000000000008E-3</v>
          </cell>
          <cell r="F354">
            <v>8</v>
          </cell>
        </row>
        <row r="355">
          <cell r="A355" t="str">
            <v>$500M - $1B</v>
          </cell>
          <cell r="D355">
            <v>0.05</v>
          </cell>
          <cell r="E355">
            <v>0.04</v>
          </cell>
          <cell r="F355">
            <v>35</v>
          </cell>
        </row>
        <row r="356">
          <cell r="A356" t="str">
            <v>$1-5B</v>
          </cell>
          <cell r="D356">
            <v>0.05</v>
          </cell>
          <cell r="E356">
            <v>3.6756756756756756E-2</v>
          </cell>
          <cell r="F356">
            <v>37</v>
          </cell>
        </row>
        <row r="357">
          <cell r="A357" t="str">
            <v>$5-10B</v>
          </cell>
          <cell r="D357">
            <v>0.05</v>
          </cell>
          <cell r="E357">
            <v>2.1428571428571429E-2</v>
          </cell>
          <cell r="F357">
            <v>35</v>
          </cell>
        </row>
        <row r="358">
          <cell r="A358" t="str">
            <v>$10-15B</v>
          </cell>
          <cell r="D358">
            <v>0.03</v>
          </cell>
          <cell r="E358">
            <v>2.6315789473684213E-2</v>
          </cell>
          <cell r="F358">
            <v>19</v>
          </cell>
        </row>
        <row r="359">
          <cell r="A359" t="str">
            <v>$15-20B</v>
          </cell>
          <cell r="D359">
            <v>0.05</v>
          </cell>
          <cell r="E359">
            <v>3.8571428571428569E-2</v>
          </cell>
          <cell r="F359">
            <v>7</v>
          </cell>
        </row>
        <row r="360">
          <cell r="A360" t="str">
            <v>&gt;$20B</v>
          </cell>
          <cell r="D360">
            <v>0</v>
          </cell>
          <cell r="E360">
            <v>-0.01</v>
          </cell>
          <cell r="F360">
            <v>6</v>
          </cell>
        </row>
        <row r="361">
          <cell r="A361" t="str">
            <v>Overall</v>
          </cell>
          <cell r="D361">
            <v>0.05</v>
          </cell>
          <cell r="E361">
            <v>2.9183673469387755E-2</v>
          </cell>
          <cell r="F361">
            <v>147</v>
          </cell>
        </row>
        <row r="363">
          <cell r="A363" t="str">
            <v>Response</v>
          </cell>
        </row>
        <row r="364">
          <cell r="A364">
            <v>0.15</v>
          </cell>
          <cell r="B364">
            <v>6</v>
          </cell>
        </row>
        <row r="365">
          <cell r="A365">
            <v>0.13</v>
          </cell>
          <cell r="B365">
            <v>1</v>
          </cell>
        </row>
        <row r="366">
          <cell r="A366">
            <v>0.1</v>
          </cell>
          <cell r="B366">
            <v>20</v>
          </cell>
        </row>
        <row r="367">
          <cell r="A367">
            <v>0.08</v>
          </cell>
          <cell r="B367">
            <v>5</v>
          </cell>
        </row>
        <row r="368">
          <cell r="A368">
            <v>7.0000000000000007E-2</v>
          </cell>
          <cell r="B368">
            <v>6</v>
          </cell>
        </row>
        <row r="369">
          <cell r="A369">
            <v>0.05</v>
          </cell>
          <cell r="B369">
            <v>36</v>
          </cell>
        </row>
        <row r="370">
          <cell r="A370">
            <v>0.04</v>
          </cell>
          <cell r="B370">
            <v>2</v>
          </cell>
        </row>
        <row r="371">
          <cell r="A371">
            <v>0.03</v>
          </cell>
          <cell r="B371">
            <v>12</v>
          </cell>
        </row>
        <row r="372">
          <cell r="A372">
            <v>0.02</v>
          </cell>
          <cell r="B372">
            <v>7</v>
          </cell>
        </row>
        <row r="373">
          <cell r="A373">
            <v>0.01</v>
          </cell>
          <cell r="B373">
            <v>1</v>
          </cell>
        </row>
        <row r="374">
          <cell r="A374">
            <v>0</v>
          </cell>
          <cell r="B374">
            <v>25</v>
          </cell>
        </row>
        <row r="375">
          <cell r="A375">
            <v>-0.01</v>
          </cell>
          <cell r="B375">
            <v>1</v>
          </cell>
        </row>
        <row r="376">
          <cell r="A376">
            <v>-0.02</v>
          </cell>
          <cell r="B376">
            <v>2</v>
          </cell>
        </row>
        <row r="377">
          <cell r="A377">
            <v>-0.03</v>
          </cell>
          <cell r="B377">
            <v>3</v>
          </cell>
        </row>
        <row r="378">
          <cell r="A378">
            <v>-0.05</v>
          </cell>
          <cell r="B378">
            <v>14</v>
          </cell>
        </row>
        <row r="379">
          <cell r="A379">
            <v>-0.08</v>
          </cell>
          <cell r="B379">
            <v>2</v>
          </cell>
        </row>
        <row r="380">
          <cell r="A380">
            <v>-0.1</v>
          </cell>
          <cell r="B380">
            <v>2</v>
          </cell>
        </row>
        <row r="381">
          <cell r="A381">
            <v>-0.25</v>
          </cell>
          <cell r="B381">
            <v>1</v>
          </cell>
        </row>
        <row r="382">
          <cell r="A382">
            <v>-0.5</v>
          </cell>
          <cell r="B382">
            <v>1</v>
          </cell>
        </row>
        <row r="383">
          <cell r="B383">
            <v>147</v>
          </cell>
        </row>
        <row r="385">
          <cell r="A385" t="str">
            <v>Professional Services</v>
          </cell>
        </row>
        <row r="386">
          <cell r="A386" t="str">
            <v>Industry</v>
          </cell>
          <cell r="D386" t="str">
            <v>Median</v>
          </cell>
          <cell r="E386" t="str">
            <v>Average</v>
          </cell>
          <cell r="F386" t="str">
            <v>total</v>
          </cell>
        </row>
        <row r="387">
          <cell r="A387" t="str">
            <v>Aerospace</v>
          </cell>
          <cell r="D387">
            <v>-0.05</v>
          </cell>
          <cell r="E387">
            <v>-0.05</v>
          </cell>
          <cell r="F387">
            <v>1</v>
          </cell>
        </row>
        <row r="388">
          <cell r="A388" t="str">
            <v>Automotive</v>
          </cell>
          <cell r="D388">
            <v>0.04</v>
          </cell>
          <cell r="E388">
            <v>0.04</v>
          </cell>
          <cell r="F388">
            <v>1</v>
          </cell>
        </row>
        <row r="389">
          <cell r="A389" t="str">
            <v>Business services</v>
          </cell>
          <cell r="D389">
            <v>0</v>
          </cell>
          <cell r="E389">
            <v>1.2941176470588235E-2</v>
          </cell>
          <cell r="F389">
            <v>17</v>
          </cell>
        </row>
        <row r="390">
          <cell r="A390" t="str">
            <v>Communications</v>
          </cell>
          <cell r="D390">
            <v>0.02</v>
          </cell>
          <cell r="E390">
            <v>1.4545454545454545E-2</v>
          </cell>
          <cell r="F390">
            <v>11</v>
          </cell>
        </row>
        <row r="391">
          <cell r="A391" t="str">
            <v>Engineering / Construction</v>
          </cell>
          <cell r="D391">
            <v>0.05</v>
          </cell>
          <cell r="E391">
            <v>0.09</v>
          </cell>
          <cell r="F391">
            <v>3</v>
          </cell>
        </row>
        <row r="392">
          <cell r="A392" t="str">
            <v>Financial services</v>
          </cell>
          <cell r="D392">
            <v>0.05</v>
          </cell>
          <cell r="E392">
            <v>4.1500000000000002E-2</v>
          </cell>
          <cell r="F392">
            <v>30</v>
          </cell>
        </row>
        <row r="393">
          <cell r="A393" t="str">
            <v>Healthcare</v>
          </cell>
          <cell r="D393">
            <v>0.05</v>
          </cell>
          <cell r="E393">
            <v>4.3749999999999997E-2</v>
          </cell>
          <cell r="F393">
            <v>8</v>
          </cell>
        </row>
        <row r="394">
          <cell r="A394" t="str">
            <v>Hospitality / Leisure</v>
          </cell>
          <cell r="D394">
            <v>-0.15</v>
          </cell>
          <cell r="E394">
            <v>-0.15</v>
          </cell>
          <cell r="F394">
            <v>1</v>
          </cell>
        </row>
        <row r="395">
          <cell r="A395" t="str">
            <v>Manufacturing</v>
          </cell>
          <cell r="D395">
            <v>0.05</v>
          </cell>
          <cell r="E395">
            <v>3.870967741935484E-2</v>
          </cell>
          <cell r="F395">
            <v>31</v>
          </cell>
        </row>
        <row r="396">
          <cell r="A396" t="str">
            <v>Mining &amp; Minerals</v>
          </cell>
          <cell r="D396">
            <v>0.02</v>
          </cell>
          <cell r="E396">
            <v>0.02</v>
          </cell>
          <cell r="F396">
            <v>1</v>
          </cell>
        </row>
        <row r="397">
          <cell r="A397" t="str">
            <v>Pharmaceuticals</v>
          </cell>
          <cell r="D397">
            <v>0.02</v>
          </cell>
          <cell r="E397">
            <v>0.02</v>
          </cell>
          <cell r="F397">
            <v>1</v>
          </cell>
        </row>
        <row r="398">
          <cell r="A398" t="str">
            <v>Retail</v>
          </cell>
          <cell r="D398">
            <v>5.5E-2</v>
          </cell>
          <cell r="E398">
            <v>5.2857142900000001E-2</v>
          </cell>
          <cell r="F398">
            <v>14</v>
          </cell>
        </row>
        <row r="399">
          <cell r="A399" t="str">
            <v>Technology</v>
          </cell>
          <cell r="D399">
            <v>0</v>
          </cell>
          <cell r="E399">
            <v>4.7368421000000003E-3</v>
          </cell>
          <cell r="F399">
            <v>19</v>
          </cell>
        </row>
        <row r="400">
          <cell r="A400" t="str">
            <v>Transportation</v>
          </cell>
          <cell r="D400">
            <v>0.04</v>
          </cell>
          <cell r="E400">
            <v>0.04</v>
          </cell>
          <cell r="F400">
            <v>4</v>
          </cell>
        </row>
        <row r="401">
          <cell r="A401" t="str">
            <v>Utilities</v>
          </cell>
          <cell r="D401">
            <v>7.4999999999999997E-2</v>
          </cell>
          <cell r="E401">
            <v>7.4999999999999997E-2</v>
          </cell>
          <cell r="F401">
            <v>2</v>
          </cell>
        </row>
        <row r="402">
          <cell r="A402" t="str">
            <v>Wholesale / Distribution</v>
          </cell>
          <cell r="D402">
            <v>0.05</v>
          </cell>
          <cell r="E402">
            <v>0.06</v>
          </cell>
          <cell r="F402">
            <v>3</v>
          </cell>
        </row>
        <row r="403">
          <cell r="A403" t="str">
            <v>Overall</v>
          </cell>
          <cell r="D403">
            <v>0.05</v>
          </cell>
          <cell r="E403">
            <v>3.1598639459183675E-2</v>
          </cell>
          <cell r="F403">
            <v>147</v>
          </cell>
        </row>
        <row r="405">
          <cell r="A405" t="str">
            <v>Revenue</v>
          </cell>
          <cell r="D405" t="str">
            <v>Median</v>
          </cell>
          <cell r="E405" t="str">
            <v>Average</v>
          </cell>
          <cell r="F405" t="str">
            <v>total</v>
          </cell>
        </row>
        <row r="406">
          <cell r="A406" t="str">
            <v>&lt;$500M</v>
          </cell>
          <cell r="D406">
            <v>3.5000000000000003E-2</v>
          </cell>
          <cell r="E406">
            <v>3.2500000000000001E-2</v>
          </cell>
          <cell r="F406">
            <v>8</v>
          </cell>
        </row>
        <row r="407">
          <cell r="A407" t="str">
            <v>$500M - $1B</v>
          </cell>
          <cell r="D407">
            <v>0.03</v>
          </cell>
          <cell r="E407">
            <v>3.2857142899999997E-2</v>
          </cell>
          <cell r="F407">
            <v>35</v>
          </cell>
        </row>
        <row r="408">
          <cell r="A408" t="str">
            <v>$1-5B</v>
          </cell>
          <cell r="D408">
            <v>0.05</v>
          </cell>
          <cell r="E408">
            <v>1.9189189189189187E-2</v>
          </cell>
          <cell r="F408">
            <v>37</v>
          </cell>
        </row>
        <row r="409">
          <cell r="A409" t="str">
            <v>$5-10B</v>
          </cell>
          <cell r="D409">
            <v>0.05</v>
          </cell>
          <cell r="E409">
            <v>4.2142857142857142E-2</v>
          </cell>
          <cell r="F409">
            <v>35</v>
          </cell>
        </row>
        <row r="410">
          <cell r="A410" t="str">
            <v>$10-15B</v>
          </cell>
          <cell r="D410">
            <v>0.05</v>
          </cell>
          <cell r="E410">
            <v>0.04</v>
          </cell>
          <cell r="F410">
            <v>19</v>
          </cell>
        </row>
        <row r="411">
          <cell r="A411" t="str">
            <v>$15-20B</v>
          </cell>
          <cell r="D411">
            <v>0.05</v>
          </cell>
          <cell r="E411">
            <v>5.1428571428571435E-2</v>
          </cell>
          <cell r="F411">
            <v>7</v>
          </cell>
        </row>
        <row r="412">
          <cell r="A412" t="str">
            <v>&gt;$20B</v>
          </cell>
          <cell r="D412">
            <v>-2.5000000000000001E-2</v>
          </cell>
          <cell r="E412">
            <v>-1.1666666666666667E-2</v>
          </cell>
          <cell r="F412">
            <v>6</v>
          </cell>
        </row>
        <row r="413">
          <cell r="A413" t="str">
            <v>Overall</v>
          </cell>
          <cell r="D413">
            <v>0.05</v>
          </cell>
          <cell r="E413">
            <v>3.1598639465986393E-2</v>
          </cell>
          <cell r="F413">
            <v>147</v>
          </cell>
        </row>
        <row r="415">
          <cell r="A415" t="str">
            <v>Response</v>
          </cell>
        </row>
        <row r="416">
          <cell r="A416">
            <v>0.2</v>
          </cell>
          <cell r="B416">
            <v>3</v>
          </cell>
        </row>
        <row r="417">
          <cell r="A417">
            <v>0.15</v>
          </cell>
          <cell r="B417">
            <v>5</v>
          </cell>
        </row>
        <row r="418">
          <cell r="A418">
            <v>0.13</v>
          </cell>
          <cell r="B418">
            <v>1</v>
          </cell>
        </row>
        <row r="419">
          <cell r="A419">
            <v>0.12</v>
          </cell>
          <cell r="B419">
            <v>5</v>
          </cell>
        </row>
        <row r="420">
          <cell r="A420">
            <v>0.1</v>
          </cell>
          <cell r="B420">
            <v>18</v>
          </cell>
        </row>
        <row r="421">
          <cell r="A421">
            <v>0.08</v>
          </cell>
          <cell r="B421">
            <v>8</v>
          </cell>
        </row>
        <row r="422">
          <cell r="A422">
            <v>7.0000000000000007E-2</v>
          </cell>
          <cell r="B422">
            <v>2</v>
          </cell>
        </row>
        <row r="423">
          <cell r="A423">
            <v>0.06</v>
          </cell>
          <cell r="B423">
            <v>1</v>
          </cell>
        </row>
        <row r="424">
          <cell r="A424">
            <v>0.05</v>
          </cell>
          <cell r="B424">
            <v>33</v>
          </cell>
        </row>
        <row r="425">
          <cell r="A425">
            <v>0.04</v>
          </cell>
          <cell r="B425">
            <v>1</v>
          </cell>
        </row>
        <row r="426">
          <cell r="A426">
            <v>3.5000000000000003E-2</v>
          </cell>
          <cell r="B426">
            <v>1</v>
          </cell>
        </row>
        <row r="427">
          <cell r="A427">
            <v>0.03</v>
          </cell>
          <cell r="B427">
            <v>5</v>
          </cell>
        </row>
        <row r="428">
          <cell r="A428">
            <v>0.02</v>
          </cell>
          <cell r="B428">
            <v>9</v>
          </cell>
        </row>
        <row r="429">
          <cell r="A429">
            <v>0.01</v>
          </cell>
          <cell r="B429">
            <v>1</v>
          </cell>
        </row>
        <row r="430">
          <cell r="A430">
            <v>0</v>
          </cell>
          <cell r="B430">
            <v>24</v>
          </cell>
        </row>
        <row r="431">
          <cell r="A431">
            <v>-0.02</v>
          </cell>
          <cell r="B431">
            <v>3</v>
          </cell>
        </row>
        <row r="432">
          <cell r="A432">
            <v>-0.03</v>
          </cell>
          <cell r="B432">
            <v>1</v>
          </cell>
        </row>
        <row r="433">
          <cell r="A433">
            <v>-0.04</v>
          </cell>
          <cell r="B433">
            <v>1</v>
          </cell>
        </row>
        <row r="434">
          <cell r="A434">
            <v>-0.05</v>
          </cell>
          <cell r="B434">
            <v>14</v>
          </cell>
        </row>
        <row r="435">
          <cell r="A435">
            <v>-0.08</v>
          </cell>
          <cell r="B435">
            <v>1</v>
          </cell>
        </row>
        <row r="436">
          <cell r="A436">
            <v>-0.1</v>
          </cell>
          <cell r="B436">
            <v>6</v>
          </cell>
        </row>
        <row r="437">
          <cell r="A437">
            <v>-0.13</v>
          </cell>
          <cell r="B437">
            <v>1</v>
          </cell>
        </row>
        <row r="438">
          <cell r="A438">
            <v>-0.15</v>
          </cell>
          <cell r="B438">
            <v>2</v>
          </cell>
        </row>
        <row r="439">
          <cell r="A439">
            <v>-0.2</v>
          </cell>
          <cell r="B439">
            <v>1</v>
          </cell>
        </row>
        <row r="440">
          <cell r="B440">
            <v>147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S1"/>
      <sheetName val="S1 Pie"/>
      <sheetName val="S2"/>
      <sheetName val="S3"/>
      <sheetName val="S4"/>
      <sheetName val="S5"/>
      <sheetName val="S6"/>
      <sheetName val="S7"/>
      <sheetName val="S8"/>
      <sheetName val="S8 Sorted"/>
      <sheetName val="S8 Chart"/>
      <sheetName val="S9"/>
      <sheetName val="S9 Chart"/>
      <sheetName val="S10"/>
      <sheetName val="DATA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A1" t="str">
            <v>Morgan Stanley CIO Survey - June 2011</v>
          </cell>
        </row>
        <row r="3">
          <cell r="A3" t="str">
            <v>S3.  Are any of the following initiatives a priority for your company in 2011? If so, will your company</v>
          </cell>
        </row>
        <row r="4">
          <cell r="A4" t="str">
            <v xml:space="preserve"> engage outside professional IT services providers to help with the planning or execution, and what</v>
          </cell>
        </row>
        <row r="5">
          <cell r="A5" t="str">
            <v xml:space="preserve"> is the planned timing for these projects to start (i.e. already begun, first half or second half of 2011)? </v>
          </cell>
        </row>
        <row r="7">
          <cell r="A7" t="str">
            <v>Industry</v>
          </cell>
          <cell r="B7" t="str">
            <v>(All)</v>
          </cell>
          <cell r="E7" t="str">
            <v>Industry</v>
          </cell>
          <cell r="F7" t="str">
            <v>(All)</v>
          </cell>
        </row>
        <row r="8">
          <cell r="A8" t="str">
            <v>Revenue</v>
          </cell>
          <cell r="B8" t="str">
            <v>(All)</v>
          </cell>
          <cell r="E8" t="str">
            <v>Revenue</v>
          </cell>
          <cell r="F8" t="str">
            <v>(All)</v>
          </cell>
        </row>
        <row r="10">
          <cell r="A10" t="str">
            <v>Count of S3 Major software upgrade</v>
          </cell>
          <cell r="E10" t="str">
            <v>Count of S3 Network upgrade</v>
          </cell>
        </row>
        <row r="11">
          <cell r="A11" t="str">
            <v>S3 Major software upgrade</v>
          </cell>
          <cell r="B11" t="str">
            <v>Total</v>
          </cell>
          <cell r="E11" t="str">
            <v>S3 Network upgrade</v>
          </cell>
          <cell r="F11" t="str">
            <v>Total</v>
          </cell>
        </row>
        <row r="12">
          <cell r="A12" t="str">
            <v>Not Priority</v>
          </cell>
          <cell r="B12">
            <v>25</v>
          </cell>
          <cell r="C12">
            <v>25</v>
          </cell>
          <cell r="E12" t="str">
            <v>Not Priority</v>
          </cell>
          <cell r="F12">
            <v>32</v>
          </cell>
          <cell r="G12">
            <v>32</v>
          </cell>
        </row>
        <row r="13">
          <cell r="A13" t="str">
            <v>Doing work internally</v>
          </cell>
          <cell r="B13">
            <v>31</v>
          </cell>
          <cell r="C13">
            <v>31</v>
          </cell>
          <cell r="E13" t="str">
            <v>Doing work internally</v>
          </cell>
          <cell r="F13">
            <v>38</v>
          </cell>
          <cell r="G13">
            <v>38</v>
          </cell>
        </row>
        <row r="14">
          <cell r="A14" t="str">
            <v>Already using services provider</v>
          </cell>
          <cell r="B14">
            <v>24</v>
          </cell>
          <cell r="C14">
            <v>24</v>
          </cell>
          <cell r="E14" t="str">
            <v>Already using services provider</v>
          </cell>
          <cell r="F14">
            <v>23</v>
          </cell>
          <cell r="G14">
            <v>23</v>
          </cell>
        </row>
        <row r="15">
          <cell r="A15" t="str">
            <v>Will use services provider 1H11</v>
          </cell>
          <cell r="B15">
            <v>3</v>
          </cell>
          <cell r="C15">
            <v>3</v>
          </cell>
          <cell r="E15" t="str">
            <v>Will use services provider 1H11</v>
          </cell>
          <cell r="F15">
            <v>3</v>
          </cell>
          <cell r="G15">
            <v>3</v>
          </cell>
        </row>
        <row r="16">
          <cell r="A16" t="str">
            <v>Will use services provider 2H11</v>
          </cell>
          <cell r="B16">
            <v>17</v>
          </cell>
          <cell r="C16">
            <v>17</v>
          </cell>
          <cell r="E16" t="str">
            <v>Will use services provider 2H11</v>
          </cell>
          <cell r="F16">
            <v>4</v>
          </cell>
          <cell r="G16">
            <v>4</v>
          </cell>
        </row>
        <row r="17">
          <cell r="A17" t="str">
            <v>Grand Total</v>
          </cell>
          <cell r="B17">
            <v>100</v>
          </cell>
          <cell r="E17" t="str">
            <v>Grand Total</v>
          </cell>
          <cell r="F17">
            <v>100</v>
          </cell>
        </row>
        <row r="19">
          <cell r="A19" t="str">
            <v>Industry</v>
          </cell>
          <cell r="B19" t="str">
            <v>(All)</v>
          </cell>
          <cell r="E19" t="str">
            <v>Industry</v>
          </cell>
          <cell r="F19" t="str">
            <v>(All)</v>
          </cell>
        </row>
        <row r="20">
          <cell r="A20" t="str">
            <v>Revenue</v>
          </cell>
          <cell r="B20" t="str">
            <v>(All)</v>
          </cell>
          <cell r="E20" t="str">
            <v>Revenue</v>
          </cell>
          <cell r="F20" t="str">
            <v>(All)</v>
          </cell>
        </row>
        <row r="22">
          <cell r="A22" t="str">
            <v>Count of S3 Security / Cyber</v>
          </cell>
          <cell r="E22" t="str">
            <v>Count of S3 Mobile messaging / apps</v>
          </cell>
        </row>
        <row r="23">
          <cell r="A23" t="str">
            <v>S3 Security / Cyber</v>
          </cell>
          <cell r="B23" t="str">
            <v>Total</v>
          </cell>
          <cell r="E23" t="str">
            <v>S3 Mobile messaging / apps</v>
          </cell>
          <cell r="F23" t="str">
            <v>Total</v>
          </cell>
        </row>
        <row r="24">
          <cell r="A24" t="str">
            <v>Not Priority</v>
          </cell>
          <cell r="B24">
            <v>21</v>
          </cell>
          <cell r="C24">
            <v>21</v>
          </cell>
          <cell r="E24" t="str">
            <v>Not Priority</v>
          </cell>
          <cell r="F24">
            <v>29</v>
          </cell>
          <cell r="G24">
            <v>29</v>
          </cell>
        </row>
        <row r="25">
          <cell r="A25" t="str">
            <v>Doing work internally</v>
          </cell>
          <cell r="B25">
            <v>44</v>
          </cell>
          <cell r="C25">
            <v>44</v>
          </cell>
          <cell r="E25" t="str">
            <v>Doing work internally</v>
          </cell>
          <cell r="F25">
            <v>44</v>
          </cell>
          <cell r="G25">
            <v>44</v>
          </cell>
        </row>
        <row r="26">
          <cell r="A26" t="str">
            <v>Already using services provider</v>
          </cell>
          <cell r="B26">
            <v>23</v>
          </cell>
          <cell r="C26">
            <v>23</v>
          </cell>
          <cell r="E26" t="str">
            <v>Already using services provider</v>
          </cell>
          <cell r="F26">
            <v>10</v>
          </cell>
          <cell r="G26">
            <v>10</v>
          </cell>
        </row>
        <row r="27">
          <cell r="A27" t="str">
            <v>Will use services provider 1H11</v>
          </cell>
          <cell r="B27">
            <v>2</v>
          </cell>
          <cell r="C27">
            <v>2</v>
          </cell>
          <cell r="E27" t="str">
            <v>Will use services provider 1H11</v>
          </cell>
          <cell r="F27">
            <v>3</v>
          </cell>
          <cell r="G27">
            <v>3</v>
          </cell>
        </row>
        <row r="28">
          <cell r="A28" t="str">
            <v>Will use services provider 2H11</v>
          </cell>
          <cell r="B28">
            <v>10</v>
          </cell>
          <cell r="C28">
            <v>10</v>
          </cell>
          <cell r="E28" t="str">
            <v>Will use services provider 2H11</v>
          </cell>
          <cell r="F28">
            <v>14</v>
          </cell>
          <cell r="G28">
            <v>14</v>
          </cell>
        </row>
        <row r="29">
          <cell r="A29" t="str">
            <v>Grand Total</v>
          </cell>
          <cell r="B29">
            <v>100</v>
          </cell>
          <cell r="E29" t="str">
            <v>Grand Total</v>
          </cell>
          <cell r="F29">
            <v>100</v>
          </cell>
        </row>
        <row r="31">
          <cell r="A31" t="str">
            <v>Industry</v>
          </cell>
          <cell r="B31" t="str">
            <v>(All)</v>
          </cell>
          <cell r="E31" t="str">
            <v>Industry</v>
          </cell>
          <cell r="F31" t="str">
            <v>(All)</v>
          </cell>
        </row>
        <row r="32">
          <cell r="A32" t="str">
            <v>Revenue</v>
          </cell>
          <cell r="B32" t="str">
            <v>(All)</v>
          </cell>
          <cell r="E32" t="str">
            <v>Revenue</v>
          </cell>
          <cell r="F32" t="str">
            <v>(All)</v>
          </cell>
        </row>
        <row r="34">
          <cell r="A34" t="str">
            <v>Count of S3 Hardware refresh</v>
          </cell>
          <cell r="E34" t="str">
            <v>Count of S3 Cloud computing</v>
          </cell>
        </row>
        <row r="35">
          <cell r="A35" t="str">
            <v>S3 Hardware refresh</v>
          </cell>
          <cell r="B35" t="str">
            <v>Total</v>
          </cell>
          <cell r="E35" t="str">
            <v>S3 Cloud computing</v>
          </cell>
          <cell r="F35" t="str">
            <v>Total</v>
          </cell>
        </row>
        <row r="36">
          <cell r="A36" t="str">
            <v>Not Priority</v>
          </cell>
          <cell r="B36">
            <v>45</v>
          </cell>
          <cell r="C36">
            <v>45</v>
          </cell>
          <cell r="E36" t="str">
            <v>Not Priority</v>
          </cell>
          <cell r="F36">
            <v>49</v>
          </cell>
          <cell r="G36">
            <v>49</v>
          </cell>
        </row>
        <row r="37">
          <cell r="A37" t="str">
            <v>Doing work internally</v>
          </cell>
          <cell r="B37">
            <v>34</v>
          </cell>
          <cell r="C37">
            <v>34</v>
          </cell>
          <cell r="E37" t="str">
            <v>Doing work internally</v>
          </cell>
          <cell r="F37">
            <v>23</v>
          </cell>
          <cell r="G37">
            <v>23</v>
          </cell>
        </row>
        <row r="38">
          <cell r="A38" t="str">
            <v>Already using services provider</v>
          </cell>
          <cell r="B38">
            <v>14</v>
          </cell>
          <cell r="C38">
            <v>14</v>
          </cell>
          <cell r="E38" t="str">
            <v>Already using services provider</v>
          </cell>
          <cell r="F38">
            <v>17</v>
          </cell>
          <cell r="G38">
            <v>17</v>
          </cell>
        </row>
        <row r="39">
          <cell r="A39" t="str">
            <v>Will use services provider 1H11</v>
          </cell>
          <cell r="B39">
            <v>2</v>
          </cell>
          <cell r="C39">
            <v>2</v>
          </cell>
          <cell r="E39" t="str">
            <v>Will use services provider 1H11</v>
          </cell>
          <cell r="F39">
            <v>4</v>
          </cell>
          <cell r="G39">
            <v>4</v>
          </cell>
        </row>
        <row r="40">
          <cell r="A40" t="str">
            <v>Will use services provider 2H11</v>
          </cell>
          <cell r="B40">
            <v>5</v>
          </cell>
          <cell r="C40">
            <v>5</v>
          </cell>
          <cell r="E40" t="str">
            <v>Will use services provider 2H11</v>
          </cell>
          <cell r="F40">
            <v>7</v>
          </cell>
          <cell r="G40">
            <v>7</v>
          </cell>
        </row>
        <row r="41">
          <cell r="A41" t="str">
            <v>Grand Total</v>
          </cell>
          <cell r="B41">
            <v>100</v>
          </cell>
          <cell r="E41" t="str">
            <v>Grand Total</v>
          </cell>
          <cell r="F41">
            <v>100</v>
          </cell>
        </row>
        <row r="43">
          <cell r="A43" t="str">
            <v>Industry</v>
          </cell>
          <cell r="B43" t="str">
            <v>(All)</v>
          </cell>
          <cell r="E43" t="str">
            <v>Industry</v>
          </cell>
          <cell r="F43" t="str">
            <v>(All)</v>
          </cell>
        </row>
        <row r="44">
          <cell r="A44" t="str">
            <v>Revenue</v>
          </cell>
          <cell r="B44" t="str">
            <v>(All)</v>
          </cell>
          <cell r="E44" t="str">
            <v>Revenue</v>
          </cell>
          <cell r="F44" t="str">
            <v>(All)</v>
          </cell>
        </row>
        <row r="46">
          <cell r="A46" t="str">
            <v>Count of S3 Server virtualization</v>
          </cell>
          <cell r="E46" t="str">
            <v>Count of S3 Desktop virtualization</v>
          </cell>
        </row>
        <row r="47">
          <cell r="A47" t="str">
            <v>S3 Server virtualization</v>
          </cell>
          <cell r="B47" t="str">
            <v>Total</v>
          </cell>
          <cell r="E47" t="str">
            <v>S3 Desktop virtualization</v>
          </cell>
          <cell r="F47" t="str">
            <v>Total</v>
          </cell>
        </row>
        <row r="48">
          <cell r="A48" t="str">
            <v>Not Priority</v>
          </cell>
          <cell r="B48">
            <v>18</v>
          </cell>
          <cell r="C48">
            <v>18</v>
          </cell>
          <cell r="E48" t="str">
            <v>Not Priority</v>
          </cell>
          <cell r="F48">
            <v>56</v>
          </cell>
          <cell r="G48">
            <v>56</v>
          </cell>
        </row>
        <row r="49">
          <cell r="A49" t="str">
            <v>Doing work internally</v>
          </cell>
          <cell r="B49">
            <v>61</v>
          </cell>
          <cell r="C49">
            <v>61</v>
          </cell>
          <cell r="E49" t="str">
            <v>Doing work internally</v>
          </cell>
          <cell r="F49">
            <v>26</v>
          </cell>
          <cell r="G49">
            <v>26</v>
          </cell>
        </row>
        <row r="50">
          <cell r="A50" t="str">
            <v>Already using services provider</v>
          </cell>
          <cell r="B50">
            <v>13</v>
          </cell>
          <cell r="C50">
            <v>13</v>
          </cell>
          <cell r="E50" t="str">
            <v>Already using services provider</v>
          </cell>
          <cell r="F50">
            <v>6</v>
          </cell>
          <cell r="G50">
            <v>6</v>
          </cell>
        </row>
        <row r="51">
          <cell r="A51" t="str">
            <v>Will use services provider 1H11</v>
          </cell>
          <cell r="B51">
            <v>2</v>
          </cell>
          <cell r="C51">
            <v>2</v>
          </cell>
          <cell r="E51" t="str">
            <v>Will use services provider 1H11</v>
          </cell>
          <cell r="F51">
            <v>3</v>
          </cell>
          <cell r="G51">
            <v>3</v>
          </cell>
        </row>
        <row r="52">
          <cell r="A52" t="str">
            <v>Will use services provider 2H11</v>
          </cell>
          <cell r="B52">
            <v>6</v>
          </cell>
          <cell r="C52">
            <v>6</v>
          </cell>
          <cell r="E52" t="str">
            <v>Will use services provider 2H11</v>
          </cell>
          <cell r="F52">
            <v>9</v>
          </cell>
          <cell r="G52">
            <v>9</v>
          </cell>
        </row>
        <row r="53">
          <cell r="A53" t="str">
            <v>Grand Total</v>
          </cell>
          <cell r="B53">
            <v>100</v>
          </cell>
          <cell r="E53" t="str">
            <v>Grand Total</v>
          </cell>
          <cell r="F53">
            <v>100</v>
          </cell>
        </row>
        <row r="55">
          <cell r="A55" t="str">
            <v>Industry</v>
          </cell>
          <cell r="B55" t="str">
            <v>(All)</v>
          </cell>
          <cell r="E55" t="str">
            <v>Industry</v>
          </cell>
          <cell r="F55" t="str">
            <v>(All)</v>
          </cell>
        </row>
        <row r="56">
          <cell r="A56" t="str">
            <v>Revenue</v>
          </cell>
          <cell r="B56" t="str">
            <v>(All)</v>
          </cell>
          <cell r="E56" t="str">
            <v>Revenue</v>
          </cell>
          <cell r="F56" t="str">
            <v>(All)</v>
          </cell>
        </row>
        <row r="58">
          <cell r="A58" t="str">
            <v>Count of S3 Tablet rollout</v>
          </cell>
          <cell r="E58" t="str">
            <v>Count of S3 Analytics</v>
          </cell>
        </row>
        <row r="59">
          <cell r="A59" t="str">
            <v>S3 Tablet rollout</v>
          </cell>
          <cell r="B59" t="str">
            <v>Total</v>
          </cell>
          <cell r="E59" t="str">
            <v>S3 Analytics</v>
          </cell>
          <cell r="F59" t="str">
            <v>Total</v>
          </cell>
        </row>
        <row r="60">
          <cell r="A60" t="str">
            <v>Not Priority</v>
          </cell>
          <cell r="B60">
            <v>26</v>
          </cell>
          <cell r="C60">
            <v>26</v>
          </cell>
          <cell r="E60" t="str">
            <v>Not Priority</v>
          </cell>
          <cell r="F60">
            <v>43</v>
          </cell>
          <cell r="G60">
            <v>43</v>
          </cell>
        </row>
        <row r="61">
          <cell r="A61" t="str">
            <v>Doing work internally</v>
          </cell>
          <cell r="B61">
            <v>57</v>
          </cell>
          <cell r="C61">
            <v>57</v>
          </cell>
          <cell r="E61" t="str">
            <v>Doing work internally</v>
          </cell>
          <cell r="F61">
            <v>38</v>
          </cell>
          <cell r="G61">
            <v>38</v>
          </cell>
        </row>
        <row r="62">
          <cell r="A62" t="str">
            <v>Already using services provider</v>
          </cell>
          <cell r="B62">
            <v>5</v>
          </cell>
          <cell r="C62">
            <v>5</v>
          </cell>
          <cell r="E62" t="str">
            <v>Already using services provider</v>
          </cell>
          <cell r="F62">
            <v>7</v>
          </cell>
          <cell r="G62">
            <v>7</v>
          </cell>
        </row>
        <row r="63">
          <cell r="A63" t="str">
            <v>Will use services provider 1H11</v>
          </cell>
          <cell r="B63">
            <v>3</v>
          </cell>
          <cell r="C63">
            <v>3</v>
          </cell>
          <cell r="E63" t="str">
            <v>Will use services provider 1H11</v>
          </cell>
          <cell r="F63">
            <v>2</v>
          </cell>
          <cell r="G63">
            <v>2</v>
          </cell>
        </row>
        <row r="64">
          <cell r="A64" t="str">
            <v>Will use services provider 2H11</v>
          </cell>
          <cell r="B64">
            <v>9</v>
          </cell>
          <cell r="C64">
            <v>9</v>
          </cell>
          <cell r="E64" t="str">
            <v>Will use services provider 2H11</v>
          </cell>
          <cell r="F64">
            <v>10</v>
          </cell>
          <cell r="G64">
            <v>10</v>
          </cell>
        </row>
        <row r="65">
          <cell r="A65" t="str">
            <v>Grand Total</v>
          </cell>
          <cell r="B65">
            <v>100</v>
          </cell>
          <cell r="E65" t="str">
            <v>Grand Total</v>
          </cell>
          <cell r="F65">
            <v>100</v>
          </cell>
        </row>
        <row r="68">
          <cell r="B68" t="str">
            <v>Major Software Upgrade</v>
          </cell>
          <cell r="C68" t="str">
            <v>Security / Cyber</v>
          </cell>
          <cell r="D68" t="str">
            <v>Network upgrade</v>
          </cell>
          <cell r="E68" t="str">
            <v>Cloud computing</v>
          </cell>
          <cell r="F68" t="str">
            <v>Mobile messaging / apps</v>
          </cell>
          <cell r="G68" t="str">
            <v>Hardware Refresh</v>
          </cell>
          <cell r="H68" t="str">
            <v>Server virtualization</v>
          </cell>
          <cell r="I68" t="str">
            <v>Analytics</v>
          </cell>
          <cell r="J68" t="str">
            <v>Desktop virtualization</v>
          </cell>
          <cell r="K68" t="str">
            <v>Tablet rollout</v>
          </cell>
        </row>
        <row r="69">
          <cell r="A69" t="str">
            <v>Not Priority</v>
          </cell>
          <cell r="B69">
            <v>25</v>
          </cell>
          <cell r="C69">
            <v>21</v>
          </cell>
          <cell r="D69">
            <v>32</v>
          </cell>
          <cell r="E69">
            <v>49</v>
          </cell>
          <cell r="F69">
            <v>29</v>
          </cell>
          <cell r="G69">
            <v>45</v>
          </cell>
          <cell r="H69">
            <v>18</v>
          </cell>
          <cell r="I69">
            <v>43</v>
          </cell>
          <cell r="J69">
            <v>56</v>
          </cell>
          <cell r="K69">
            <v>26</v>
          </cell>
        </row>
        <row r="70">
          <cell r="A70" t="str">
            <v>Doing work internally</v>
          </cell>
          <cell r="B70">
            <v>31</v>
          </cell>
          <cell r="C70">
            <v>44</v>
          </cell>
          <cell r="D70">
            <v>38</v>
          </cell>
          <cell r="E70">
            <v>23</v>
          </cell>
          <cell r="F70">
            <v>44</v>
          </cell>
          <cell r="G70">
            <v>34</v>
          </cell>
          <cell r="H70">
            <v>61</v>
          </cell>
          <cell r="I70">
            <v>38</v>
          </cell>
          <cell r="J70">
            <v>26</v>
          </cell>
          <cell r="K70">
            <v>57</v>
          </cell>
        </row>
        <row r="71">
          <cell r="A71" t="str">
            <v>Already using services provider</v>
          </cell>
          <cell r="B71">
            <v>24</v>
          </cell>
          <cell r="C71">
            <v>23</v>
          </cell>
          <cell r="D71">
            <v>23</v>
          </cell>
          <cell r="E71">
            <v>17</v>
          </cell>
          <cell r="F71">
            <v>10</v>
          </cell>
          <cell r="G71">
            <v>14</v>
          </cell>
          <cell r="H71">
            <v>13</v>
          </cell>
          <cell r="I71">
            <v>7</v>
          </cell>
          <cell r="J71">
            <v>6</v>
          </cell>
          <cell r="K71">
            <v>5</v>
          </cell>
        </row>
        <row r="72">
          <cell r="A72" t="str">
            <v>Will use services provider 1H11</v>
          </cell>
          <cell r="B72">
            <v>3</v>
          </cell>
          <cell r="C72">
            <v>2</v>
          </cell>
          <cell r="D72">
            <v>3</v>
          </cell>
          <cell r="E72">
            <v>4</v>
          </cell>
          <cell r="F72">
            <v>3</v>
          </cell>
          <cell r="G72">
            <v>2</v>
          </cell>
          <cell r="H72">
            <v>2</v>
          </cell>
          <cell r="I72">
            <v>2</v>
          </cell>
          <cell r="J72">
            <v>3</v>
          </cell>
          <cell r="K72">
            <v>3</v>
          </cell>
        </row>
        <row r="73">
          <cell r="A73" t="str">
            <v>Will use services provider 2H11</v>
          </cell>
          <cell r="B73">
            <v>17</v>
          </cell>
          <cell r="C73">
            <v>10</v>
          </cell>
          <cell r="D73">
            <v>4</v>
          </cell>
          <cell r="E73">
            <v>7</v>
          </cell>
          <cell r="F73">
            <v>14</v>
          </cell>
          <cell r="G73">
            <v>5</v>
          </cell>
          <cell r="H73">
            <v>6</v>
          </cell>
          <cell r="I73">
            <v>10</v>
          </cell>
          <cell r="J73">
            <v>9</v>
          </cell>
          <cell r="K73">
            <v>9</v>
          </cell>
        </row>
        <row r="74">
          <cell r="A74" t="str">
            <v>Grand Total</v>
          </cell>
          <cell r="B74">
            <v>100</v>
          </cell>
          <cell r="C74">
            <v>100</v>
          </cell>
          <cell r="D74">
            <v>100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  <cell r="K74">
            <v>100</v>
          </cell>
        </row>
        <row r="75">
          <cell r="A75" t="str">
            <v>Sub-Total</v>
          </cell>
          <cell r="B75">
            <v>44</v>
          </cell>
          <cell r="C75">
            <v>35</v>
          </cell>
          <cell r="D75">
            <v>30</v>
          </cell>
          <cell r="E75">
            <v>28</v>
          </cell>
          <cell r="F75">
            <v>27</v>
          </cell>
          <cell r="G75">
            <v>21</v>
          </cell>
          <cell r="H75">
            <v>21</v>
          </cell>
          <cell r="I75">
            <v>19</v>
          </cell>
          <cell r="J75">
            <v>18</v>
          </cell>
          <cell r="K75">
            <v>17</v>
          </cell>
        </row>
        <row r="77">
          <cell r="B77" t="str">
            <v>Major Software Upgrade</v>
          </cell>
          <cell r="C77" t="str">
            <v>Security / Cyber</v>
          </cell>
          <cell r="D77" t="str">
            <v>Network upgrade</v>
          </cell>
          <cell r="E77" t="str">
            <v>Cloud computing</v>
          </cell>
          <cell r="F77" t="str">
            <v>Mobile messaging / apps</v>
          </cell>
          <cell r="G77" t="str">
            <v>Hardware Refresh</v>
          </cell>
          <cell r="H77" t="str">
            <v>Server virtualization</v>
          </cell>
          <cell r="I77" t="str">
            <v>Analytics</v>
          </cell>
          <cell r="J77" t="str">
            <v>Desktop virtualization</v>
          </cell>
          <cell r="K77" t="str">
            <v>Tablet rollout</v>
          </cell>
        </row>
        <row r="78">
          <cell r="A78" t="str">
            <v>Already using services provider</v>
          </cell>
          <cell r="B78">
            <v>24</v>
          </cell>
          <cell r="C78">
            <v>23</v>
          </cell>
          <cell r="D78">
            <v>23</v>
          </cell>
          <cell r="E78">
            <v>17</v>
          </cell>
          <cell r="F78">
            <v>10</v>
          </cell>
          <cell r="G78">
            <v>14</v>
          </cell>
          <cell r="H78">
            <v>13</v>
          </cell>
          <cell r="I78">
            <v>7</v>
          </cell>
          <cell r="J78">
            <v>6</v>
          </cell>
          <cell r="K78">
            <v>5</v>
          </cell>
        </row>
        <row r="79">
          <cell r="A79" t="str">
            <v>Will use services provider 2H11</v>
          </cell>
          <cell r="B79">
            <v>17</v>
          </cell>
          <cell r="C79">
            <v>10</v>
          </cell>
          <cell r="D79">
            <v>4</v>
          </cell>
          <cell r="E79">
            <v>7</v>
          </cell>
          <cell r="F79">
            <v>14</v>
          </cell>
          <cell r="G79">
            <v>5</v>
          </cell>
          <cell r="H79">
            <v>6</v>
          </cell>
          <cell r="I79">
            <v>10</v>
          </cell>
          <cell r="J79">
            <v>9</v>
          </cell>
          <cell r="K79">
            <v>9</v>
          </cell>
        </row>
        <row r="80">
          <cell r="A80" t="str">
            <v>Will use services provider 1H11</v>
          </cell>
          <cell r="B80">
            <v>3</v>
          </cell>
          <cell r="C80">
            <v>2</v>
          </cell>
          <cell r="D80">
            <v>3</v>
          </cell>
          <cell r="E80">
            <v>4</v>
          </cell>
          <cell r="F80">
            <v>3</v>
          </cell>
          <cell r="G80">
            <v>2</v>
          </cell>
          <cell r="H80">
            <v>2</v>
          </cell>
          <cell r="I80">
            <v>2</v>
          </cell>
          <cell r="J80">
            <v>3</v>
          </cell>
          <cell r="K80">
            <v>3</v>
          </cell>
        </row>
        <row r="81">
          <cell r="A81" t="str">
            <v>Sub-Total</v>
          </cell>
          <cell r="B81">
            <v>44</v>
          </cell>
          <cell r="C81">
            <v>35</v>
          </cell>
          <cell r="D81">
            <v>30</v>
          </cell>
          <cell r="E81">
            <v>28</v>
          </cell>
          <cell r="F81">
            <v>27</v>
          </cell>
          <cell r="G81">
            <v>21</v>
          </cell>
          <cell r="H81">
            <v>21</v>
          </cell>
          <cell r="I81">
            <v>19</v>
          </cell>
          <cell r="J81">
            <v>18</v>
          </cell>
          <cell r="K81">
            <v>17</v>
          </cell>
        </row>
        <row r="82">
          <cell r="A82" t="str">
            <v>Check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4">
          <cell r="B84" t="str">
            <v>Major Software Upgrade</v>
          </cell>
          <cell r="C84" t="str">
            <v>Security / Cyber</v>
          </cell>
          <cell r="D84" t="str">
            <v>Network upgrade</v>
          </cell>
          <cell r="E84" t="str">
            <v>Cloud computing</v>
          </cell>
          <cell r="F84" t="str">
            <v>Mobile messaging / apps</v>
          </cell>
          <cell r="G84" t="str">
            <v>Hardware Refresh</v>
          </cell>
          <cell r="H84" t="str">
            <v>Server virtualization</v>
          </cell>
          <cell r="I84" t="str">
            <v>Analytics</v>
          </cell>
          <cell r="J84" t="str">
            <v>Desktop virtualization</v>
          </cell>
          <cell r="K84" t="str">
            <v>Tablet rollout</v>
          </cell>
        </row>
        <row r="85">
          <cell r="A85" t="str">
            <v>Already using services provider</v>
          </cell>
          <cell r="B85">
            <v>0.24</v>
          </cell>
          <cell r="C85">
            <v>0.23</v>
          </cell>
          <cell r="D85">
            <v>0.23</v>
          </cell>
          <cell r="E85">
            <v>0.17</v>
          </cell>
          <cell r="F85">
            <v>0.1</v>
          </cell>
          <cell r="G85">
            <v>0.14000000000000001</v>
          </cell>
          <cell r="H85">
            <v>0.13</v>
          </cell>
          <cell r="I85">
            <v>7.0000000000000007E-2</v>
          </cell>
          <cell r="J85">
            <v>0.06</v>
          </cell>
          <cell r="K85">
            <v>0.05</v>
          </cell>
        </row>
        <row r="86">
          <cell r="A86" t="str">
            <v>Will use services provider 2H11</v>
          </cell>
          <cell r="B86">
            <v>0.17</v>
          </cell>
          <cell r="C86">
            <v>0.1</v>
          </cell>
          <cell r="D86">
            <v>0.04</v>
          </cell>
          <cell r="E86">
            <v>7.0000000000000007E-2</v>
          </cell>
          <cell r="F86">
            <v>0.14000000000000001</v>
          </cell>
          <cell r="G86">
            <v>0.05</v>
          </cell>
          <cell r="H86">
            <v>0.06</v>
          </cell>
          <cell r="I86">
            <v>0.1</v>
          </cell>
          <cell r="J86">
            <v>0.09</v>
          </cell>
          <cell r="K86">
            <v>0.09</v>
          </cell>
        </row>
        <row r="87">
          <cell r="A87" t="str">
            <v>Will use services provider 1H11</v>
          </cell>
          <cell r="B87">
            <v>0.03</v>
          </cell>
          <cell r="C87">
            <v>0.02</v>
          </cell>
          <cell r="D87">
            <v>0.03</v>
          </cell>
          <cell r="E87">
            <v>0.04</v>
          </cell>
          <cell r="F87">
            <v>0.03</v>
          </cell>
          <cell r="G87">
            <v>0.02</v>
          </cell>
          <cell r="H87">
            <v>0.02</v>
          </cell>
          <cell r="I87">
            <v>0.02</v>
          </cell>
          <cell r="J87">
            <v>0.03</v>
          </cell>
          <cell r="K87">
            <v>0.03</v>
          </cell>
        </row>
        <row r="88">
          <cell r="B88">
            <v>0.44000000000000006</v>
          </cell>
          <cell r="C88">
            <v>0.35000000000000003</v>
          </cell>
          <cell r="D88">
            <v>0.30000000000000004</v>
          </cell>
          <cell r="E88">
            <v>0.28000000000000003</v>
          </cell>
          <cell r="F88">
            <v>0.27</v>
          </cell>
          <cell r="G88">
            <v>0.21</v>
          </cell>
          <cell r="H88">
            <v>0.21</v>
          </cell>
          <cell r="I88">
            <v>0.19</v>
          </cell>
          <cell r="J88">
            <v>0.18</v>
          </cell>
          <cell r="K88">
            <v>0.17</v>
          </cell>
        </row>
        <row r="92">
          <cell r="P92">
            <v>1</v>
          </cell>
        </row>
        <row r="112">
          <cell r="Q112">
            <v>1</v>
          </cell>
        </row>
        <row r="113">
          <cell r="O113">
            <v>1</v>
          </cell>
        </row>
        <row r="133">
          <cell r="P133">
            <v>1</v>
          </cell>
          <cell r="S133">
            <v>1</v>
          </cell>
        </row>
      </sheetData>
      <sheetData sheetId="14">
        <row r="1">
          <cell r="A1" t="str">
            <v>Morgan Stanley CIO Survey - June 2011</v>
          </cell>
        </row>
        <row r="3">
          <cell r="A3" t="str">
            <v xml:space="preserve">S4.  By what percent did your company’s consulting and systems integration budget increase </v>
          </cell>
        </row>
        <row r="4">
          <cell r="A4" t="str">
            <v>or (decrease) in calendar 2010? What is your current outlook for full year 2011 vs. 2010?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S4 Consulting &amp; Systems Integration 2010 vs 2009</v>
          </cell>
        </row>
        <row r="10">
          <cell r="A10" t="str">
            <v>S4 Consulting &amp; Systems Integration 2010 vs 2009</v>
          </cell>
          <cell r="B10" t="str">
            <v>Total</v>
          </cell>
          <cell r="C10" t="str">
            <v>Response as %</v>
          </cell>
          <cell r="D10" t="str">
            <v># responses</v>
          </cell>
          <cell r="E10" t="str">
            <v>% of responses</v>
          </cell>
        </row>
        <row r="11">
          <cell r="A11">
            <v>23</v>
          </cell>
          <cell r="B11">
            <v>1</v>
          </cell>
          <cell r="C11">
            <v>0.23</v>
          </cell>
          <cell r="D11">
            <v>1</v>
          </cell>
          <cell r="E11">
            <v>0.01</v>
          </cell>
          <cell r="G11" t="str">
            <v>Up &gt; 20%+</v>
          </cell>
          <cell r="H11">
            <v>0.01</v>
          </cell>
        </row>
        <row r="12">
          <cell r="A12">
            <v>17</v>
          </cell>
          <cell r="B12">
            <v>1</v>
          </cell>
          <cell r="C12">
            <v>0.17</v>
          </cell>
          <cell r="D12">
            <v>1</v>
          </cell>
          <cell r="E12">
            <v>0.01</v>
          </cell>
          <cell r="G12" t="str">
            <v>Up 11-20%</v>
          </cell>
          <cell r="H12">
            <v>0.03</v>
          </cell>
        </row>
        <row r="13">
          <cell r="A13">
            <v>15</v>
          </cell>
          <cell r="B13">
            <v>1</v>
          </cell>
          <cell r="C13">
            <v>0.15</v>
          </cell>
          <cell r="D13">
            <v>1</v>
          </cell>
          <cell r="E13">
            <v>0.01</v>
          </cell>
          <cell r="G13" t="str">
            <v>Up 6-10%</v>
          </cell>
          <cell r="H13">
            <v>0.11</v>
          </cell>
        </row>
        <row r="14">
          <cell r="A14">
            <v>12</v>
          </cell>
          <cell r="B14">
            <v>1</v>
          </cell>
          <cell r="C14">
            <v>0.12</v>
          </cell>
          <cell r="D14">
            <v>1</v>
          </cell>
          <cell r="E14">
            <v>0.01</v>
          </cell>
          <cell r="G14" t="str">
            <v>Up 1-5%</v>
          </cell>
          <cell r="H14">
            <v>0.24000000000000002</v>
          </cell>
        </row>
        <row r="15">
          <cell r="A15">
            <v>10</v>
          </cell>
          <cell r="B15">
            <v>8</v>
          </cell>
          <cell r="C15">
            <v>0.1</v>
          </cell>
          <cell r="D15">
            <v>8</v>
          </cell>
          <cell r="E15">
            <v>0.08</v>
          </cell>
          <cell r="G15" t="str">
            <v>Flat</v>
          </cell>
          <cell r="H15">
            <v>0.45</v>
          </cell>
        </row>
        <row r="16">
          <cell r="A16">
            <v>7</v>
          </cell>
          <cell r="B16">
            <v>2</v>
          </cell>
          <cell r="C16">
            <v>7.0000000000000007E-2</v>
          </cell>
          <cell r="D16">
            <v>2</v>
          </cell>
          <cell r="E16">
            <v>0.02</v>
          </cell>
          <cell r="G16" t="str">
            <v>Down 1-5%</v>
          </cell>
          <cell r="H16">
            <v>7.0000000000000007E-2</v>
          </cell>
        </row>
        <row r="17">
          <cell r="A17">
            <v>6</v>
          </cell>
          <cell r="B17">
            <v>1</v>
          </cell>
          <cell r="C17">
            <v>0.06</v>
          </cell>
          <cell r="D17">
            <v>1</v>
          </cell>
          <cell r="E17">
            <v>0.01</v>
          </cell>
          <cell r="G17" t="str">
            <v>Down 6-10%</v>
          </cell>
          <cell r="H17">
            <v>0.05</v>
          </cell>
        </row>
        <row r="18">
          <cell r="A18">
            <v>5</v>
          </cell>
          <cell r="B18">
            <v>18</v>
          </cell>
          <cell r="C18">
            <v>0.05</v>
          </cell>
          <cell r="D18">
            <v>18</v>
          </cell>
          <cell r="E18">
            <v>0.18</v>
          </cell>
          <cell r="G18" t="str">
            <v>Down 11-20%</v>
          </cell>
          <cell r="H18">
            <v>0.04</v>
          </cell>
        </row>
        <row r="19">
          <cell r="A19">
            <v>3</v>
          </cell>
          <cell r="B19">
            <v>4</v>
          </cell>
          <cell r="C19">
            <v>0.03</v>
          </cell>
          <cell r="D19">
            <v>4</v>
          </cell>
          <cell r="E19">
            <v>0.04</v>
          </cell>
          <cell r="G19" t="str">
            <v>Down &gt; 20%</v>
          </cell>
          <cell r="H19">
            <v>0</v>
          </cell>
        </row>
        <row r="20">
          <cell r="A20">
            <v>2</v>
          </cell>
          <cell r="B20">
            <v>1</v>
          </cell>
          <cell r="C20">
            <v>0.02</v>
          </cell>
          <cell r="D20">
            <v>1</v>
          </cell>
          <cell r="E20">
            <v>0.01</v>
          </cell>
        </row>
        <row r="21">
          <cell r="A21">
            <v>1</v>
          </cell>
          <cell r="B21">
            <v>1</v>
          </cell>
          <cell r="C21">
            <v>0.01</v>
          </cell>
          <cell r="D21">
            <v>1</v>
          </cell>
          <cell r="E21">
            <v>0.01</v>
          </cell>
          <cell r="G21" t="str">
            <v>Down &gt; 20%</v>
          </cell>
          <cell r="H21">
            <v>0</v>
          </cell>
        </row>
        <row r="22">
          <cell r="A22">
            <v>0</v>
          </cell>
          <cell r="B22">
            <v>45</v>
          </cell>
          <cell r="C22">
            <v>0</v>
          </cell>
          <cell r="D22">
            <v>45</v>
          </cell>
          <cell r="E22">
            <v>0.45</v>
          </cell>
          <cell r="G22" t="str">
            <v>Down 11-20%</v>
          </cell>
          <cell r="H22">
            <v>0.04</v>
          </cell>
        </row>
        <row r="23">
          <cell r="A23">
            <v>-2</v>
          </cell>
          <cell r="B23">
            <v>1</v>
          </cell>
          <cell r="C23">
            <v>-0.02</v>
          </cell>
          <cell r="D23">
            <v>1</v>
          </cell>
          <cell r="E23">
            <v>0.01</v>
          </cell>
          <cell r="G23" t="str">
            <v>Down 6-10%</v>
          </cell>
          <cell r="H23">
            <v>0.05</v>
          </cell>
        </row>
        <row r="24">
          <cell r="A24">
            <v>-3</v>
          </cell>
          <cell r="B24">
            <v>1</v>
          </cell>
          <cell r="C24">
            <v>-0.03</v>
          </cell>
          <cell r="D24">
            <v>1</v>
          </cell>
          <cell r="E24">
            <v>0.01</v>
          </cell>
          <cell r="G24" t="str">
            <v>Down 1-5%</v>
          </cell>
          <cell r="H24">
            <v>7.0000000000000007E-2</v>
          </cell>
        </row>
        <row r="25">
          <cell r="A25">
            <v>-5</v>
          </cell>
          <cell r="B25">
            <v>5</v>
          </cell>
          <cell r="C25">
            <v>-0.05</v>
          </cell>
          <cell r="D25">
            <v>5</v>
          </cell>
          <cell r="E25">
            <v>0.05</v>
          </cell>
          <cell r="G25" t="str">
            <v>Flat</v>
          </cell>
          <cell r="H25">
            <v>0.45</v>
          </cell>
        </row>
        <row r="26">
          <cell r="A26">
            <v>-7</v>
          </cell>
          <cell r="B26">
            <v>1</v>
          </cell>
          <cell r="C26">
            <v>-7.0000000000000007E-2</v>
          </cell>
          <cell r="D26">
            <v>1</v>
          </cell>
          <cell r="E26">
            <v>0.01</v>
          </cell>
          <cell r="G26" t="str">
            <v>Up 1-5%</v>
          </cell>
          <cell r="H26">
            <v>0.24000000000000002</v>
          </cell>
        </row>
        <row r="27">
          <cell r="A27">
            <v>-10</v>
          </cell>
          <cell r="B27">
            <v>4</v>
          </cell>
          <cell r="C27">
            <v>-0.1</v>
          </cell>
          <cell r="D27">
            <v>4</v>
          </cell>
          <cell r="E27">
            <v>0.04</v>
          </cell>
          <cell r="G27" t="str">
            <v>Up 6-10%</v>
          </cell>
          <cell r="H27">
            <v>0.11</v>
          </cell>
        </row>
        <row r="28">
          <cell r="A28">
            <v>-12</v>
          </cell>
          <cell r="B28">
            <v>1</v>
          </cell>
          <cell r="C28">
            <v>-0.12</v>
          </cell>
          <cell r="D28">
            <v>1</v>
          </cell>
          <cell r="E28">
            <v>0.01</v>
          </cell>
          <cell r="G28" t="str">
            <v>Up 11-20%</v>
          </cell>
          <cell r="H28">
            <v>0.03</v>
          </cell>
        </row>
        <row r="29">
          <cell r="A29">
            <v>-15</v>
          </cell>
          <cell r="B29">
            <v>1</v>
          </cell>
          <cell r="C29">
            <v>-0.15</v>
          </cell>
          <cell r="D29">
            <v>1</v>
          </cell>
          <cell r="E29">
            <v>0.01</v>
          </cell>
          <cell r="G29" t="str">
            <v>Up &gt; 20%+</v>
          </cell>
          <cell r="H29">
            <v>0.01</v>
          </cell>
        </row>
        <row r="30">
          <cell r="A30">
            <v>-20</v>
          </cell>
          <cell r="B30">
            <v>2</v>
          </cell>
          <cell r="C30">
            <v>-0.2</v>
          </cell>
          <cell r="D30">
            <v>2</v>
          </cell>
          <cell r="E30">
            <v>0.02</v>
          </cell>
        </row>
        <row r="31">
          <cell r="A31" t="str">
            <v>Grand Total</v>
          </cell>
          <cell r="B31">
            <v>100</v>
          </cell>
          <cell r="D31">
            <v>100</v>
          </cell>
          <cell r="E31">
            <v>1.2799999999999999E-2</v>
          </cell>
        </row>
        <row r="33">
          <cell r="A33" t="str">
            <v>Industry</v>
          </cell>
          <cell r="B33" t="str">
            <v>(All)</v>
          </cell>
        </row>
        <row r="34">
          <cell r="A34" t="str">
            <v>Revenue</v>
          </cell>
          <cell r="B34" t="str">
            <v>(All)</v>
          </cell>
        </row>
        <row r="36">
          <cell r="A36" t="str">
            <v>Count of S4 Consulting &amp; Systems Integration 2011 vs 2010</v>
          </cell>
        </row>
        <row r="37">
          <cell r="A37" t="str">
            <v>S4 Consulting &amp; Systems Integration 2011 vs 2010</v>
          </cell>
          <cell r="B37" t="str">
            <v>Total</v>
          </cell>
          <cell r="C37" t="str">
            <v>Response as %</v>
          </cell>
          <cell r="D37" t="str">
            <v># responses</v>
          </cell>
          <cell r="E37" t="str">
            <v>% of responses</v>
          </cell>
        </row>
        <row r="38">
          <cell r="A38">
            <v>30</v>
          </cell>
          <cell r="B38">
            <v>1</v>
          </cell>
          <cell r="C38">
            <v>0.3</v>
          </cell>
          <cell r="D38">
            <v>1</v>
          </cell>
          <cell r="E38">
            <v>0.01</v>
          </cell>
          <cell r="G38" t="str">
            <v>Up &gt; 20%+</v>
          </cell>
          <cell r="H38">
            <v>0.03</v>
          </cell>
        </row>
        <row r="39">
          <cell r="A39">
            <v>25</v>
          </cell>
          <cell r="B39">
            <v>2</v>
          </cell>
          <cell r="C39">
            <v>0.25</v>
          </cell>
          <cell r="D39">
            <v>2</v>
          </cell>
          <cell r="E39">
            <v>0.02</v>
          </cell>
          <cell r="G39" t="str">
            <v>Up 11-20%</v>
          </cell>
          <cell r="H39">
            <v>0.13</v>
          </cell>
        </row>
        <row r="40">
          <cell r="A40">
            <v>20</v>
          </cell>
          <cell r="B40">
            <v>5</v>
          </cell>
          <cell r="C40">
            <v>0.2</v>
          </cell>
          <cell r="D40">
            <v>5</v>
          </cell>
          <cell r="E40">
            <v>0.05</v>
          </cell>
          <cell r="G40" t="str">
            <v>Up 6-10%</v>
          </cell>
          <cell r="H40">
            <v>0.12</v>
          </cell>
        </row>
        <row r="41">
          <cell r="A41">
            <v>15</v>
          </cell>
          <cell r="B41">
            <v>4</v>
          </cell>
          <cell r="C41">
            <v>0.15</v>
          </cell>
          <cell r="D41">
            <v>4</v>
          </cell>
          <cell r="E41">
            <v>0.04</v>
          </cell>
          <cell r="G41" t="str">
            <v>Up 1-5%</v>
          </cell>
          <cell r="H41">
            <v>0.26</v>
          </cell>
        </row>
        <row r="42">
          <cell r="A42">
            <v>13</v>
          </cell>
          <cell r="B42">
            <v>1</v>
          </cell>
          <cell r="C42">
            <v>0.13</v>
          </cell>
          <cell r="D42">
            <v>1</v>
          </cell>
          <cell r="E42">
            <v>0.01</v>
          </cell>
          <cell r="G42" t="str">
            <v>Flat</v>
          </cell>
          <cell r="H42">
            <v>0.35</v>
          </cell>
        </row>
        <row r="43">
          <cell r="A43">
            <v>12</v>
          </cell>
          <cell r="B43">
            <v>2</v>
          </cell>
          <cell r="C43">
            <v>0.12</v>
          </cell>
          <cell r="D43">
            <v>2</v>
          </cell>
          <cell r="E43">
            <v>0.02</v>
          </cell>
          <cell r="G43" t="str">
            <v>Down 1-5%</v>
          </cell>
          <cell r="H43">
            <v>0.09</v>
          </cell>
        </row>
        <row r="44">
          <cell r="A44">
            <v>11</v>
          </cell>
          <cell r="B44">
            <v>1</v>
          </cell>
          <cell r="C44">
            <v>0.11</v>
          </cell>
          <cell r="D44">
            <v>1</v>
          </cell>
          <cell r="E44">
            <v>0.01</v>
          </cell>
          <cell r="G44" t="str">
            <v>Down 6-10%</v>
          </cell>
          <cell r="H44">
            <v>0.02</v>
          </cell>
        </row>
        <row r="45">
          <cell r="A45">
            <v>10</v>
          </cell>
          <cell r="B45">
            <v>9</v>
          </cell>
          <cell r="C45">
            <v>0.1</v>
          </cell>
          <cell r="D45">
            <v>9</v>
          </cell>
          <cell r="E45">
            <v>0.09</v>
          </cell>
          <cell r="G45" t="str">
            <v>Down 11-20%</v>
          </cell>
          <cell r="H45">
            <v>0</v>
          </cell>
        </row>
        <row r="46">
          <cell r="A46">
            <v>7</v>
          </cell>
          <cell r="B46">
            <v>2</v>
          </cell>
          <cell r="C46">
            <v>7.0000000000000007E-2</v>
          </cell>
          <cell r="D46">
            <v>2</v>
          </cell>
          <cell r="E46">
            <v>0.02</v>
          </cell>
          <cell r="G46" t="str">
            <v>Down &gt; 20%</v>
          </cell>
          <cell r="H46">
            <v>0</v>
          </cell>
        </row>
        <row r="47">
          <cell r="A47">
            <v>6</v>
          </cell>
          <cell r="B47">
            <v>1</v>
          </cell>
          <cell r="C47">
            <v>0.06</v>
          </cell>
          <cell r="D47">
            <v>1</v>
          </cell>
          <cell r="E47">
            <v>0.01</v>
          </cell>
        </row>
        <row r="48">
          <cell r="A48">
            <v>5</v>
          </cell>
          <cell r="B48">
            <v>16</v>
          </cell>
          <cell r="C48">
            <v>0.05</v>
          </cell>
          <cell r="D48">
            <v>16</v>
          </cell>
          <cell r="E48">
            <v>0.16</v>
          </cell>
          <cell r="G48" t="str">
            <v>Down &gt; 20%</v>
          </cell>
          <cell r="H48">
            <v>0</v>
          </cell>
        </row>
        <row r="49">
          <cell r="A49">
            <v>4</v>
          </cell>
          <cell r="B49">
            <v>1</v>
          </cell>
          <cell r="C49">
            <v>0.04</v>
          </cell>
          <cell r="D49">
            <v>1</v>
          </cell>
          <cell r="E49">
            <v>0.01</v>
          </cell>
          <cell r="G49" t="str">
            <v>Down 11-20%</v>
          </cell>
          <cell r="H49">
            <v>0</v>
          </cell>
        </row>
        <row r="50">
          <cell r="A50">
            <v>3</v>
          </cell>
          <cell r="B50">
            <v>5</v>
          </cell>
          <cell r="C50">
            <v>0.03</v>
          </cell>
          <cell r="D50">
            <v>5</v>
          </cell>
          <cell r="E50">
            <v>0.05</v>
          </cell>
          <cell r="G50" t="str">
            <v>Down 6-10%</v>
          </cell>
          <cell r="H50">
            <v>0.02</v>
          </cell>
        </row>
        <row r="51">
          <cell r="A51">
            <v>2</v>
          </cell>
          <cell r="B51">
            <v>4</v>
          </cell>
          <cell r="C51">
            <v>0.02</v>
          </cell>
          <cell r="D51">
            <v>4</v>
          </cell>
          <cell r="E51">
            <v>0.04</v>
          </cell>
          <cell r="G51" t="str">
            <v>Down 1-5%</v>
          </cell>
          <cell r="H51">
            <v>0.09</v>
          </cell>
        </row>
        <row r="52">
          <cell r="A52">
            <v>0</v>
          </cell>
          <cell r="B52">
            <v>35</v>
          </cell>
          <cell r="C52">
            <v>0</v>
          </cell>
          <cell r="D52">
            <v>35</v>
          </cell>
          <cell r="E52">
            <v>0.35</v>
          </cell>
          <cell r="G52" t="str">
            <v>Flat</v>
          </cell>
          <cell r="H52">
            <v>0.35</v>
          </cell>
        </row>
        <row r="53">
          <cell r="A53">
            <v>-1</v>
          </cell>
          <cell r="B53">
            <v>1</v>
          </cell>
          <cell r="C53">
            <v>-0.01</v>
          </cell>
          <cell r="D53">
            <v>1</v>
          </cell>
          <cell r="E53">
            <v>0.01</v>
          </cell>
          <cell r="G53" t="str">
            <v>Up 1-5%</v>
          </cell>
          <cell r="H53">
            <v>0.26</v>
          </cell>
        </row>
        <row r="54">
          <cell r="A54">
            <v>-2</v>
          </cell>
          <cell r="B54">
            <v>2</v>
          </cell>
          <cell r="C54">
            <v>-0.02</v>
          </cell>
          <cell r="D54">
            <v>2</v>
          </cell>
          <cell r="E54">
            <v>0.02</v>
          </cell>
          <cell r="G54" t="str">
            <v>Up 6-10%</v>
          </cell>
          <cell r="H54">
            <v>0.12</v>
          </cell>
        </row>
        <row r="55">
          <cell r="A55">
            <v>-3</v>
          </cell>
          <cell r="B55">
            <v>1</v>
          </cell>
          <cell r="C55">
            <v>-0.03</v>
          </cell>
          <cell r="D55">
            <v>1</v>
          </cell>
          <cell r="E55">
            <v>0.01</v>
          </cell>
          <cell r="G55" t="str">
            <v>Up 11-20%</v>
          </cell>
          <cell r="H55">
            <v>0.13</v>
          </cell>
        </row>
        <row r="56">
          <cell r="A56">
            <v>-5</v>
          </cell>
          <cell r="B56">
            <v>5</v>
          </cell>
          <cell r="C56">
            <v>-0.05</v>
          </cell>
          <cell r="D56">
            <v>5</v>
          </cell>
          <cell r="E56">
            <v>0.05</v>
          </cell>
          <cell r="G56" t="str">
            <v>Up &gt; 20%+</v>
          </cell>
          <cell r="H56">
            <v>0.03</v>
          </cell>
        </row>
        <row r="57">
          <cell r="A57">
            <v>-10</v>
          </cell>
          <cell r="B57">
            <v>2</v>
          </cell>
          <cell r="C57">
            <v>-0.1</v>
          </cell>
          <cell r="D57">
            <v>2</v>
          </cell>
          <cell r="E57">
            <v>0.02</v>
          </cell>
        </row>
        <row r="58">
          <cell r="A58" t="str">
            <v>Grand Total</v>
          </cell>
          <cell r="B58">
            <v>100</v>
          </cell>
          <cell r="D58">
            <v>100</v>
          </cell>
          <cell r="E58">
            <v>4.5199999999999997E-2</v>
          </cell>
        </row>
        <row r="60">
          <cell r="H60">
            <v>2010</v>
          </cell>
          <cell r="I60">
            <v>2011</v>
          </cell>
        </row>
        <row r="61">
          <cell r="G61" t="str">
            <v>Down &gt; 20%</v>
          </cell>
          <cell r="H61">
            <v>0</v>
          </cell>
          <cell r="I61">
            <v>0</v>
          </cell>
        </row>
        <row r="62">
          <cell r="G62" t="str">
            <v>Down 11-20%</v>
          </cell>
          <cell r="H62">
            <v>0.04</v>
          </cell>
          <cell r="I62">
            <v>0</v>
          </cell>
        </row>
        <row r="63">
          <cell r="G63" t="str">
            <v>Down 6-10%</v>
          </cell>
          <cell r="H63">
            <v>0.05</v>
          </cell>
          <cell r="I63">
            <v>0.02</v>
          </cell>
        </row>
        <row r="64">
          <cell r="G64" t="str">
            <v>Down 1-5%</v>
          </cell>
          <cell r="H64">
            <v>7.0000000000000007E-2</v>
          </cell>
          <cell r="I64">
            <v>0.09</v>
          </cell>
        </row>
        <row r="65">
          <cell r="G65" t="str">
            <v>Flat</v>
          </cell>
          <cell r="H65">
            <v>0.45</v>
          </cell>
          <cell r="I65">
            <v>0.35</v>
          </cell>
        </row>
        <row r="66">
          <cell r="G66" t="str">
            <v>Up 1-5%</v>
          </cell>
          <cell r="H66">
            <v>0.24000000000000002</v>
          </cell>
          <cell r="I66">
            <v>0.26</v>
          </cell>
        </row>
        <row r="67">
          <cell r="G67" t="str">
            <v>Up 6-10%</v>
          </cell>
          <cell r="H67">
            <v>0.11</v>
          </cell>
          <cell r="I67">
            <v>0.12</v>
          </cell>
        </row>
        <row r="68">
          <cell r="G68" t="str">
            <v>Up 11-20%</v>
          </cell>
          <cell r="H68">
            <v>0.03</v>
          </cell>
          <cell r="I68">
            <v>0.13</v>
          </cell>
        </row>
        <row r="69">
          <cell r="G69" t="str">
            <v>Up &gt; 20%+</v>
          </cell>
          <cell r="H69">
            <v>0.01</v>
          </cell>
          <cell r="I69">
            <v>0.03</v>
          </cell>
        </row>
      </sheetData>
      <sheetData sheetId="15">
        <row r="1">
          <cell r="A1" t="str">
            <v>Morgan Stanley CIO Survey - June 2011</v>
          </cell>
        </row>
        <row r="3">
          <cell r="A3" t="str">
            <v xml:space="preserve">S5.  Looking forward, how do you plan to allocate your consulting and systems integration </v>
          </cell>
        </row>
        <row r="4">
          <cell r="A4" t="str">
            <v xml:space="preserve"> spending across the first half (1H11) and the second half  of 2011 (2H11)?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S5 Budget Allocation 1H11 vs 2H11</v>
          </cell>
        </row>
        <row r="10">
          <cell r="A10" t="str">
            <v>S5 Budget Allocation 1H11 vs 2H11</v>
          </cell>
          <cell r="B10" t="str">
            <v>Total</v>
          </cell>
          <cell r="C10" t="str">
            <v>Response as %</v>
          </cell>
          <cell r="D10" t="str">
            <v># responses</v>
          </cell>
          <cell r="E10" t="str">
            <v>% of responses</v>
          </cell>
        </row>
        <row r="11">
          <cell r="A11" t="str">
            <v>20/80</v>
          </cell>
          <cell r="B11">
            <v>1</v>
          </cell>
          <cell r="C11">
            <v>0.2</v>
          </cell>
          <cell r="D11">
            <v>1</v>
          </cell>
          <cell r="E11">
            <v>0.01</v>
          </cell>
        </row>
        <row r="12">
          <cell r="A12" t="str">
            <v>30/70</v>
          </cell>
          <cell r="B12">
            <v>2</v>
          </cell>
          <cell r="C12">
            <v>0.3</v>
          </cell>
          <cell r="D12">
            <v>2</v>
          </cell>
          <cell r="E12">
            <v>0.02</v>
          </cell>
        </row>
        <row r="13">
          <cell r="A13" t="str">
            <v>40/60</v>
          </cell>
          <cell r="B13">
            <v>17</v>
          </cell>
          <cell r="C13">
            <v>0.4</v>
          </cell>
          <cell r="D13">
            <v>17</v>
          </cell>
          <cell r="E13">
            <v>0.17</v>
          </cell>
        </row>
        <row r="14">
          <cell r="A14" t="str">
            <v>50/50</v>
          </cell>
          <cell r="B14">
            <v>66</v>
          </cell>
          <cell r="C14">
            <v>0.5</v>
          </cell>
          <cell r="D14">
            <v>66</v>
          </cell>
          <cell r="E14">
            <v>0.66</v>
          </cell>
        </row>
        <row r="15">
          <cell r="A15" t="str">
            <v>60/40</v>
          </cell>
          <cell r="B15">
            <v>7</v>
          </cell>
          <cell r="C15">
            <v>0.6</v>
          </cell>
          <cell r="D15">
            <v>7</v>
          </cell>
          <cell r="E15">
            <v>7.0000000000000007E-2</v>
          </cell>
        </row>
        <row r="16">
          <cell r="A16" t="str">
            <v>70/30</v>
          </cell>
          <cell r="B16">
            <v>5</v>
          </cell>
          <cell r="C16">
            <v>0.7</v>
          </cell>
          <cell r="D16">
            <v>5</v>
          </cell>
          <cell r="E16">
            <v>0.05</v>
          </cell>
        </row>
        <row r="17">
          <cell r="A17" t="str">
            <v>80/20</v>
          </cell>
          <cell r="B17">
            <v>2</v>
          </cell>
          <cell r="C17">
            <v>0.8</v>
          </cell>
          <cell r="D17">
            <v>2</v>
          </cell>
          <cell r="E17">
            <v>0.02</v>
          </cell>
        </row>
        <row r="18">
          <cell r="A18" t="str">
            <v>Grand Total</v>
          </cell>
          <cell r="B18">
            <v>100</v>
          </cell>
          <cell r="D18">
            <v>100</v>
          </cell>
          <cell r="E18">
            <v>0.499</v>
          </cell>
        </row>
        <row r="20">
          <cell r="A20" t="str">
            <v>Which of the following do you think will play a bigger role in determining the allocation of</v>
          </cell>
        </row>
        <row r="21">
          <cell r="A21" t="str">
            <v xml:space="preserve"> spending between the first half and the second half of 2011 within your organization:</v>
          </cell>
        </row>
        <row r="22">
          <cell r="A22" t="str">
            <v xml:space="preserve"> 1) Pent-up demand for new projects; or 2) Caution about potential future budget cuts?</v>
          </cell>
        </row>
        <row r="24">
          <cell r="A24" t="str">
            <v>Industry</v>
          </cell>
          <cell r="B24" t="str">
            <v>(All)</v>
          </cell>
        </row>
        <row r="25">
          <cell r="A25" t="str">
            <v>Revenue</v>
          </cell>
          <cell r="B25" t="str">
            <v>(All)</v>
          </cell>
        </row>
        <row r="27">
          <cell r="A27" t="str">
            <v>Count of S5 Bigger factor in 2011 services spending</v>
          </cell>
        </row>
        <row r="28">
          <cell r="A28" t="str">
            <v>S5 Bigger factor in 2011 services spending</v>
          </cell>
          <cell r="B28" t="str">
            <v>Total</v>
          </cell>
          <cell r="E28" t="str">
            <v>October Survey</v>
          </cell>
          <cell r="F28" t="str">
            <v>April Survey</v>
          </cell>
          <cell r="G28" t="str">
            <v>July Survey</v>
          </cell>
        </row>
        <row r="29">
          <cell r="A29" t="str">
            <v>Pent Up Demand</v>
          </cell>
          <cell r="B29">
            <v>63</v>
          </cell>
          <cell r="C29">
            <v>63</v>
          </cell>
          <cell r="D29" t="str">
            <v>Pent Up Demand</v>
          </cell>
          <cell r="E29">
            <v>0.62</v>
          </cell>
          <cell r="F29">
            <v>0.7</v>
          </cell>
          <cell r="G29">
            <v>0.63</v>
          </cell>
        </row>
        <row r="30">
          <cell r="A30" t="str">
            <v>Caution about future budget cuts</v>
          </cell>
          <cell r="B30">
            <v>37</v>
          </cell>
          <cell r="C30">
            <v>37</v>
          </cell>
          <cell r="D30" t="str">
            <v>Caution about future budget cuts</v>
          </cell>
          <cell r="E30">
            <v>0.38</v>
          </cell>
          <cell r="F30">
            <v>0.3</v>
          </cell>
          <cell r="G30">
            <v>0.37</v>
          </cell>
        </row>
        <row r="31">
          <cell r="A31" t="str">
            <v>Grand Total</v>
          </cell>
          <cell r="B31">
            <v>100</v>
          </cell>
          <cell r="C31">
            <v>100</v>
          </cell>
        </row>
      </sheetData>
      <sheetData sheetId="16">
        <row r="1">
          <cell r="A1" t="str">
            <v>Morgan Stanley CIO Survey - June 2011</v>
          </cell>
        </row>
        <row r="3">
          <cell r="A3" t="str">
            <v>S6.  By what percent did your company’s spending on offshore resources increase or (decrease)</v>
          </cell>
        </row>
        <row r="4">
          <cell r="A4" t="str">
            <v xml:space="preserve"> in calendar 2010? What is your current outlook for full year 2011 vs. 2010?</v>
          </cell>
        </row>
        <row r="6">
          <cell r="A6" t="str">
            <v>Industry</v>
          </cell>
          <cell r="B6" t="str">
            <v>(All)</v>
          </cell>
          <cell r="G6" t="str">
            <v>Up &gt; 20%+</v>
          </cell>
          <cell r="H6">
            <v>0</v>
          </cell>
          <cell r="W6" t="str">
            <v>Industry</v>
          </cell>
          <cell r="X6" t="str">
            <v>(All)</v>
          </cell>
        </row>
        <row r="7">
          <cell r="A7" t="str">
            <v>Revenue</v>
          </cell>
          <cell r="B7" t="str">
            <v>(All)</v>
          </cell>
          <cell r="G7" t="str">
            <v>Up 11-20%</v>
          </cell>
          <cell r="H7">
            <v>5.0632911392405063E-2</v>
          </cell>
          <cell r="W7" t="str">
            <v>Revenue</v>
          </cell>
          <cell r="X7" t="str">
            <v>(All)</v>
          </cell>
        </row>
        <row r="8">
          <cell r="G8" t="str">
            <v>Up 6-10%</v>
          </cell>
          <cell r="H8">
            <v>7.5949367088607597E-2</v>
          </cell>
        </row>
        <row r="9">
          <cell r="A9" t="str">
            <v>Count of S6 Offshore 2010 vs 2009</v>
          </cell>
          <cell r="G9" t="str">
            <v>Up 1-5%</v>
          </cell>
          <cell r="H9">
            <v>0.15189873417721519</v>
          </cell>
          <cell r="W9" t="str">
            <v>Count of S6 Offshore 2011 vs 2010</v>
          </cell>
        </row>
        <row r="10">
          <cell r="A10" t="str">
            <v>S6 Offshore 2010 vs 2009</v>
          </cell>
          <cell r="B10" t="str">
            <v>Total</v>
          </cell>
          <cell r="C10" t="str">
            <v>Response as %</v>
          </cell>
          <cell r="D10" t="str">
            <v># responses</v>
          </cell>
          <cell r="E10" t="str">
            <v>% of responses</v>
          </cell>
          <cell r="G10" t="str">
            <v>Flat</v>
          </cell>
          <cell r="H10">
            <v>0.64556962025316456</v>
          </cell>
          <cell r="W10" t="str">
            <v>S6 Offshore 2011 vs 2010</v>
          </cell>
          <cell r="X10" t="str">
            <v>Total</v>
          </cell>
        </row>
        <row r="11">
          <cell r="A11">
            <v>20</v>
          </cell>
          <cell r="B11">
            <v>1</v>
          </cell>
          <cell r="C11">
            <v>0.2</v>
          </cell>
          <cell r="D11">
            <v>1</v>
          </cell>
          <cell r="E11">
            <v>1.2658227848101266E-2</v>
          </cell>
          <cell r="G11" t="str">
            <v>Down 1-5%</v>
          </cell>
          <cell r="H11">
            <v>2.5316455696202531E-2</v>
          </cell>
          <cell r="W11">
            <v>35</v>
          </cell>
          <cell r="X11">
            <v>1</v>
          </cell>
        </row>
        <row r="12">
          <cell r="A12">
            <v>15</v>
          </cell>
          <cell r="B12">
            <v>2</v>
          </cell>
          <cell r="C12">
            <v>0.15</v>
          </cell>
          <cell r="D12">
            <v>2</v>
          </cell>
          <cell r="E12">
            <v>2.5316455696202531E-2</v>
          </cell>
          <cell r="G12" t="str">
            <v>Down 6-10%</v>
          </cell>
          <cell r="H12">
            <v>2.5316455696202531E-2</v>
          </cell>
          <cell r="W12">
            <v>20</v>
          </cell>
          <cell r="X12">
            <v>1</v>
          </cell>
        </row>
        <row r="13">
          <cell r="A13">
            <v>12</v>
          </cell>
          <cell r="B13">
            <v>1</v>
          </cell>
          <cell r="C13">
            <v>0.12</v>
          </cell>
          <cell r="D13">
            <v>1</v>
          </cell>
          <cell r="E13">
            <v>1.2658227848101266E-2</v>
          </cell>
          <cell r="G13" t="str">
            <v>Down 11-20%</v>
          </cell>
          <cell r="H13">
            <v>1.2658227848101266E-2</v>
          </cell>
          <cell r="W13">
            <v>18</v>
          </cell>
          <cell r="X13">
            <v>1</v>
          </cell>
        </row>
        <row r="14">
          <cell r="A14">
            <v>10</v>
          </cell>
          <cell r="B14">
            <v>5</v>
          </cell>
          <cell r="C14">
            <v>0.1</v>
          </cell>
          <cell r="D14">
            <v>5</v>
          </cell>
          <cell r="E14">
            <v>6.3291139240506333E-2</v>
          </cell>
          <cell r="G14" t="str">
            <v>Down &gt; 20%</v>
          </cell>
          <cell r="H14">
            <v>1.2658227848101266E-2</v>
          </cell>
          <cell r="W14">
            <v>15</v>
          </cell>
          <cell r="X14">
            <v>2</v>
          </cell>
        </row>
        <row r="15">
          <cell r="A15">
            <v>7</v>
          </cell>
          <cell r="B15">
            <v>1</v>
          </cell>
          <cell r="C15">
            <v>7.0000000000000007E-2</v>
          </cell>
          <cell r="D15">
            <v>1</v>
          </cell>
          <cell r="E15">
            <v>1.2658227848101266E-2</v>
          </cell>
          <cell r="W15">
            <v>12</v>
          </cell>
          <cell r="X15">
            <v>1</v>
          </cell>
        </row>
        <row r="16">
          <cell r="A16">
            <v>5</v>
          </cell>
          <cell r="B16">
            <v>10</v>
          </cell>
          <cell r="C16">
            <v>0.05</v>
          </cell>
          <cell r="D16">
            <v>10</v>
          </cell>
          <cell r="E16">
            <v>0.12658227848101267</v>
          </cell>
          <cell r="G16" t="str">
            <v>Down &gt; 20%</v>
          </cell>
          <cell r="H16">
            <v>1.2658227848101266E-2</v>
          </cell>
          <cell r="W16">
            <v>10</v>
          </cell>
          <cell r="X16">
            <v>7</v>
          </cell>
        </row>
        <row r="17">
          <cell r="A17">
            <v>3</v>
          </cell>
          <cell r="B17">
            <v>2</v>
          </cell>
          <cell r="C17">
            <v>0.03</v>
          </cell>
          <cell r="D17">
            <v>2</v>
          </cell>
          <cell r="E17">
            <v>2.5316455696202531E-2</v>
          </cell>
          <cell r="G17" t="str">
            <v>Down 11-20%</v>
          </cell>
          <cell r="H17">
            <v>1.2658227848101266E-2</v>
          </cell>
          <cell r="W17">
            <v>7</v>
          </cell>
          <cell r="X17">
            <v>3</v>
          </cell>
        </row>
        <row r="18">
          <cell r="A18">
            <v>0</v>
          </cell>
          <cell r="B18">
            <v>51</v>
          </cell>
          <cell r="C18">
            <v>0</v>
          </cell>
          <cell r="D18">
            <v>51</v>
          </cell>
          <cell r="E18">
            <v>0.64556962025316456</v>
          </cell>
          <cell r="G18" t="str">
            <v>Down 6-10%</v>
          </cell>
          <cell r="H18">
            <v>2.5316455696202531E-2</v>
          </cell>
          <cell r="W18">
            <v>6</v>
          </cell>
          <cell r="X18">
            <v>1</v>
          </cell>
        </row>
        <row r="19">
          <cell r="A19">
            <v>-5</v>
          </cell>
          <cell r="B19">
            <v>2</v>
          </cell>
          <cell r="C19">
            <v>-0.05</v>
          </cell>
          <cell r="D19">
            <v>2</v>
          </cell>
          <cell r="E19">
            <v>2.5316455696202531E-2</v>
          </cell>
          <cell r="G19" t="str">
            <v>Down 1-5%</v>
          </cell>
          <cell r="H19">
            <v>2.5316455696202531E-2</v>
          </cell>
          <cell r="W19">
            <v>5</v>
          </cell>
          <cell r="X19">
            <v>8</v>
          </cell>
        </row>
        <row r="20">
          <cell r="A20">
            <v>-10</v>
          </cell>
          <cell r="B20">
            <v>2</v>
          </cell>
          <cell r="C20">
            <v>-0.1</v>
          </cell>
          <cell r="D20">
            <v>2</v>
          </cell>
          <cell r="E20">
            <v>2.5316455696202531E-2</v>
          </cell>
          <cell r="G20" t="str">
            <v>Flat</v>
          </cell>
          <cell r="H20">
            <v>0.64556962025316456</v>
          </cell>
          <cell r="W20">
            <v>3</v>
          </cell>
          <cell r="X20">
            <v>2</v>
          </cell>
        </row>
        <row r="21">
          <cell r="A21">
            <v>-15</v>
          </cell>
          <cell r="B21">
            <v>1</v>
          </cell>
          <cell r="C21">
            <v>-0.15</v>
          </cell>
          <cell r="D21">
            <v>1</v>
          </cell>
          <cell r="E21">
            <v>1.2658227848101266E-2</v>
          </cell>
          <cell r="G21" t="str">
            <v>Up 1-5%</v>
          </cell>
          <cell r="H21">
            <v>0.15189873417721519</v>
          </cell>
          <cell r="W21">
            <v>2</v>
          </cell>
          <cell r="X21">
            <v>1</v>
          </cell>
        </row>
        <row r="22">
          <cell r="A22">
            <v>-25</v>
          </cell>
          <cell r="B22">
            <v>1</v>
          </cell>
          <cell r="C22">
            <v>-0.25</v>
          </cell>
          <cell r="D22">
            <v>1</v>
          </cell>
          <cell r="E22">
            <v>1.2658227848101266E-2</v>
          </cell>
          <cell r="G22" t="str">
            <v>Up 6-10%</v>
          </cell>
          <cell r="H22">
            <v>7.5949367088607597E-2</v>
          </cell>
          <cell r="W22">
            <v>0</v>
          </cell>
          <cell r="X22">
            <v>46</v>
          </cell>
        </row>
        <row r="23">
          <cell r="A23" t="str">
            <v>Grand Total</v>
          </cell>
          <cell r="B23">
            <v>79</v>
          </cell>
          <cell r="D23">
            <v>79</v>
          </cell>
          <cell r="E23">
            <v>1.3291139240506331E-2</v>
          </cell>
          <cell r="G23" t="str">
            <v>Up 11-20%</v>
          </cell>
          <cell r="H23">
            <v>5.0632911392405063E-2</v>
          </cell>
          <cell r="W23">
            <v>-5</v>
          </cell>
          <cell r="X23">
            <v>2</v>
          </cell>
        </row>
        <row r="24">
          <cell r="G24" t="str">
            <v>Up &gt; 20%+</v>
          </cell>
          <cell r="H24">
            <v>0</v>
          </cell>
          <cell r="W24">
            <v>-10</v>
          </cell>
          <cell r="X24">
            <v>1</v>
          </cell>
        </row>
        <row r="25">
          <cell r="A25" t="str">
            <v>Industry</v>
          </cell>
          <cell r="B25" t="str">
            <v>(All)</v>
          </cell>
          <cell r="W25">
            <v>-15</v>
          </cell>
          <cell r="X25">
            <v>1</v>
          </cell>
        </row>
        <row r="26">
          <cell r="A26" t="str">
            <v>Revenue</v>
          </cell>
          <cell r="B26" t="str">
            <v>(All)</v>
          </cell>
          <cell r="W26">
            <v>-25</v>
          </cell>
          <cell r="X26">
            <v>1</v>
          </cell>
        </row>
        <row r="27">
          <cell r="W27" t="str">
            <v>Grand Total</v>
          </cell>
          <cell r="X27">
            <v>79</v>
          </cell>
        </row>
        <row r="28">
          <cell r="A28" t="str">
            <v>Count of S6 Offshore 2011 vs 2010</v>
          </cell>
        </row>
        <row r="29">
          <cell r="A29" t="str">
            <v>S6 Offshore 2011 vs 2010</v>
          </cell>
          <cell r="B29" t="str">
            <v>Total</v>
          </cell>
          <cell r="C29" t="str">
            <v>Response as %</v>
          </cell>
          <cell r="D29" t="str">
            <v># responses</v>
          </cell>
          <cell r="E29" t="str">
            <v>% of responses</v>
          </cell>
          <cell r="G29" t="str">
            <v>Up &gt; 20%+</v>
          </cell>
          <cell r="H29">
            <v>1.2658227848101266E-2</v>
          </cell>
        </row>
        <row r="30">
          <cell r="A30">
            <v>35</v>
          </cell>
          <cell r="B30">
            <v>1</v>
          </cell>
          <cell r="C30">
            <v>0.35</v>
          </cell>
          <cell r="D30">
            <v>1</v>
          </cell>
          <cell r="E30">
            <v>1.2658227848101266E-2</v>
          </cell>
          <cell r="G30" t="str">
            <v>Up 11-20%</v>
          </cell>
          <cell r="H30">
            <v>6.3291139240506333E-2</v>
          </cell>
        </row>
        <row r="31">
          <cell r="A31">
            <v>20</v>
          </cell>
          <cell r="B31">
            <v>1</v>
          </cell>
          <cell r="C31">
            <v>0.2</v>
          </cell>
          <cell r="D31">
            <v>1</v>
          </cell>
          <cell r="E31">
            <v>1.2658227848101266E-2</v>
          </cell>
          <cell r="G31" t="str">
            <v>Up 6-10%</v>
          </cell>
          <cell r="H31">
            <v>0.13924050632911394</v>
          </cell>
        </row>
        <row r="32">
          <cell r="A32">
            <v>18</v>
          </cell>
          <cell r="B32">
            <v>1</v>
          </cell>
          <cell r="C32">
            <v>0.18</v>
          </cell>
          <cell r="D32">
            <v>1</v>
          </cell>
          <cell r="E32">
            <v>1.2658227848101266E-2</v>
          </cell>
          <cell r="G32" t="str">
            <v>Up 1-5%</v>
          </cell>
          <cell r="H32">
            <v>0.13924050632911394</v>
          </cell>
        </row>
        <row r="33">
          <cell r="A33">
            <v>15</v>
          </cell>
          <cell r="B33">
            <v>2</v>
          </cell>
          <cell r="C33">
            <v>0.15</v>
          </cell>
          <cell r="D33">
            <v>2</v>
          </cell>
          <cell r="E33">
            <v>2.5316455696202531E-2</v>
          </cell>
          <cell r="G33" t="str">
            <v>Flat</v>
          </cell>
          <cell r="H33">
            <v>0.58227848101265822</v>
          </cell>
        </row>
        <row r="34">
          <cell r="A34">
            <v>12</v>
          </cell>
          <cell r="B34">
            <v>1</v>
          </cell>
          <cell r="C34">
            <v>0.12</v>
          </cell>
          <cell r="D34">
            <v>1</v>
          </cell>
          <cell r="E34">
            <v>1.2658227848101266E-2</v>
          </cell>
          <cell r="G34" t="str">
            <v>Down 1-5%</v>
          </cell>
          <cell r="H34">
            <v>2.5316455696202531E-2</v>
          </cell>
        </row>
        <row r="35">
          <cell r="A35">
            <v>10</v>
          </cell>
          <cell r="B35">
            <v>7</v>
          </cell>
          <cell r="C35">
            <v>0.1</v>
          </cell>
          <cell r="D35">
            <v>7</v>
          </cell>
          <cell r="E35">
            <v>8.8607594936708861E-2</v>
          </cell>
          <cell r="G35" t="str">
            <v>Down 6-10%</v>
          </cell>
          <cell r="H35">
            <v>1.2658227848101266E-2</v>
          </cell>
        </row>
        <row r="36">
          <cell r="A36">
            <v>7</v>
          </cell>
          <cell r="B36">
            <v>3</v>
          </cell>
          <cell r="C36">
            <v>7.0000000000000007E-2</v>
          </cell>
          <cell r="D36">
            <v>3</v>
          </cell>
          <cell r="E36">
            <v>3.7974683544303799E-2</v>
          </cell>
          <cell r="G36" t="str">
            <v>Down 11-20%</v>
          </cell>
          <cell r="H36">
            <v>1.2658227848101266E-2</v>
          </cell>
        </row>
        <row r="37">
          <cell r="A37">
            <v>6</v>
          </cell>
          <cell r="B37">
            <v>1</v>
          </cell>
          <cell r="C37">
            <v>0.06</v>
          </cell>
          <cell r="D37">
            <v>1</v>
          </cell>
          <cell r="E37">
            <v>1.2658227848101266E-2</v>
          </cell>
          <cell r="G37" t="str">
            <v>Down &gt; 20%</v>
          </cell>
          <cell r="H37">
            <v>1.2658227848101266E-2</v>
          </cell>
        </row>
        <row r="38">
          <cell r="A38">
            <v>5</v>
          </cell>
          <cell r="B38">
            <v>8</v>
          </cell>
          <cell r="C38">
            <v>0.05</v>
          </cell>
          <cell r="D38">
            <v>8</v>
          </cell>
          <cell r="E38">
            <v>0.10126582278481013</v>
          </cell>
        </row>
        <row r="39">
          <cell r="A39">
            <v>3</v>
          </cell>
          <cell r="B39">
            <v>2</v>
          </cell>
          <cell r="C39">
            <v>0.03</v>
          </cell>
          <cell r="D39">
            <v>2</v>
          </cell>
          <cell r="E39">
            <v>2.5316455696202531E-2</v>
          </cell>
          <cell r="G39" t="str">
            <v>Down &gt; 20%</v>
          </cell>
          <cell r="H39">
            <v>1.2658227848101266E-2</v>
          </cell>
        </row>
        <row r="40">
          <cell r="A40">
            <v>2</v>
          </cell>
          <cell r="B40">
            <v>1</v>
          </cell>
          <cell r="C40">
            <v>0.02</v>
          </cell>
          <cell r="D40">
            <v>1</v>
          </cell>
          <cell r="E40">
            <v>1.2658227848101266E-2</v>
          </cell>
          <cell r="G40" t="str">
            <v>Down 11-20%</v>
          </cell>
          <cell r="H40">
            <v>1.2658227848101266E-2</v>
          </cell>
        </row>
        <row r="41">
          <cell r="A41">
            <v>0</v>
          </cell>
          <cell r="B41">
            <v>46</v>
          </cell>
          <cell r="C41">
            <v>0</v>
          </cell>
          <cell r="D41">
            <v>46</v>
          </cell>
          <cell r="E41">
            <v>0.58227848101265822</v>
          </cell>
          <cell r="G41" t="str">
            <v>Down 6-10%</v>
          </cell>
          <cell r="H41">
            <v>1.2658227848101266E-2</v>
          </cell>
        </row>
        <row r="42">
          <cell r="A42">
            <v>-5</v>
          </cell>
          <cell r="B42">
            <v>2</v>
          </cell>
          <cell r="C42">
            <v>-0.05</v>
          </cell>
          <cell r="D42">
            <v>2</v>
          </cell>
          <cell r="E42">
            <v>2.5316455696202531E-2</v>
          </cell>
          <cell r="G42" t="str">
            <v>Down 1-5%</v>
          </cell>
          <cell r="H42">
            <v>2.5316455696202531E-2</v>
          </cell>
        </row>
        <row r="43">
          <cell r="A43">
            <v>-10</v>
          </cell>
          <cell r="B43">
            <v>1</v>
          </cell>
          <cell r="C43">
            <v>-0.1</v>
          </cell>
          <cell r="D43">
            <v>1</v>
          </cell>
          <cell r="E43">
            <v>1.2658227848101266E-2</v>
          </cell>
          <cell r="G43" t="str">
            <v>Flat</v>
          </cell>
          <cell r="H43">
            <v>0.58227848101265822</v>
          </cell>
        </row>
        <row r="44">
          <cell r="A44">
            <v>-15</v>
          </cell>
          <cell r="B44">
            <v>1</v>
          </cell>
          <cell r="C44">
            <v>-0.15</v>
          </cell>
          <cell r="D44">
            <v>1</v>
          </cell>
          <cell r="E44">
            <v>1.2658227848101266E-2</v>
          </cell>
          <cell r="G44" t="str">
            <v>Up 1-5%</v>
          </cell>
          <cell r="H44">
            <v>0.13924050632911394</v>
          </cell>
        </row>
        <row r="45">
          <cell r="A45">
            <v>-25</v>
          </cell>
          <cell r="B45">
            <v>1</v>
          </cell>
          <cell r="C45">
            <v>-0.25</v>
          </cell>
          <cell r="D45">
            <v>1</v>
          </cell>
          <cell r="E45">
            <v>1.2658227848101266E-2</v>
          </cell>
          <cell r="G45" t="str">
            <v>Up 6-10%</v>
          </cell>
          <cell r="H45">
            <v>0.13924050632911394</v>
          </cell>
        </row>
        <row r="46">
          <cell r="A46" t="str">
            <v>Grand Total</v>
          </cell>
          <cell r="B46">
            <v>79</v>
          </cell>
          <cell r="D46">
            <v>79</v>
          </cell>
          <cell r="E46">
            <v>2.5316455696202535E-2</v>
          </cell>
          <cell r="G46" t="str">
            <v>Up 11-20%</v>
          </cell>
          <cell r="H46">
            <v>6.3291139240506333E-2</v>
          </cell>
        </row>
        <row r="47">
          <cell r="G47" t="str">
            <v>Up &gt; 20%+</v>
          </cell>
          <cell r="H47">
            <v>1.2658227848101266E-2</v>
          </cell>
        </row>
        <row r="51">
          <cell r="H51">
            <v>2010</v>
          </cell>
          <cell r="I51">
            <v>2011</v>
          </cell>
        </row>
        <row r="52">
          <cell r="G52" t="str">
            <v>Down &gt; 20%</v>
          </cell>
          <cell r="H52">
            <v>1.2658227848101266E-2</v>
          </cell>
          <cell r="I52">
            <v>1.2658227848101266E-2</v>
          </cell>
        </row>
        <row r="53">
          <cell r="G53" t="str">
            <v>Down 11-20%</v>
          </cell>
          <cell r="H53">
            <v>1.2658227848101266E-2</v>
          </cell>
          <cell r="I53">
            <v>1.2658227848101266E-2</v>
          </cell>
        </row>
        <row r="54">
          <cell r="G54" t="str">
            <v>Down 6-10%</v>
          </cell>
          <cell r="H54">
            <v>2.5316455696202531E-2</v>
          </cell>
          <cell r="I54">
            <v>1.2658227848101266E-2</v>
          </cell>
        </row>
        <row r="55">
          <cell r="G55" t="str">
            <v>Down 1-5%</v>
          </cell>
          <cell r="H55">
            <v>2.5316455696202531E-2</v>
          </cell>
          <cell r="I55">
            <v>2.5316455696202531E-2</v>
          </cell>
        </row>
        <row r="56">
          <cell r="G56" t="str">
            <v>Flat</v>
          </cell>
          <cell r="H56">
            <v>0.64556962025316456</v>
          </cell>
          <cell r="I56">
            <v>0.58227848101265822</v>
          </cell>
        </row>
        <row r="57">
          <cell r="G57" t="str">
            <v>Up 1-5%</v>
          </cell>
          <cell r="H57">
            <v>0.15189873417721519</v>
          </cell>
          <cell r="I57">
            <v>0.13924050632911394</v>
          </cell>
        </row>
        <row r="58">
          <cell r="G58" t="str">
            <v>Up 6-10%</v>
          </cell>
          <cell r="H58">
            <v>7.5949367088607597E-2</v>
          </cell>
          <cell r="I58">
            <v>0.13924050632911394</v>
          </cell>
        </row>
        <row r="59">
          <cell r="G59" t="str">
            <v>Up 11-20%</v>
          </cell>
          <cell r="H59">
            <v>5.0632911392405063E-2</v>
          </cell>
          <cell r="I59">
            <v>6.3291139240506333E-2</v>
          </cell>
        </row>
        <row r="60">
          <cell r="G60" t="str">
            <v>Up &gt; 20%+</v>
          </cell>
          <cell r="H60">
            <v>0</v>
          </cell>
          <cell r="I60">
            <v>1.2658227848101266E-2</v>
          </cell>
        </row>
      </sheetData>
      <sheetData sheetId="17"/>
      <sheetData sheetId="18"/>
      <sheetData sheetId="19"/>
      <sheetData sheetId="20"/>
      <sheetData sheetId="21"/>
      <sheetData sheetId="22"/>
      <sheetData sheetId="23">
        <row r="1">
          <cell r="A1" t="str">
            <v>Morgan Stanley CIO Survey - June 2011</v>
          </cell>
        </row>
        <row r="3">
          <cell r="A3" t="str">
            <v xml:space="preserve">S10.  How do you perceive professional services vendors willingness to discount in the past </v>
          </cell>
        </row>
        <row r="4">
          <cell r="A4" t="str">
            <v xml:space="preserve"> three months versus prior three months (i.e. Q3 versus Q2)?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S10 Services vendors discounts</v>
          </cell>
        </row>
        <row r="10">
          <cell r="A10" t="str">
            <v>S10 Services vendors discounts</v>
          </cell>
          <cell r="B10" t="str">
            <v>Total</v>
          </cell>
          <cell r="C10" t="str">
            <v># responses</v>
          </cell>
          <cell r="D10" t="str">
            <v>% of responses</v>
          </cell>
        </row>
        <row r="11">
          <cell r="A11" t="str">
            <v>significantly more aggressive in discounting</v>
          </cell>
          <cell r="B11">
            <v>3</v>
          </cell>
          <cell r="C11">
            <v>3</v>
          </cell>
          <cell r="D11">
            <v>0.03</v>
          </cell>
        </row>
        <row r="12">
          <cell r="A12" t="str">
            <v>somewhat more aggressive in discounting</v>
          </cell>
          <cell r="B12">
            <v>27</v>
          </cell>
          <cell r="C12">
            <v>27</v>
          </cell>
          <cell r="D12">
            <v>0.27</v>
          </cell>
        </row>
        <row r="13">
          <cell r="A13" t="str">
            <v>no change in level of discounting</v>
          </cell>
          <cell r="B13">
            <v>61</v>
          </cell>
          <cell r="C13">
            <v>61</v>
          </cell>
          <cell r="D13">
            <v>0.61</v>
          </cell>
        </row>
        <row r="14">
          <cell r="A14" t="str">
            <v>somewhat less aggressive in discounting</v>
          </cell>
          <cell r="B14">
            <v>9</v>
          </cell>
          <cell r="C14">
            <v>9</v>
          </cell>
          <cell r="D14">
            <v>0.09</v>
          </cell>
        </row>
        <row r="15">
          <cell r="A15" t="str">
            <v>Grand Total</v>
          </cell>
          <cell r="B15">
            <v>100</v>
          </cell>
          <cell r="C15">
            <v>100</v>
          </cell>
        </row>
        <row r="18">
          <cell r="C18" t="str">
            <v>Significantly less</v>
          </cell>
          <cell r="D18">
            <v>0</v>
          </cell>
        </row>
        <row r="19">
          <cell r="C19" t="str">
            <v>Somewhat less</v>
          </cell>
          <cell r="D19">
            <v>0.09</v>
          </cell>
        </row>
        <row r="20">
          <cell r="C20" t="str">
            <v>No change</v>
          </cell>
          <cell r="D20">
            <v>0.61</v>
          </cell>
        </row>
        <row r="21">
          <cell r="C21" t="str">
            <v>Somewhat more</v>
          </cell>
          <cell r="D21">
            <v>0.27</v>
          </cell>
        </row>
        <row r="22">
          <cell r="C22" t="str">
            <v>Significantly more</v>
          </cell>
          <cell r="D22">
            <v>0.03</v>
          </cell>
        </row>
        <row r="30">
          <cell r="P30">
            <v>1</v>
          </cell>
          <cell r="AA30">
            <v>1</v>
          </cell>
        </row>
        <row r="31">
          <cell r="C31" t="str">
            <v>Oct 10</v>
          </cell>
          <cell r="D31" t="str">
            <v>Jan 11</v>
          </cell>
          <cell r="E31" t="str">
            <v>April 11</v>
          </cell>
          <cell r="F31" t="str">
            <v>July 11</v>
          </cell>
        </row>
        <row r="32">
          <cell r="B32" t="str">
            <v>Significantly less</v>
          </cell>
          <cell r="C32">
            <v>1.0752688172043012E-2</v>
          </cell>
          <cell r="D32">
            <v>0</v>
          </cell>
          <cell r="E32">
            <v>0</v>
          </cell>
          <cell r="F32">
            <v>0</v>
          </cell>
        </row>
        <row r="33">
          <cell r="B33" t="str">
            <v>Somewhat less</v>
          </cell>
          <cell r="C33">
            <v>6.4516129032258063E-2</v>
          </cell>
          <cell r="D33">
            <v>0.05</v>
          </cell>
          <cell r="E33">
            <v>8.4210526315789472E-2</v>
          </cell>
          <cell r="F33">
            <v>0.09</v>
          </cell>
        </row>
        <row r="34">
          <cell r="B34" t="str">
            <v>No change</v>
          </cell>
          <cell r="C34">
            <v>0.5161290322580645</v>
          </cell>
          <cell r="D34">
            <v>0.49</v>
          </cell>
          <cell r="E34">
            <v>0.58947368421052626</v>
          </cell>
          <cell r="F34">
            <v>0.61</v>
          </cell>
        </row>
        <row r="35">
          <cell r="B35" t="str">
            <v>Somewhat more</v>
          </cell>
          <cell r="C35">
            <v>0.31182795698924731</v>
          </cell>
          <cell r="D35">
            <v>0.41</v>
          </cell>
          <cell r="E35">
            <v>0.27368421052631581</v>
          </cell>
          <cell r="F35">
            <v>0.27</v>
          </cell>
        </row>
        <row r="36">
          <cell r="B36" t="str">
            <v>Significantly more</v>
          </cell>
          <cell r="C36">
            <v>9.6774193548387094E-2</v>
          </cell>
          <cell r="D36">
            <v>0.05</v>
          </cell>
          <cell r="E36">
            <v>5.2631578947368418E-2</v>
          </cell>
          <cell r="F36">
            <v>0.03</v>
          </cell>
        </row>
        <row r="50">
          <cell r="Q50">
            <v>1</v>
          </cell>
          <cell r="AB50">
            <v>1</v>
          </cell>
        </row>
        <row r="52">
          <cell r="D52" t="str">
            <v>Oct-10</v>
          </cell>
          <cell r="E52" t="str">
            <v>July 11</v>
          </cell>
        </row>
        <row r="53">
          <cell r="C53" t="str">
            <v>Significantly less</v>
          </cell>
          <cell r="D53">
            <v>1.0752688172043012E-2</v>
          </cell>
          <cell r="E53">
            <v>0</v>
          </cell>
        </row>
        <row r="54">
          <cell r="C54" t="str">
            <v>Somewhat less</v>
          </cell>
          <cell r="D54">
            <v>6.4516129032258063E-2</v>
          </cell>
          <cell r="E54">
            <v>0.09</v>
          </cell>
        </row>
        <row r="55">
          <cell r="C55" t="str">
            <v>No change</v>
          </cell>
          <cell r="D55">
            <v>0.5161290322580645</v>
          </cell>
          <cell r="E55">
            <v>0.61</v>
          </cell>
        </row>
        <row r="56">
          <cell r="C56" t="str">
            <v>Somewhat more</v>
          </cell>
          <cell r="D56">
            <v>0.31182795698924731</v>
          </cell>
          <cell r="E56">
            <v>0.27</v>
          </cell>
        </row>
        <row r="57">
          <cell r="C57" t="str">
            <v>Significantly more</v>
          </cell>
          <cell r="D57">
            <v>9.6774193548387094E-2</v>
          </cell>
          <cell r="E57">
            <v>0.03</v>
          </cell>
        </row>
      </sheetData>
      <sheetData sheetId="2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#11"/>
      <sheetName val="#12"/>
      <sheetName val="#13"/>
      <sheetName val="#14"/>
      <sheetName val="#15"/>
      <sheetName val="DATASHEET"/>
      <sheetName val="Apr 2011"/>
    </sheetNames>
    <sheetDataSet>
      <sheetData sheetId="0">
        <row r="1">
          <cell r="A1" t="str">
            <v>Morgan Stanley Hardware Survey - March 2011</v>
          </cell>
        </row>
        <row r="3">
          <cell r="A3" t="str">
            <v>1.   How do you expect your spending on PCs, Servers, and Storage to change in the next 12 months?</v>
          </cell>
        </row>
        <row r="5">
          <cell r="A5" t="str">
            <v>Industry</v>
          </cell>
          <cell r="B5" t="str">
            <v>(All)</v>
          </cell>
          <cell r="E5" t="str">
            <v>Industry</v>
          </cell>
          <cell r="F5" t="str">
            <v>(All)</v>
          </cell>
        </row>
        <row r="6">
          <cell r="A6" t="str">
            <v>Revenue</v>
          </cell>
          <cell r="B6" t="str">
            <v>(All)</v>
          </cell>
          <cell r="E6" t="str">
            <v>Revenue</v>
          </cell>
          <cell r="F6" t="str">
            <v>(All)</v>
          </cell>
        </row>
        <row r="7">
          <cell r="J7" t="str">
            <v>PCs</v>
          </cell>
          <cell r="K7" t="str">
            <v>Servers</v>
          </cell>
          <cell r="L7" t="str">
            <v>Storage</v>
          </cell>
        </row>
        <row r="8">
          <cell r="A8" t="str">
            <v>Count of 1 PCs</v>
          </cell>
          <cell r="E8" t="str">
            <v>Count of 1 Servers</v>
          </cell>
          <cell r="I8" t="str">
            <v>Up 11-20%</v>
          </cell>
          <cell r="J8">
            <v>4</v>
          </cell>
          <cell r="K8">
            <v>6</v>
          </cell>
          <cell r="L8">
            <v>8</v>
          </cell>
          <cell r="N8">
            <v>0.15</v>
          </cell>
        </row>
        <row r="9">
          <cell r="A9" t="str">
            <v>1 PCs</v>
          </cell>
          <cell r="B9" t="str">
            <v>Total</v>
          </cell>
          <cell r="E9" t="str">
            <v>1 Servers</v>
          </cell>
          <cell r="F9" t="str">
            <v>Total</v>
          </cell>
          <cell r="I9" t="str">
            <v>Up 1-10%</v>
          </cell>
          <cell r="J9">
            <v>17</v>
          </cell>
          <cell r="K9">
            <v>14</v>
          </cell>
          <cell r="L9">
            <v>14</v>
          </cell>
          <cell r="N9">
            <v>0.05</v>
          </cell>
        </row>
        <row r="10">
          <cell r="A10" t="str">
            <v>Up 11-20%</v>
          </cell>
          <cell r="B10">
            <v>4</v>
          </cell>
          <cell r="E10" t="str">
            <v>Up 11-20%</v>
          </cell>
          <cell r="F10">
            <v>6</v>
          </cell>
          <cell r="I10" t="str">
            <v>Flat</v>
          </cell>
          <cell r="J10">
            <v>23</v>
          </cell>
          <cell r="K10">
            <v>21</v>
          </cell>
          <cell r="L10">
            <v>22</v>
          </cell>
          <cell r="N10">
            <v>0</v>
          </cell>
        </row>
        <row r="11">
          <cell r="A11" t="str">
            <v>Up 1-10%</v>
          </cell>
          <cell r="B11">
            <v>17</v>
          </cell>
          <cell r="E11" t="str">
            <v>Up 1-10%</v>
          </cell>
          <cell r="F11">
            <v>14</v>
          </cell>
          <cell r="I11" t="str">
            <v>Down 1-10%</v>
          </cell>
          <cell r="J11">
            <v>6</v>
          </cell>
          <cell r="K11">
            <v>9</v>
          </cell>
          <cell r="L11">
            <v>5</v>
          </cell>
          <cell r="N11">
            <v>-0.05</v>
          </cell>
        </row>
        <row r="12">
          <cell r="A12" t="str">
            <v>Flat</v>
          </cell>
          <cell r="B12">
            <v>23</v>
          </cell>
          <cell r="E12" t="str">
            <v>Flat</v>
          </cell>
          <cell r="F12">
            <v>21</v>
          </cell>
          <cell r="I12" t="str">
            <v>Down 11-20%</v>
          </cell>
          <cell r="L12">
            <v>1</v>
          </cell>
          <cell r="N12">
            <v>-0.15</v>
          </cell>
        </row>
        <row r="13">
          <cell r="A13" t="str">
            <v>Down 1-10%</v>
          </cell>
          <cell r="B13">
            <v>6</v>
          </cell>
          <cell r="E13" t="str">
            <v>Down 1-10%</v>
          </cell>
          <cell r="F13">
            <v>9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  <cell r="I14" t="str">
            <v>Oct 10 Survey</v>
          </cell>
          <cell r="J14">
            <v>3.7999999999999999E-2</v>
          </cell>
          <cell r="K14">
            <v>2.9000000000000005E-2</v>
          </cell>
          <cell r="L14">
            <v>3.3000000000000002E-2</v>
          </cell>
        </row>
        <row r="15">
          <cell r="I15" t="str">
            <v>Jan 11 Survey</v>
          </cell>
          <cell r="J15">
            <v>0.04</v>
          </cell>
          <cell r="K15">
            <v>4.6000000000000006E-2</v>
          </cell>
          <cell r="L15">
            <v>4.3999999999999997E-2</v>
          </cell>
        </row>
        <row r="16">
          <cell r="A16" t="str">
            <v>Industry</v>
          </cell>
          <cell r="B16" t="str">
            <v>(All)</v>
          </cell>
          <cell r="I16" t="str">
            <v>Apr 11 Survey</v>
          </cell>
          <cell r="J16">
            <v>2.3000000000000003E-2</v>
          </cell>
          <cell r="K16">
            <v>2.3000000000000003E-2</v>
          </cell>
          <cell r="L16">
            <v>0.03</v>
          </cell>
        </row>
        <row r="17">
          <cell r="A17" t="str">
            <v>Revenue</v>
          </cell>
          <cell r="B17" t="str">
            <v>(All)</v>
          </cell>
        </row>
        <row r="18">
          <cell r="J18" t="str">
            <v>PCs</v>
          </cell>
          <cell r="N18" t="str">
            <v>Servers</v>
          </cell>
          <cell r="R18" t="str">
            <v>Storage</v>
          </cell>
        </row>
        <row r="19">
          <cell r="A19" t="str">
            <v>Count of 1 Storage</v>
          </cell>
          <cell r="J19" t="str">
            <v>Oct '10</v>
          </cell>
          <cell r="K19" t="str">
            <v>Jan '11</v>
          </cell>
          <cell r="L19" t="str">
            <v>Apr '11</v>
          </cell>
          <cell r="N19" t="str">
            <v>Oct '10</v>
          </cell>
          <cell r="O19" t="str">
            <v>Jan '11</v>
          </cell>
          <cell r="P19" t="str">
            <v>Apr '11</v>
          </cell>
          <cell r="R19" t="str">
            <v>Oct '10</v>
          </cell>
          <cell r="S19" t="str">
            <v>Jan '11</v>
          </cell>
          <cell r="T19" t="str">
            <v>Apr '11</v>
          </cell>
        </row>
        <row r="20">
          <cell r="A20" t="str">
            <v>1 Storage</v>
          </cell>
          <cell r="B20" t="str">
            <v>Total</v>
          </cell>
          <cell r="I20" t="str">
            <v>Up</v>
          </cell>
          <cell r="J20">
            <v>0.5</v>
          </cell>
          <cell r="K20">
            <v>0.54</v>
          </cell>
          <cell r="L20">
            <v>0.42</v>
          </cell>
          <cell r="N20">
            <v>0.4</v>
          </cell>
          <cell r="O20">
            <v>0.52</v>
          </cell>
          <cell r="P20">
            <v>0.4</v>
          </cell>
          <cell r="R20">
            <v>0.48</v>
          </cell>
          <cell r="S20">
            <v>0.52</v>
          </cell>
          <cell r="T20">
            <v>0.44</v>
          </cell>
        </row>
        <row r="21">
          <cell r="A21" t="str">
            <v>Up 11-20%</v>
          </cell>
          <cell r="B21">
            <v>8</v>
          </cell>
          <cell r="I21" t="str">
            <v>Flat</v>
          </cell>
          <cell r="J21">
            <v>0.44</v>
          </cell>
          <cell r="K21">
            <v>0.4</v>
          </cell>
          <cell r="L21">
            <v>0.46</v>
          </cell>
          <cell r="N21">
            <v>0.54</v>
          </cell>
          <cell r="O21">
            <v>0.44</v>
          </cell>
          <cell r="P21">
            <v>0.42</v>
          </cell>
          <cell r="R21">
            <v>0.46</v>
          </cell>
          <cell r="S21">
            <v>0.44</v>
          </cell>
          <cell r="T21">
            <v>0.44</v>
          </cell>
        </row>
        <row r="22">
          <cell r="A22" t="str">
            <v>Up 1-10%</v>
          </cell>
          <cell r="B22">
            <v>14</v>
          </cell>
          <cell r="I22" t="str">
            <v>Down</v>
          </cell>
          <cell r="J22">
            <v>0.06</v>
          </cell>
          <cell r="K22">
            <v>0.06</v>
          </cell>
          <cell r="L22">
            <v>0.12</v>
          </cell>
          <cell r="N22">
            <v>0.06</v>
          </cell>
          <cell r="O22">
            <v>0.04</v>
          </cell>
          <cell r="P22">
            <v>0.18</v>
          </cell>
          <cell r="R22">
            <v>0.06</v>
          </cell>
          <cell r="S22">
            <v>0.04</v>
          </cell>
          <cell r="T22">
            <v>0.12</v>
          </cell>
        </row>
        <row r="23">
          <cell r="A23" t="str">
            <v>Flat</v>
          </cell>
          <cell r="B23">
            <v>22</v>
          </cell>
        </row>
        <row r="24">
          <cell r="A24" t="str">
            <v>Down 1-10%</v>
          </cell>
          <cell r="B24">
            <v>5</v>
          </cell>
        </row>
        <row r="25">
          <cell r="A25" t="str">
            <v>Down 11-20%</v>
          </cell>
          <cell r="B25">
            <v>1</v>
          </cell>
        </row>
        <row r="26">
          <cell r="A26" t="str">
            <v>Grand Total</v>
          </cell>
          <cell r="B26">
            <v>50</v>
          </cell>
        </row>
      </sheetData>
      <sheetData sheetId="1"/>
      <sheetData sheetId="2">
        <row r="1">
          <cell r="A1" t="str">
            <v>Morgan Stanley Hardware Survey - March 2011</v>
          </cell>
        </row>
        <row r="3">
          <cell r="A3" t="str">
            <v>3. As a result of deploying desktop virtualization over the next 12 months, how much do you</v>
          </cell>
        </row>
        <row r="4">
          <cell r="A4" t="str">
            <v xml:space="preserve"> expect your PC, Server, Storage, and Networking spend to change?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3 PCs</v>
          </cell>
          <cell r="E9" t="str">
            <v>Count of 3 Servers</v>
          </cell>
          <cell r="J9" t="str">
            <v>PCs</v>
          </cell>
          <cell r="K9" t="str">
            <v>Servers</v>
          </cell>
          <cell r="L9" t="str">
            <v>Storage</v>
          </cell>
          <cell r="M9" t="str">
            <v>Networking</v>
          </cell>
        </row>
        <row r="10">
          <cell r="A10" t="str">
            <v>3 PCs</v>
          </cell>
          <cell r="B10" t="str">
            <v>Total</v>
          </cell>
          <cell r="E10" t="str">
            <v>3 Servers</v>
          </cell>
          <cell r="F10" t="str">
            <v>Total</v>
          </cell>
          <cell r="I10" t="str">
            <v>Up 11-20%</v>
          </cell>
          <cell r="K10">
            <v>3</v>
          </cell>
          <cell r="L10">
            <v>6</v>
          </cell>
          <cell r="M10">
            <v>3</v>
          </cell>
        </row>
        <row r="11">
          <cell r="A11" t="str">
            <v>Up 1-10%</v>
          </cell>
          <cell r="B11">
            <v>9</v>
          </cell>
          <cell r="E11" t="str">
            <v>Up 11-20%</v>
          </cell>
          <cell r="F11">
            <v>3</v>
          </cell>
          <cell r="I11" t="str">
            <v>Up 1-10%</v>
          </cell>
          <cell r="J11">
            <v>9</v>
          </cell>
          <cell r="K11">
            <v>13</v>
          </cell>
          <cell r="L11">
            <v>12</v>
          </cell>
          <cell r="M11">
            <v>7</v>
          </cell>
        </row>
        <row r="12">
          <cell r="A12" t="str">
            <v>Flat</v>
          </cell>
          <cell r="B12">
            <v>24</v>
          </cell>
          <cell r="E12" t="str">
            <v>Up 1-10%</v>
          </cell>
          <cell r="F12">
            <v>13</v>
          </cell>
          <cell r="I12" t="str">
            <v>Flat</v>
          </cell>
          <cell r="J12">
            <v>24</v>
          </cell>
          <cell r="K12">
            <v>20</v>
          </cell>
          <cell r="L12">
            <v>21</v>
          </cell>
          <cell r="M12">
            <v>32</v>
          </cell>
        </row>
        <row r="13">
          <cell r="A13" t="str">
            <v>Down 1-10%</v>
          </cell>
          <cell r="B13">
            <v>9</v>
          </cell>
          <cell r="E13" t="str">
            <v>Flat</v>
          </cell>
          <cell r="F13">
            <v>20</v>
          </cell>
          <cell r="I13" t="str">
            <v>Down 1-10%</v>
          </cell>
          <cell r="J13">
            <v>9</v>
          </cell>
          <cell r="K13">
            <v>11</v>
          </cell>
          <cell r="L13">
            <v>8</v>
          </cell>
          <cell r="M13">
            <v>5</v>
          </cell>
        </row>
        <row r="14">
          <cell r="A14" t="str">
            <v>Down 11-20%</v>
          </cell>
          <cell r="B14">
            <v>6</v>
          </cell>
          <cell r="E14" t="str">
            <v>Down 1-10%</v>
          </cell>
          <cell r="F14">
            <v>11</v>
          </cell>
          <cell r="I14" t="str">
            <v>Down 11-20%</v>
          </cell>
          <cell r="J14">
            <v>6</v>
          </cell>
          <cell r="K14">
            <v>2</v>
          </cell>
          <cell r="L14">
            <v>2</v>
          </cell>
          <cell r="M14">
            <v>1</v>
          </cell>
        </row>
        <row r="15">
          <cell r="A15" t="str">
            <v>Down 21-30%</v>
          </cell>
          <cell r="B15">
            <v>1</v>
          </cell>
          <cell r="E15" t="str">
            <v>Down 11-20%</v>
          </cell>
          <cell r="F15">
            <v>2</v>
          </cell>
          <cell r="I15" t="str">
            <v>Down 21-30%</v>
          </cell>
          <cell r="J15">
            <v>1</v>
          </cell>
          <cell r="M15">
            <v>1</v>
          </cell>
        </row>
        <row r="16">
          <cell r="A16" t="str">
            <v>NA / Unsure</v>
          </cell>
          <cell r="B16">
            <v>1</v>
          </cell>
          <cell r="E16" t="str">
            <v>NA / Unsure</v>
          </cell>
          <cell r="F16">
            <v>1</v>
          </cell>
          <cell r="I16" t="str">
            <v>NA / Unsure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</row>
        <row r="17">
          <cell r="A17" t="str">
            <v>Grand Total</v>
          </cell>
          <cell r="B17">
            <v>50</v>
          </cell>
          <cell r="E17" t="str">
            <v>Grand Total</v>
          </cell>
          <cell r="F17">
            <v>50</v>
          </cell>
        </row>
        <row r="18">
          <cell r="J18" t="str">
            <v>PCs</v>
          </cell>
          <cell r="K18" t="str">
            <v>Servers</v>
          </cell>
          <cell r="L18" t="str">
            <v>Networking</v>
          </cell>
        </row>
        <row r="19">
          <cell r="A19" t="str">
            <v>Industry</v>
          </cell>
          <cell r="B19" t="str">
            <v>(All)</v>
          </cell>
          <cell r="E19" t="str">
            <v>Industry</v>
          </cell>
          <cell r="F19" t="str">
            <v>(All)</v>
          </cell>
          <cell r="I19" t="str">
            <v>Up</v>
          </cell>
          <cell r="J19">
            <v>0.18367346938775511</v>
          </cell>
          <cell r="K19">
            <v>0.32653061224489793</v>
          </cell>
          <cell r="L19">
            <v>0.20408163265306123</v>
          </cell>
        </row>
        <row r="20">
          <cell r="A20" t="str">
            <v>Revenue</v>
          </cell>
          <cell r="B20" t="str">
            <v>(All)</v>
          </cell>
          <cell r="E20" t="str">
            <v>Revenue</v>
          </cell>
          <cell r="F20" t="str">
            <v>(All)</v>
          </cell>
          <cell r="I20" t="str">
            <v>Flat</v>
          </cell>
          <cell r="J20">
            <v>0.48979591836734693</v>
          </cell>
          <cell r="K20">
            <v>0.40816326530612246</v>
          </cell>
          <cell r="L20">
            <v>0.65306122448979587</v>
          </cell>
        </row>
        <row r="21">
          <cell r="I21" t="str">
            <v>Down</v>
          </cell>
          <cell r="J21">
            <v>-0.32653061224489793</v>
          </cell>
          <cell r="K21">
            <v>-0.26530612244897961</v>
          </cell>
          <cell r="L21">
            <v>-0.14285714285714285</v>
          </cell>
        </row>
        <row r="22">
          <cell r="A22" t="str">
            <v>Count of 3 Storage</v>
          </cell>
          <cell r="E22" t="str">
            <v>Count of 3 Networking</v>
          </cell>
        </row>
        <row r="23">
          <cell r="A23" t="str">
            <v>3 Storage</v>
          </cell>
          <cell r="B23" t="str">
            <v>Total</v>
          </cell>
          <cell r="E23" t="str">
            <v>3 Networking</v>
          </cell>
          <cell r="F23" t="str">
            <v>Total</v>
          </cell>
          <cell r="I23" t="str">
            <v>Up / Down</v>
          </cell>
        </row>
        <row r="24">
          <cell r="A24" t="str">
            <v>Up 11-20%</v>
          </cell>
          <cell r="B24">
            <v>6</v>
          </cell>
          <cell r="E24" t="str">
            <v>Up 11-20%</v>
          </cell>
          <cell r="F24">
            <v>3</v>
          </cell>
          <cell r="I24" t="str">
            <v>Oct 10 Survey</v>
          </cell>
          <cell r="J24">
            <v>0.35714285714285715</v>
          </cell>
          <cell r="K24">
            <v>1.4285714285714286</v>
          </cell>
          <cell r="L24">
            <v>3.2</v>
          </cell>
        </row>
        <row r="25">
          <cell r="A25" t="str">
            <v>Up 1-10%</v>
          </cell>
          <cell r="B25">
            <v>12</v>
          </cell>
          <cell r="E25" t="str">
            <v>Up 1-10%</v>
          </cell>
          <cell r="F25">
            <v>7</v>
          </cell>
          <cell r="I25" t="str">
            <v>Jan 11 Survey</v>
          </cell>
          <cell r="J25">
            <v>0.46666666666666662</v>
          </cell>
          <cell r="K25">
            <v>1</v>
          </cell>
          <cell r="L25">
            <v>1.6666666666666665</v>
          </cell>
        </row>
        <row r="26">
          <cell r="A26" t="str">
            <v>Flat</v>
          </cell>
          <cell r="B26">
            <v>21</v>
          </cell>
          <cell r="E26" t="str">
            <v>Flat</v>
          </cell>
          <cell r="F26">
            <v>32</v>
          </cell>
          <cell r="I26" t="str">
            <v>Apr 11 Survey</v>
          </cell>
          <cell r="J26">
            <v>0.56250000000000011</v>
          </cell>
          <cell r="K26">
            <v>1.2307692307692306</v>
          </cell>
          <cell r="L26">
            <v>1.4285714285714286</v>
          </cell>
        </row>
        <row r="27">
          <cell r="A27" t="str">
            <v>Down 1-10%</v>
          </cell>
          <cell r="B27">
            <v>8</v>
          </cell>
          <cell r="E27" t="str">
            <v>Down 1-10%</v>
          </cell>
          <cell r="F27">
            <v>5</v>
          </cell>
        </row>
        <row r="28">
          <cell r="A28" t="str">
            <v>Down 11-20%</v>
          </cell>
          <cell r="B28">
            <v>2</v>
          </cell>
          <cell r="E28" t="str">
            <v>Down 11-20%</v>
          </cell>
          <cell r="F28">
            <v>1</v>
          </cell>
          <cell r="I28" t="str">
            <v>Net Up</v>
          </cell>
        </row>
        <row r="29">
          <cell r="A29" t="str">
            <v>NA / Unsure</v>
          </cell>
          <cell r="B29">
            <v>1</v>
          </cell>
          <cell r="E29" t="str">
            <v>Down 21-30%</v>
          </cell>
          <cell r="F29">
            <v>1</v>
          </cell>
          <cell r="I29" t="str">
            <v>Oct 10 Survey</v>
          </cell>
          <cell r="J29">
            <v>-0.23684210526315788</v>
          </cell>
          <cell r="K29">
            <v>7.4999999999999997E-2</v>
          </cell>
          <cell r="L29">
            <v>0.29729729729729731</v>
          </cell>
        </row>
        <row r="30">
          <cell r="A30" t="str">
            <v>Grand Total</v>
          </cell>
          <cell r="B30">
            <v>50</v>
          </cell>
          <cell r="E30" t="str">
            <v>NA / Unsure</v>
          </cell>
          <cell r="F30">
            <v>1</v>
          </cell>
          <cell r="I30" t="str">
            <v>Jan 11 Survey</v>
          </cell>
          <cell r="J30">
            <v>-0.19047619047619049</v>
          </cell>
          <cell r="K30">
            <v>0</v>
          </cell>
          <cell r="L30">
            <v>0.13953488372093023</v>
          </cell>
        </row>
        <row r="31">
          <cell r="E31" t="str">
            <v>Grand Total</v>
          </cell>
          <cell r="F31">
            <v>50</v>
          </cell>
          <cell r="I31" t="str">
            <v>Apr 11 Survey</v>
          </cell>
          <cell r="J31">
            <v>-0.14285714285714282</v>
          </cell>
          <cell r="K31">
            <v>6.1224489795918324E-2</v>
          </cell>
          <cell r="L31">
            <v>6.122448979591838E-2</v>
          </cell>
        </row>
      </sheetData>
      <sheetData sheetId="3">
        <row r="1">
          <cell r="A1" t="str">
            <v>Morgan Stanley Hardware Survey - March 2011</v>
          </cell>
        </row>
        <row r="3">
          <cell r="A3" t="str">
            <v>4. Do you currently purchase tablets for corporate use? Do you allow employee owned tablets</v>
          </cell>
        </row>
        <row r="4">
          <cell r="A4" t="str">
            <v xml:space="preserve"> to access the company network?  What are your plans one year from now?</v>
          </cell>
        </row>
        <row r="5">
          <cell r="H5" t="str">
            <v>Currently</v>
          </cell>
          <cell r="J5" t="str">
            <v>In 1 Year</v>
          </cell>
        </row>
        <row r="6">
          <cell r="E6" t="str">
            <v>Currently</v>
          </cell>
          <cell r="F6" t="str">
            <v>In 1 Year</v>
          </cell>
          <cell r="H6" t="str">
            <v>Jan 11 Survey</v>
          </cell>
          <cell r="I6" t="str">
            <v>Apr 11 Survey</v>
          </cell>
          <cell r="J6" t="str">
            <v>Jan 11 Survey</v>
          </cell>
          <cell r="K6" t="str">
            <v>Apr 11 Survey</v>
          </cell>
        </row>
        <row r="7">
          <cell r="A7" t="str">
            <v>Purchase for Employees</v>
          </cell>
          <cell r="E7">
            <v>17</v>
          </cell>
          <cell r="F7">
            <v>26</v>
          </cell>
          <cell r="H7">
            <v>0.21153846153846154</v>
          </cell>
          <cell r="I7">
            <v>0.31481481481481483</v>
          </cell>
          <cell r="J7">
            <v>0.50877192982456143</v>
          </cell>
          <cell r="K7">
            <v>0.4642857142857143</v>
          </cell>
        </row>
        <row r="8">
          <cell r="A8" t="str">
            <v>Allow  Employee Owned Tablet on Network</v>
          </cell>
          <cell r="E8">
            <v>16</v>
          </cell>
          <cell r="F8">
            <v>18</v>
          </cell>
          <cell r="H8">
            <v>7.6923076923076927E-2</v>
          </cell>
          <cell r="I8">
            <v>0.29629629629629628</v>
          </cell>
          <cell r="J8">
            <v>0.15789473684210525</v>
          </cell>
          <cell r="K8">
            <v>0.32142857142857145</v>
          </cell>
        </row>
        <row r="9">
          <cell r="A9" t="str">
            <v>Do Not Allow and Do Not Purchase</v>
          </cell>
          <cell r="E9">
            <v>21</v>
          </cell>
          <cell r="F9">
            <v>12</v>
          </cell>
          <cell r="H9">
            <v>0.71153846153846156</v>
          </cell>
          <cell r="I9">
            <v>0.3888888888888889</v>
          </cell>
          <cell r="J9">
            <v>0.33333333333333331</v>
          </cell>
          <cell r="K9">
            <v>0.21428571428571427</v>
          </cell>
        </row>
        <row r="10">
          <cell r="D10" t="str">
            <v>count</v>
          </cell>
          <cell r="E10">
            <v>54</v>
          </cell>
          <cell r="F10">
            <v>56</v>
          </cell>
        </row>
        <row r="12">
          <cell r="A12" t="str">
            <v>Industry</v>
          </cell>
          <cell r="B12" t="str">
            <v>(All)</v>
          </cell>
          <cell r="E12" t="str">
            <v>Industry</v>
          </cell>
          <cell r="F12" t="str">
            <v>(All)</v>
          </cell>
        </row>
        <row r="13">
          <cell r="A13" t="str">
            <v>Revenue</v>
          </cell>
          <cell r="B13" t="str">
            <v>(All)</v>
          </cell>
          <cell r="E13" t="str">
            <v>Revenue</v>
          </cell>
          <cell r="F13" t="str">
            <v>(All)</v>
          </cell>
        </row>
        <row r="15">
          <cell r="A15" t="str">
            <v>Count of 4 Current # of tablets</v>
          </cell>
          <cell r="E15" t="str">
            <v>Count of 4 In 1 Year # of tablets</v>
          </cell>
        </row>
        <row r="16">
          <cell r="A16" t="str">
            <v>4 Current # of tablets</v>
          </cell>
          <cell r="B16" t="str">
            <v>Total</v>
          </cell>
          <cell r="E16" t="str">
            <v>4 In 1 Year # of tablets</v>
          </cell>
          <cell r="F16" t="str">
            <v>Total</v>
          </cell>
        </row>
        <row r="17">
          <cell r="A17" t="str">
            <v>200+</v>
          </cell>
          <cell r="B17">
            <v>1</v>
          </cell>
          <cell r="E17" t="str">
            <v>200+</v>
          </cell>
          <cell r="F17">
            <v>1</v>
          </cell>
        </row>
        <row r="18">
          <cell r="A18">
            <v>100</v>
          </cell>
          <cell r="B18">
            <v>1</v>
          </cell>
          <cell r="E18">
            <v>200</v>
          </cell>
          <cell r="F18">
            <v>1</v>
          </cell>
        </row>
        <row r="19">
          <cell r="A19">
            <v>25</v>
          </cell>
          <cell r="B19">
            <v>1</v>
          </cell>
          <cell r="E19">
            <v>150</v>
          </cell>
          <cell r="F19">
            <v>1</v>
          </cell>
        </row>
        <row r="20">
          <cell r="A20">
            <v>10</v>
          </cell>
          <cell r="B20">
            <v>3</v>
          </cell>
          <cell r="E20">
            <v>75</v>
          </cell>
          <cell r="F20">
            <v>1</v>
          </cell>
        </row>
        <row r="21">
          <cell r="A21">
            <v>9</v>
          </cell>
          <cell r="B21">
            <v>1</v>
          </cell>
          <cell r="E21">
            <v>70</v>
          </cell>
          <cell r="F21">
            <v>1</v>
          </cell>
        </row>
        <row r="22">
          <cell r="A22" t="str">
            <v>&lt;5</v>
          </cell>
          <cell r="B22">
            <v>1</v>
          </cell>
          <cell r="E22">
            <v>50</v>
          </cell>
          <cell r="F22">
            <v>2</v>
          </cell>
        </row>
        <row r="23">
          <cell r="A23">
            <v>3</v>
          </cell>
          <cell r="B23">
            <v>1</v>
          </cell>
          <cell r="E23">
            <v>35</v>
          </cell>
          <cell r="F23">
            <v>2</v>
          </cell>
        </row>
        <row r="24">
          <cell r="A24" t="str">
            <v>Grand Total</v>
          </cell>
          <cell r="B24">
            <v>9</v>
          </cell>
          <cell r="E24">
            <v>25</v>
          </cell>
          <cell r="F24">
            <v>1</v>
          </cell>
        </row>
        <row r="25">
          <cell r="E25">
            <v>15</v>
          </cell>
          <cell r="F25">
            <v>1</v>
          </cell>
        </row>
        <row r="26">
          <cell r="E26" t="str">
            <v>&lt;10</v>
          </cell>
          <cell r="F26">
            <v>1</v>
          </cell>
        </row>
        <row r="27">
          <cell r="E27" t="str">
            <v>Grand Total</v>
          </cell>
          <cell r="F27">
            <v>12</v>
          </cell>
        </row>
      </sheetData>
      <sheetData sheetId="4"/>
      <sheetData sheetId="5">
        <row r="1">
          <cell r="A1" t="str">
            <v>Morgan Stanley Hardware Survey - March 2011</v>
          </cell>
        </row>
        <row r="3">
          <cell r="A3" t="str">
            <v>6.  Over the next twelve months, what are your Server spending plans as it relates to specific</v>
          </cell>
        </row>
        <row r="4">
          <cell r="A4" t="str">
            <v xml:space="preserve"> vendors?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6 Dell</v>
          </cell>
          <cell r="E9" t="str">
            <v>Count of 6 HP</v>
          </cell>
        </row>
        <row r="10">
          <cell r="A10" t="str">
            <v>6 Dell</v>
          </cell>
          <cell r="B10" t="str">
            <v>Total</v>
          </cell>
          <cell r="E10" t="str">
            <v>6 HP</v>
          </cell>
          <cell r="F10" t="str">
            <v>Total</v>
          </cell>
          <cell r="J10" t="str">
            <v>Dell</v>
          </cell>
          <cell r="K10" t="str">
            <v>HP</v>
          </cell>
          <cell r="L10" t="str">
            <v>IBM</v>
          </cell>
          <cell r="M10" t="str">
            <v>ORCL</v>
          </cell>
          <cell r="N10" t="str">
            <v>CSCO</v>
          </cell>
          <cell r="P10" t="str">
            <v>Dell</v>
          </cell>
          <cell r="Q10" t="str">
            <v>HP</v>
          </cell>
          <cell r="R10" t="str">
            <v>IBM</v>
          </cell>
          <cell r="S10" t="str">
            <v>ORCL</v>
          </cell>
          <cell r="T10" t="str">
            <v>CSCO</v>
          </cell>
        </row>
        <row r="11">
          <cell r="A11" t="str">
            <v>Increase</v>
          </cell>
          <cell r="B11">
            <v>14</v>
          </cell>
          <cell r="E11" t="str">
            <v>Increase</v>
          </cell>
          <cell r="F11">
            <v>11</v>
          </cell>
          <cell r="I11" t="str">
            <v>Increase</v>
          </cell>
          <cell r="J11">
            <v>14</v>
          </cell>
          <cell r="K11">
            <v>11</v>
          </cell>
          <cell r="L11">
            <v>11</v>
          </cell>
          <cell r="M11">
            <v>6</v>
          </cell>
          <cell r="N11">
            <v>4</v>
          </cell>
          <cell r="P11">
            <v>0.36842105263157893</v>
          </cell>
          <cell r="Q11">
            <v>0.29729729729729731</v>
          </cell>
          <cell r="R11">
            <v>0.28205128205128205</v>
          </cell>
          <cell r="S11">
            <v>0.20689655172413793</v>
          </cell>
          <cell r="T11">
            <v>0.2</v>
          </cell>
        </row>
        <row r="12">
          <cell r="A12" t="str">
            <v>Flat</v>
          </cell>
          <cell r="B12">
            <v>19</v>
          </cell>
          <cell r="E12" t="str">
            <v>Flat</v>
          </cell>
          <cell r="F12">
            <v>20</v>
          </cell>
          <cell r="I12" t="str">
            <v>Flat</v>
          </cell>
          <cell r="J12">
            <v>19</v>
          </cell>
          <cell r="K12">
            <v>20</v>
          </cell>
          <cell r="L12">
            <v>23</v>
          </cell>
          <cell r="M12">
            <v>20</v>
          </cell>
          <cell r="N12">
            <v>14</v>
          </cell>
          <cell r="P12">
            <v>0.5</v>
          </cell>
          <cell r="Q12">
            <v>0.54054054054054057</v>
          </cell>
          <cell r="R12">
            <v>0.58974358974358976</v>
          </cell>
          <cell r="S12">
            <v>0.68965517241379315</v>
          </cell>
          <cell r="T12">
            <v>0.7</v>
          </cell>
        </row>
        <row r="13">
          <cell r="A13" t="str">
            <v>Decrease</v>
          </cell>
          <cell r="B13">
            <v>5</v>
          </cell>
          <cell r="E13" t="str">
            <v>Decrease</v>
          </cell>
          <cell r="F13">
            <v>6</v>
          </cell>
          <cell r="I13" t="str">
            <v>Decrease</v>
          </cell>
          <cell r="J13">
            <v>5</v>
          </cell>
          <cell r="K13">
            <v>6</v>
          </cell>
          <cell r="L13">
            <v>5</v>
          </cell>
          <cell r="M13">
            <v>3</v>
          </cell>
          <cell r="N13">
            <v>2</v>
          </cell>
          <cell r="P13">
            <v>-0.13157894736842105</v>
          </cell>
          <cell r="Q13">
            <v>-0.16216216216216217</v>
          </cell>
          <cell r="R13">
            <v>-0.12820512820512819</v>
          </cell>
          <cell r="S13">
            <v>-0.10344827586206896</v>
          </cell>
          <cell r="T13">
            <v>-0.1</v>
          </cell>
        </row>
        <row r="14">
          <cell r="A14" t="str">
            <v>Don't Use</v>
          </cell>
          <cell r="B14">
            <v>12</v>
          </cell>
          <cell r="E14" t="str">
            <v>Don't Use</v>
          </cell>
          <cell r="F14">
            <v>13</v>
          </cell>
          <cell r="I14" t="str">
            <v>Don't Use</v>
          </cell>
          <cell r="J14">
            <v>12</v>
          </cell>
          <cell r="K14">
            <v>13</v>
          </cell>
          <cell r="L14">
            <v>11</v>
          </cell>
          <cell r="M14">
            <v>21</v>
          </cell>
          <cell r="N14">
            <v>30</v>
          </cell>
          <cell r="P14">
            <v>0.23684210526315788</v>
          </cell>
          <cell r="Q14">
            <v>0.13513513513513514</v>
          </cell>
          <cell r="R14">
            <v>0.15384615384615385</v>
          </cell>
          <cell r="S14">
            <v>0.10344827586206896</v>
          </cell>
          <cell r="T14">
            <v>0.1</v>
          </cell>
        </row>
        <row r="15">
          <cell r="A15" t="str">
            <v>Grand Total</v>
          </cell>
          <cell r="B15">
            <v>50</v>
          </cell>
          <cell r="E15" t="str">
            <v>Grand Total</v>
          </cell>
          <cell r="F15">
            <v>50</v>
          </cell>
        </row>
        <row r="16">
          <cell r="K16" t="str">
            <v>DELL</v>
          </cell>
          <cell r="Q16" t="str">
            <v>IBM</v>
          </cell>
          <cell r="W16" t="str">
            <v>HP</v>
          </cell>
          <cell r="AC16" t="str">
            <v>ORCL</v>
          </cell>
          <cell r="AI16" t="str">
            <v>CSCO</v>
          </cell>
        </row>
        <row r="17">
          <cell r="A17" t="str">
            <v>Industry</v>
          </cell>
          <cell r="B17" t="str">
            <v>(All)</v>
          </cell>
          <cell r="E17" t="str">
            <v>Industry</v>
          </cell>
          <cell r="F17" t="str">
            <v>(All)</v>
          </cell>
          <cell r="I17" t="str">
            <v>Increase</v>
          </cell>
          <cell r="J17">
            <v>0.26363636363636361</v>
          </cell>
          <cell r="K17">
            <v>0.27884615384615385</v>
          </cell>
          <cell r="L17">
            <v>0.46341463414634149</v>
          </cell>
          <cell r="M17">
            <v>0.4358974358974359</v>
          </cell>
          <cell r="N17">
            <v>0.36842105263157893</v>
          </cell>
          <cell r="P17">
            <v>0.32978723404255317</v>
          </cell>
          <cell r="Q17">
            <v>0.28282828282828282</v>
          </cell>
          <cell r="R17">
            <v>0.24242424242424243</v>
          </cell>
          <cell r="S17">
            <v>0.2</v>
          </cell>
          <cell r="T17">
            <v>0.28205128205128205</v>
          </cell>
          <cell r="V17">
            <v>0.26470588235294118</v>
          </cell>
          <cell r="W17">
            <v>0.26470588235294118</v>
          </cell>
          <cell r="X17">
            <v>0.30555555555555558</v>
          </cell>
          <cell r="Y17">
            <v>0.29729729729729731</v>
          </cell>
          <cell r="Z17">
            <v>0.29729729729729731</v>
          </cell>
          <cell r="AB17">
            <v>0.16981132075471697</v>
          </cell>
          <cell r="AC17">
            <v>0.22950819672131148</v>
          </cell>
          <cell r="AD17">
            <v>0.21739130434782608</v>
          </cell>
          <cell r="AE17">
            <v>0.27272727272727271</v>
          </cell>
          <cell r="AF17">
            <v>0.20689655172413793</v>
          </cell>
          <cell r="AH17">
            <v>0.1891891891891892</v>
          </cell>
          <cell r="AI17">
            <v>0.1951219512195122</v>
          </cell>
          <cell r="AJ17">
            <v>0.14814814814814814</v>
          </cell>
          <cell r="AK17">
            <v>0.15384615384615385</v>
          </cell>
          <cell r="AL17">
            <v>0.2</v>
          </cell>
        </row>
        <row r="18">
          <cell r="A18" t="str">
            <v>Revenue</v>
          </cell>
          <cell r="B18" t="str">
            <v>(All)</v>
          </cell>
          <cell r="E18" t="str">
            <v>Revenue</v>
          </cell>
          <cell r="F18" t="str">
            <v>(All)</v>
          </cell>
          <cell r="I18" t="str">
            <v>Decrease</v>
          </cell>
          <cell r="J18">
            <v>-0.20909090909090908</v>
          </cell>
          <cell r="K18">
            <v>-0.18269230769230768</v>
          </cell>
          <cell r="L18">
            <v>-4.878048780487805E-2</v>
          </cell>
          <cell r="M18">
            <v>-0.102564102564103</v>
          </cell>
          <cell r="N18">
            <v>-0.13157894736842105</v>
          </cell>
          <cell r="P18">
            <v>-0.14893617021276595</v>
          </cell>
          <cell r="Q18">
            <v>-0.17171717171717171</v>
          </cell>
          <cell r="R18">
            <v>-0.18181818181818182</v>
          </cell>
          <cell r="S18">
            <v>-0.2</v>
          </cell>
          <cell r="T18">
            <v>-0.12820512820512819</v>
          </cell>
          <cell r="V18">
            <v>-0.22549019607843138</v>
          </cell>
          <cell r="W18">
            <v>-0.18627450980392157</v>
          </cell>
          <cell r="X18">
            <v>-0.22222222222222221</v>
          </cell>
          <cell r="Y18">
            <v>-0.162162162162162</v>
          </cell>
          <cell r="Z18">
            <v>-0.16216216216216217</v>
          </cell>
          <cell r="AB18">
            <v>-0.24528301886792453</v>
          </cell>
          <cell r="AC18">
            <v>-0.22950819672131148</v>
          </cell>
          <cell r="AD18">
            <v>-0.17391304347826086</v>
          </cell>
          <cell r="AE18">
            <v>-0.13636363636363599</v>
          </cell>
          <cell r="AF18">
            <v>-0.10344827586206896</v>
          </cell>
          <cell r="AH18">
            <v>-1.3513513513513514E-2</v>
          </cell>
          <cell r="AI18">
            <v>-6.097560975609756E-2</v>
          </cell>
          <cell r="AJ18">
            <v>-3.7037037037037035E-2</v>
          </cell>
          <cell r="AK18">
            <v>-7.69230769230769E-2</v>
          </cell>
          <cell r="AL18">
            <v>-0.1</v>
          </cell>
        </row>
        <row r="20">
          <cell r="A20" t="str">
            <v>Count of 6 IBM</v>
          </cell>
          <cell r="E20" t="str">
            <v>Count of 6 Oracle/Sun</v>
          </cell>
        </row>
        <row r="21">
          <cell r="A21" t="str">
            <v>6 IBM</v>
          </cell>
          <cell r="B21" t="str">
            <v>Total</v>
          </cell>
          <cell r="E21" t="str">
            <v>6 Oracle/Sun</v>
          </cell>
          <cell r="F21" t="str">
            <v>Total</v>
          </cell>
        </row>
        <row r="22">
          <cell r="A22" t="str">
            <v>Increase</v>
          </cell>
          <cell r="B22">
            <v>11</v>
          </cell>
          <cell r="E22" t="str">
            <v>Increase</v>
          </cell>
          <cell r="F22">
            <v>6</v>
          </cell>
        </row>
        <row r="23">
          <cell r="A23" t="str">
            <v>Flat</v>
          </cell>
          <cell r="B23">
            <v>23</v>
          </cell>
          <cell r="E23" t="str">
            <v>Flat</v>
          </cell>
          <cell r="F23">
            <v>20</v>
          </cell>
        </row>
        <row r="24">
          <cell r="A24" t="str">
            <v>Decrease</v>
          </cell>
          <cell r="B24">
            <v>5</v>
          </cell>
          <cell r="E24" t="str">
            <v>Decrease</v>
          </cell>
          <cell r="F24">
            <v>3</v>
          </cell>
        </row>
        <row r="25">
          <cell r="A25" t="str">
            <v>Don't Use</v>
          </cell>
          <cell r="B25">
            <v>11</v>
          </cell>
          <cell r="E25" t="str">
            <v>Don't Use</v>
          </cell>
          <cell r="F25">
            <v>21</v>
          </cell>
        </row>
        <row r="26">
          <cell r="A26" t="str">
            <v>Grand Total</v>
          </cell>
          <cell r="B26">
            <v>50</v>
          </cell>
          <cell r="E26" t="str">
            <v>Grand Total</v>
          </cell>
          <cell r="F26">
            <v>50</v>
          </cell>
        </row>
        <row r="28">
          <cell r="A28" t="str">
            <v>Industry</v>
          </cell>
          <cell r="B28" t="str">
            <v>(All)</v>
          </cell>
        </row>
        <row r="29">
          <cell r="A29" t="str">
            <v>Revenue</v>
          </cell>
          <cell r="B29" t="str">
            <v>(All)</v>
          </cell>
        </row>
        <row r="31">
          <cell r="A31" t="str">
            <v>Count of 6 Cisco</v>
          </cell>
        </row>
        <row r="32">
          <cell r="A32" t="str">
            <v>6 Cisco</v>
          </cell>
          <cell r="B32" t="str">
            <v>Total</v>
          </cell>
        </row>
        <row r="33">
          <cell r="A33" t="str">
            <v>Increase</v>
          </cell>
          <cell r="B33">
            <v>4</v>
          </cell>
        </row>
        <row r="34">
          <cell r="A34" t="str">
            <v>Flat</v>
          </cell>
          <cell r="B34">
            <v>14</v>
          </cell>
        </row>
        <row r="35">
          <cell r="A35" t="str">
            <v>Decrease</v>
          </cell>
          <cell r="B35">
            <v>2</v>
          </cell>
        </row>
        <row r="36">
          <cell r="A36" t="str">
            <v>Don't Use</v>
          </cell>
          <cell r="B36">
            <v>30</v>
          </cell>
        </row>
        <row r="37">
          <cell r="A37" t="str">
            <v>Grand Total</v>
          </cell>
          <cell r="B37">
            <v>50</v>
          </cell>
        </row>
      </sheetData>
      <sheetData sheetId="6"/>
      <sheetData sheetId="7">
        <row r="1">
          <cell r="A1" t="str">
            <v>Morgan Stanley Hardware Survey - March 2011</v>
          </cell>
        </row>
        <row r="2">
          <cell r="A2" t="str">
            <v xml:space="preserve"> </v>
          </cell>
        </row>
        <row r="3">
          <cell r="A3" t="str">
            <v>8.  As a result of deploying server virtualization over the next 12 months, how much do you</v>
          </cell>
        </row>
        <row r="4">
          <cell r="A4" t="str">
            <v xml:space="preserve"> expect your Server, Storage, and Networking spend to change?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8 Servers</v>
          </cell>
          <cell r="E9" t="str">
            <v>Count of 8 Storage</v>
          </cell>
          <cell r="J9" t="str">
            <v>Servers</v>
          </cell>
          <cell r="K9" t="str">
            <v>Storage</v>
          </cell>
          <cell r="L9" t="str">
            <v>Networking</v>
          </cell>
        </row>
        <row r="10">
          <cell r="A10" t="str">
            <v>8 Servers</v>
          </cell>
          <cell r="B10" t="str">
            <v>Total</v>
          </cell>
          <cell r="E10" t="str">
            <v>8 Storage</v>
          </cell>
          <cell r="F10" t="str">
            <v>Total</v>
          </cell>
          <cell r="I10" t="str">
            <v>Up 11-20%</v>
          </cell>
          <cell r="J10">
            <v>1</v>
          </cell>
          <cell r="K10">
            <v>4</v>
          </cell>
          <cell r="L10">
            <v>6</v>
          </cell>
        </row>
        <row r="11">
          <cell r="A11" t="str">
            <v>Up 11-20%</v>
          </cell>
          <cell r="B11">
            <v>1</v>
          </cell>
          <cell r="E11" t="str">
            <v>Up 11-20%</v>
          </cell>
          <cell r="F11">
            <v>4</v>
          </cell>
          <cell r="I11" t="str">
            <v>Up 1-10%</v>
          </cell>
          <cell r="J11">
            <v>13</v>
          </cell>
          <cell r="K11">
            <v>16</v>
          </cell>
          <cell r="L11">
            <v>11</v>
          </cell>
        </row>
        <row r="12">
          <cell r="A12" t="str">
            <v>Up 1-10%</v>
          </cell>
          <cell r="B12">
            <v>13</v>
          </cell>
          <cell r="E12" t="str">
            <v>Up 1-10%</v>
          </cell>
          <cell r="F12">
            <v>16</v>
          </cell>
          <cell r="I12" t="str">
            <v>Flat</v>
          </cell>
          <cell r="J12">
            <v>12</v>
          </cell>
          <cell r="K12">
            <v>20</v>
          </cell>
          <cell r="L12">
            <v>25</v>
          </cell>
        </row>
        <row r="13">
          <cell r="A13" t="str">
            <v>Flat</v>
          </cell>
          <cell r="B13">
            <v>12</v>
          </cell>
          <cell r="E13" t="str">
            <v>Flat</v>
          </cell>
          <cell r="F13">
            <v>20</v>
          </cell>
          <cell r="I13" t="str">
            <v>Down 1-10%</v>
          </cell>
          <cell r="J13">
            <v>16</v>
          </cell>
          <cell r="K13">
            <v>7</v>
          </cell>
          <cell r="L13">
            <v>5</v>
          </cell>
        </row>
        <row r="14">
          <cell r="A14" t="str">
            <v>Down 1-10%</v>
          </cell>
          <cell r="B14">
            <v>16</v>
          </cell>
          <cell r="E14" t="str">
            <v>Down 1-10%</v>
          </cell>
          <cell r="F14">
            <v>7</v>
          </cell>
          <cell r="I14" t="str">
            <v>Down 11-20%</v>
          </cell>
          <cell r="J14">
            <v>4</v>
          </cell>
          <cell r="K14">
            <v>1</v>
          </cell>
          <cell r="L14">
            <v>1</v>
          </cell>
        </row>
        <row r="15">
          <cell r="A15" t="str">
            <v>Down 11-20%</v>
          </cell>
          <cell r="B15">
            <v>4</v>
          </cell>
          <cell r="E15" t="str">
            <v>Down 11-20%</v>
          </cell>
          <cell r="F15">
            <v>1</v>
          </cell>
          <cell r="I15" t="str">
            <v>Down 21-30%</v>
          </cell>
          <cell r="J15">
            <v>1</v>
          </cell>
        </row>
        <row r="16">
          <cell r="A16" t="str">
            <v>Down 21-30%</v>
          </cell>
          <cell r="B16">
            <v>1</v>
          </cell>
          <cell r="E16" t="str">
            <v>NA / Unsure</v>
          </cell>
          <cell r="F16">
            <v>2</v>
          </cell>
          <cell r="I16" t="str">
            <v>Down &gt;30%</v>
          </cell>
          <cell r="J16">
            <v>1</v>
          </cell>
        </row>
        <row r="17">
          <cell r="A17" t="str">
            <v>Down &gt;30%</v>
          </cell>
          <cell r="B17">
            <v>1</v>
          </cell>
          <cell r="E17" t="str">
            <v>Grand Total</v>
          </cell>
          <cell r="F17">
            <v>50</v>
          </cell>
          <cell r="I17" t="str">
            <v>NA / Unsure</v>
          </cell>
          <cell r="J17">
            <v>2</v>
          </cell>
          <cell r="K17">
            <v>2</v>
          </cell>
          <cell r="L17">
            <v>2</v>
          </cell>
        </row>
        <row r="18">
          <cell r="A18" t="str">
            <v>NA / Unsure</v>
          </cell>
          <cell r="B18">
            <v>2</v>
          </cell>
        </row>
        <row r="19">
          <cell r="A19" t="str">
            <v>Grand Total</v>
          </cell>
          <cell r="B19">
            <v>50</v>
          </cell>
          <cell r="I19" t="str">
            <v>Up</v>
          </cell>
          <cell r="J19">
            <v>0.29166666666666669</v>
          </cell>
          <cell r="K19">
            <v>0.41666666666666669</v>
          </cell>
          <cell r="L19">
            <v>0.35416666666666669</v>
          </cell>
        </row>
        <row r="20">
          <cell r="I20" t="str">
            <v>Flat</v>
          </cell>
          <cell r="J20">
            <v>0.25</v>
          </cell>
          <cell r="K20">
            <v>0.41666666666666669</v>
          </cell>
          <cell r="L20">
            <v>0.52083333333333337</v>
          </cell>
        </row>
        <row r="21">
          <cell r="A21" t="str">
            <v>Industry</v>
          </cell>
          <cell r="B21" t="str">
            <v>(All)</v>
          </cell>
          <cell r="I21" t="str">
            <v>Down</v>
          </cell>
          <cell r="J21">
            <v>-0.45833333333333331</v>
          </cell>
          <cell r="K21">
            <v>-0.16666666666666666</v>
          </cell>
          <cell r="L21">
            <v>-0.125</v>
          </cell>
        </row>
        <row r="22">
          <cell r="A22" t="str">
            <v>Revenue</v>
          </cell>
          <cell r="B22" t="str">
            <v>(All)</v>
          </cell>
        </row>
        <row r="23">
          <cell r="I23" t="str">
            <v>Up / Down</v>
          </cell>
        </row>
        <row r="24">
          <cell r="A24" t="str">
            <v>Count of 8 Networking</v>
          </cell>
          <cell r="I24" t="str">
            <v>Oct 10 Survey</v>
          </cell>
          <cell r="J24">
            <v>0.4705882352941177</v>
          </cell>
          <cell r="K24">
            <v>1.3333333333333333</v>
          </cell>
          <cell r="L24">
            <v>6.666666666666667</v>
          </cell>
        </row>
        <row r="25">
          <cell r="A25" t="str">
            <v>8 Networking</v>
          </cell>
          <cell r="B25" t="str">
            <v>Total</v>
          </cell>
          <cell r="I25" t="str">
            <v>Jan 11 Survey</v>
          </cell>
          <cell r="J25">
            <v>0.58823529411764675</v>
          </cell>
          <cell r="K25">
            <v>2.2857142857142794</v>
          </cell>
          <cell r="L25">
            <v>2.2222222222222219</v>
          </cell>
        </row>
        <row r="26">
          <cell r="A26" t="str">
            <v>Up 11-20%</v>
          </cell>
          <cell r="B26">
            <v>6</v>
          </cell>
          <cell r="I26" t="str">
            <v>Apr 11 Survey</v>
          </cell>
          <cell r="J26">
            <v>0.63636363636363646</v>
          </cell>
          <cell r="K26">
            <v>2.5000000000000004</v>
          </cell>
          <cell r="L26">
            <v>2.8333333333333335</v>
          </cell>
        </row>
        <row r="27">
          <cell r="A27" t="str">
            <v>Up 1-10%</v>
          </cell>
          <cell r="B27">
            <v>11</v>
          </cell>
        </row>
        <row r="28">
          <cell r="A28" t="str">
            <v>Flat</v>
          </cell>
          <cell r="B28">
            <v>25</v>
          </cell>
          <cell r="I28" t="str">
            <v>Net Up</v>
          </cell>
        </row>
        <row r="29">
          <cell r="A29" t="str">
            <v>Down 1-10%</v>
          </cell>
          <cell r="B29">
            <v>5</v>
          </cell>
          <cell r="I29" t="str">
            <v>Oct 10 Survey</v>
          </cell>
          <cell r="J29">
            <v>-0.21951219512195119</v>
          </cell>
          <cell r="K29">
            <v>8.3333333333333315E-2</v>
          </cell>
          <cell r="L29">
            <v>0.47222222222222227</v>
          </cell>
        </row>
        <row r="30">
          <cell r="A30" t="str">
            <v>Down 11-20%</v>
          </cell>
          <cell r="B30">
            <v>1</v>
          </cell>
          <cell r="I30" t="str">
            <v>Jan 11 Survey</v>
          </cell>
          <cell r="J30">
            <v>-0.15555555555555578</v>
          </cell>
          <cell r="K30">
            <v>0.2</v>
          </cell>
          <cell r="L30">
            <v>0.24444444444444441</v>
          </cell>
        </row>
        <row r="31">
          <cell r="A31" t="str">
            <v>NA / Unsure</v>
          </cell>
          <cell r="B31">
            <v>2</v>
          </cell>
          <cell r="I31" t="str">
            <v>Apr 11 Survey</v>
          </cell>
          <cell r="J31">
            <v>-0.16666666666666663</v>
          </cell>
          <cell r="K31">
            <v>0.25</v>
          </cell>
          <cell r="L31">
            <v>0.22916666666666669</v>
          </cell>
        </row>
        <row r="32">
          <cell r="A32" t="str">
            <v>Grand Total</v>
          </cell>
          <cell r="B32">
            <v>50</v>
          </cell>
        </row>
      </sheetData>
      <sheetData sheetId="8">
        <row r="1">
          <cell r="A1" t="str">
            <v>Morgan Stanley Hardware Survey - March 2011</v>
          </cell>
        </row>
        <row r="2">
          <cell r="A2" t="str">
            <v xml:space="preserve"> </v>
          </cell>
        </row>
        <row r="3">
          <cell r="A3" t="str">
            <v>9.  Over the next twelve months, what are your Storage spending plans as it relates to specific</v>
          </cell>
        </row>
        <row r="4">
          <cell r="A4" t="str">
            <v xml:space="preserve"> vendors?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9 3Par</v>
          </cell>
          <cell r="E9" t="str">
            <v>Count of 9 Compellent</v>
          </cell>
          <cell r="J9" t="str">
            <v>PAR</v>
          </cell>
          <cell r="K9" t="str">
            <v>CML</v>
          </cell>
          <cell r="L9" t="str">
            <v>DELL</v>
          </cell>
          <cell r="M9" t="str">
            <v>EMC</v>
          </cell>
          <cell r="N9" t="str">
            <v>HIT</v>
          </cell>
          <cell r="O9" t="str">
            <v>HP</v>
          </cell>
          <cell r="P9" t="str">
            <v>IBM</v>
          </cell>
          <cell r="Q9" t="str">
            <v>ISLN</v>
          </cell>
          <cell r="R9" t="str">
            <v>NTAP</v>
          </cell>
          <cell r="S9" t="str">
            <v>ORCL</v>
          </cell>
        </row>
        <row r="10">
          <cell r="A10" t="str">
            <v>9 3Par</v>
          </cell>
          <cell r="B10" t="str">
            <v>Total</v>
          </cell>
          <cell r="E10" t="str">
            <v>9 Compellent</v>
          </cell>
          <cell r="F10" t="str">
            <v>Total</v>
          </cell>
          <cell r="I10" t="str">
            <v>Increase</v>
          </cell>
          <cell r="J10">
            <v>4</v>
          </cell>
          <cell r="K10">
            <v>5</v>
          </cell>
          <cell r="L10">
            <v>10</v>
          </cell>
          <cell r="M10">
            <v>15</v>
          </cell>
          <cell r="N10">
            <v>3</v>
          </cell>
          <cell r="O10">
            <v>9</v>
          </cell>
          <cell r="P10">
            <v>4</v>
          </cell>
          <cell r="Q10">
            <v>3</v>
          </cell>
          <cell r="R10">
            <v>9</v>
          </cell>
          <cell r="S10">
            <v>5</v>
          </cell>
        </row>
        <row r="11">
          <cell r="A11" t="str">
            <v>Increase</v>
          </cell>
          <cell r="B11">
            <v>4</v>
          </cell>
          <cell r="E11" t="str">
            <v>Increase</v>
          </cell>
          <cell r="F11">
            <v>5</v>
          </cell>
          <cell r="I11" t="str">
            <v>Flat</v>
          </cell>
          <cell r="J11">
            <v>9</v>
          </cell>
          <cell r="K11">
            <v>9</v>
          </cell>
          <cell r="L11">
            <v>13</v>
          </cell>
          <cell r="M11">
            <v>16</v>
          </cell>
          <cell r="N11">
            <v>6</v>
          </cell>
          <cell r="O11">
            <v>20</v>
          </cell>
          <cell r="P11">
            <v>17</v>
          </cell>
          <cell r="Q11">
            <v>8</v>
          </cell>
          <cell r="R11">
            <v>15</v>
          </cell>
          <cell r="S11">
            <v>6</v>
          </cell>
        </row>
        <row r="12">
          <cell r="A12" t="str">
            <v>Flat</v>
          </cell>
          <cell r="B12">
            <v>9</v>
          </cell>
          <cell r="E12" t="str">
            <v>Flat</v>
          </cell>
          <cell r="F12">
            <v>9</v>
          </cell>
          <cell r="I12" t="str">
            <v>Decrease</v>
          </cell>
          <cell r="J12">
            <v>2</v>
          </cell>
          <cell r="K12">
            <v>3</v>
          </cell>
          <cell r="L12">
            <v>2</v>
          </cell>
          <cell r="M12">
            <v>5</v>
          </cell>
          <cell r="N12">
            <v>39</v>
          </cell>
          <cell r="O12">
            <v>3</v>
          </cell>
          <cell r="P12">
            <v>3</v>
          </cell>
          <cell r="Q12">
            <v>1</v>
          </cell>
          <cell r="R12">
            <v>3</v>
          </cell>
          <cell r="S12">
            <v>5</v>
          </cell>
        </row>
        <row r="13">
          <cell r="A13" t="str">
            <v>Decrease</v>
          </cell>
          <cell r="B13">
            <v>2</v>
          </cell>
          <cell r="E13" t="str">
            <v>Decrease</v>
          </cell>
          <cell r="F13">
            <v>3</v>
          </cell>
          <cell r="I13" t="str">
            <v>Don't Use</v>
          </cell>
          <cell r="J13">
            <v>35</v>
          </cell>
          <cell r="K13">
            <v>33</v>
          </cell>
          <cell r="L13">
            <v>25</v>
          </cell>
          <cell r="M13">
            <v>14</v>
          </cell>
          <cell r="N13">
            <v>2</v>
          </cell>
          <cell r="O13">
            <v>18</v>
          </cell>
          <cell r="P13">
            <v>26</v>
          </cell>
          <cell r="Q13">
            <v>38</v>
          </cell>
          <cell r="R13">
            <v>23</v>
          </cell>
          <cell r="S13">
            <v>34</v>
          </cell>
        </row>
        <row r="14">
          <cell r="A14" t="str">
            <v>Don't Use</v>
          </cell>
          <cell r="B14">
            <v>35</v>
          </cell>
          <cell r="E14" t="str">
            <v>Don't Use</v>
          </cell>
          <cell r="F14">
            <v>33</v>
          </cell>
        </row>
        <row r="15">
          <cell r="A15" t="str">
            <v>Grand Total</v>
          </cell>
          <cell r="B15">
            <v>50</v>
          </cell>
          <cell r="E15" t="str">
            <v>Grand Total</v>
          </cell>
          <cell r="F15">
            <v>50</v>
          </cell>
          <cell r="J15" t="str">
            <v>EMC</v>
          </cell>
          <cell r="K15" t="str">
            <v>DELL</v>
          </cell>
          <cell r="L15" t="str">
            <v>NTAP</v>
          </cell>
          <cell r="M15" t="str">
            <v>HP</v>
          </cell>
          <cell r="N15" t="str">
            <v>IBM</v>
          </cell>
          <cell r="O15" t="str">
            <v>ORCL</v>
          </cell>
          <cell r="P15" t="str">
            <v>Hitachi</v>
          </cell>
        </row>
        <row r="16">
          <cell r="I16" t="str">
            <v>Increase</v>
          </cell>
          <cell r="J16">
            <v>0.375</v>
          </cell>
          <cell r="K16">
            <v>0.35714285714285715</v>
          </cell>
          <cell r="L16">
            <v>0.33333333333333331</v>
          </cell>
          <cell r="M16">
            <v>0.27659574468085107</v>
          </cell>
          <cell r="N16">
            <v>0.16666666666666666</v>
          </cell>
          <cell r="O16">
            <v>0.3125</v>
          </cell>
          <cell r="P16">
            <v>6.25E-2</v>
          </cell>
        </row>
        <row r="17">
          <cell r="A17" t="str">
            <v>Industry</v>
          </cell>
          <cell r="B17" t="str">
            <v>(All)</v>
          </cell>
          <cell r="E17" t="str">
            <v>Industry</v>
          </cell>
          <cell r="F17" t="str">
            <v>(All)</v>
          </cell>
          <cell r="I17" t="str">
            <v>Decrease</v>
          </cell>
          <cell r="J17">
            <v>-0.125</v>
          </cell>
          <cell r="K17">
            <v>-0.11904761904761904</v>
          </cell>
          <cell r="L17">
            <v>-0.1111111111111111</v>
          </cell>
          <cell r="M17">
            <v>-0.10638297872340426</v>
          </cell>
          <cell r="N17">
            <v>-0.125</v>
          </cell>
          <cell r="O17">
            <v>-0.3125</v>
          </cell>
          <cell r="P17">
            <v>-0.8125</v>
          </cell>
        </row>
        <row r="18">
          <cell r="A18" t="str">
            <v>Revenue</v>
          </cell>
          <cell r="B18" t="str">
            <v>(All)</v>
          </cell>
          <cell r="E18" t="str">
            <v>Revenue</v>
          </cell>
          <cell r="F18" t="str">
            <v>(All)</v>
          </cell>
          <cell r="J18">
            <v>0.25</v>
          </cell>
          <cell r="K18">
            <v>0.23809523809523811</v>
          </cell>
          <cell r="L18">
            <v>0.22222222222222221</v>
          </cell>
          <cell r="M18">
            <v>0.17021276595744683</v>
          </cell>
          <cell r="N18">
            <v>4.1666666666666657E-2</v>
          </cell>
          <cell r="O18">
            <v>0</v>
          </cell>
          <cell r="P18">
            <v>-0.75</v>
          </cell>
        </row>
        <row r="20">
          <cell r="A20" t="str">
            <v>Count of 9 Dell</v>
          </cell>
          <cell r="E20" t="str">
            <v>Count of 9 EMC</v>
          </cell>
          <cell r="J20" t="str">
            <v>EMC</v>
          </cell>
          <cell r="N20" t="str">
            <v>DELL</v>
          </cell>
          <cell r="R20" t="str">
            <v>NTAP</v>
          </cell>
          <cell r="V20" t="str">
            <v>HP</v>
          </cell>
          <cell r="Z20" t="str">
            <v>IBM</v>
          </cell>
          <cell r="AD20" t="str">
            <v>ORCL</v>
          </cell>
        </row>
        <row r="21">
          <cell r="A21" t="str">
            <v>9 Dell</v>
          </cell>
          <cell r="B21" t="str">
            <v>Total</v>
          </cell>
          <cell r="E21" t="str">
            <v>9 EMC</v>
          </cell>
          <cell r="F21" t="str">
            <v>Total</v>
          </cell>
          <cell r="I21" t="str">
            <v>Increase</v>
          </cell>
          <cell r="J21">
            <v>0.42499999999999999</v>
          </cell>
          <cell r="K21">
            <v>0.38297872340425532</v>
          </cell>
          <cell r="L21">
            <v>0.375</v>
          </cell>
          <cell r="N21">
            <v>0.3888888888888889</v>
          </cell>
          <cell r="O21">
            <v>0.30952380952380953</v>
          </cell>
          <cell r="P21">
            <v>0.35714285714285715</v>
          </cell>
          <cell r="R21">
            <v>0.42857142857142855</v>
          </cell>
          <cell r="S21">
            <v>0.25714285714285712</v>
          </cell>
          <cell r="T21">
            <v>0.33333333333333331</v>
          </cell>
          <cell r="V21">
            <v>0.23076923076923078</v>
          </cell>
          <cell r="W21">
            <v>0.22222222222222221</v>
          </cell>
          <cell r="X21">
            <v>0.27659574468085107</v>
          </cell>
          <cell r="Z21">
            <v>0.21212121212121213</v>
          </cell>
          <cell r="AA21">
            <v>0.21875</v>
          </cell>
          <cell r="AB21">
            <v>0.16666666666666666</v>
          </cell>
          <cell r="AD21">
            <v>0.29411764705882354</v>
          </cell>
          <cell r="AE21">
            <v>0.28000000000000003</v>
          </cell>
          <cell r="AF21">
            <v>0.3125</v>
          </cell>
        </row>
        <row r="22">
          <cell r="A22" t="str">
            <v>Increase</v>
          </cell>
          <cell r="B22">
            <v>10</v>
          </cell>
          <cell r="E22" t="str">
            <v>Increase</v>
          </cell>
          <cell r="F22">
            <v>15</v>
          </cell>
          <cell r="I22" t="str">
            <v>Decrease</v>
          </cell>
          <cell r="J22">
            <v>-2.5000000000000001E-2</v>
          </cell>
          <cell r="K22">
            <v>-8.5106382978723402E-2</v>
          </cell>
          <cell r="L22">
            <v>-0.125</v>
          </cell>
          <cell r="N22">
            <v>0</v>
          </cell>
          <cell r="O22">
            <v>-4.7619047619047616E-2</v>
          </cell>
          <cell r="P22">
            <v>-0.11904761904761904</v>
          </cell>
          <cell r="R22">
            <v>0</v>
          </cell>
          <cell r="S22">
            <v>-0.11428571428571428</v>
          </cell>
          <cell r="T22">
            <v>-0.1111111111111111</v>
          </cell>
          <cell r="V22">
            <v>-0.17948717948717949</v>
          </cell>
          <cell r="W22">
            <v>-0.1111111111111111</v>
          </cell>
          <cell r="X22">
            <v>-0.10638297872340426</v>
          </cell>
          <cell r="Z22">
            <v>-0.15151515151515152</v>
          </cell>
          <cell r="AA22">
            <v>-0.15625</v>
          </cell>
          <cell r="AB22">
            <v>-0.125</v>
          </cell>
          <cell r="AD22">
            <v>0</v>
          </cell>
          <cell r="AE22">
            <v>-0.16</v>
          </cell>
          <cell r="AF22">
            <v>-0.3125</v>
          </cell>
        </row>
        <row r="23">
          <cell r="A23" t="str">
            <v>Flat</v>
          </cell>
          <cell r="B23">
            <v>13</v>
          </cell>
          <cell r="E23" t="str">
            <v>Flat</v>
          </cell>
          <cell r="F23">
            <v>16</v>
          </cell>
        </row>
        <row r="24">
          <cell r="A24" t="str">
            <v>Decrease</v>
          </cell>
          <cell r="B24">
            <v>2</v>
          </cell>
          <cell r="E24" t="str">
            <v>Decrease</v>
          </cell>
          <cell r="F24">
            <v>5</v>
          </cell>
        </row>
        <row r="25">
          <cell r="A25" t="str">
            <v>Don't Use</v>
          </cell>
          <cell r="B25">
            <v>25</v>
          </cell>
          <cell r="E25" t="str">
            <v>Don't Use</v>
          </cell>
          <cell r="F25">
            <v>14</v>
          </cell>
        </row>
        <row r="26">
          <cell r="A26" t="str">
            <v>Grand Total</v>
          </cell>
          <cell r="B26">
            <v>50</v>
          </cell>
          <cell r="E26" t="str">
            <v>Grand Total</v>
          </cell>
          <cell r="F26">
            <v>50</v>
          </cell>
        </row>
        <row r="28">
          <cell r="A28" t="str">
            <v>Industry</v>
          </cell>
          <cell r="B28" t="str">
            <v>(All)</v>
          </cell>
          <cell r="E28" t="str">
            <v>Industry</v>
          </cell>
          <cell r="F28" t="str">
            <v>(All)</v>
          </cell>
        </row>
        <row r="29">
          <cell r="A29" t="str">
            <v>Revenue</v>
          </cell>
          <cell r="B29" t="str">
            <v>(All)</v>
          </cell>
          <cell r="E29" t="str">
            <v>Revenue</v>
          </cell>
          <cell r="F29" t="str">
            <v>(All)</v>
          </cell>
        </row>
        <row r="31">
          <cell r="A31" t="str">
            <v>Count of 9 Hitachi</v>
          </cell>
          <cell r="E31" t="str">
            <v>Count of 9 HP</v>
          </cell>
        </row>
        <row r="32">
          <cell r="A32" t="str">
            <v>9 Hitachi</v>
          </cell>
          <cell r="B32" t="str">
            <v>Total</v>
          </cell>
          <cell r="E32" t="str">
            <v>9 HP</v>
          </cell>
          <cell r="F32" t="str">
            <v>Total</v>
          </cell>
        </row>
        <row r="33">
          <cell r="A33" t="str">
            <v>Increase</v>
          </cell>
          <cell r="B33">
            <v>3</v>
          </cell>
          <cell r="E33" t="str">
            <v>Increase</v>
          </cell>
          <cell r="F33">
            <v>9</v>
          </cell>
        </row>
        <row r="34">
          <cell r="A34" t="str">
            <v>Flat</v>
          </cell>
          <cell r="B34">
            <v>6</v>
          </cell>
          <cell r="E34" t="str">
            <v>Flat</v>
          </cell>
          <cell r="F34">
            <v>20</v>
          </cell>
        </row>
        <row r="35">
          <cell r="A35" t="str">
            <v>Don't Use</v>
          </cell>
          <cell r="B35">
            <v>39</v>
          </cell>
          <cell r="E35" t="str">
            <v>Decrease</v>
          </cell>
          <cell r="F35">
            <v>3</v>
          </cell>
        </row>
        <row r="36">
          <cell r="A36" t="str">
            <v>Decrease</v>
          </cell>
          <cell r="B36">
            <v>2</v>
          </cell>
          <cell r="E36" t="str">
            <v>Don't Use</v>
          </cell>
          <cell r="F36">
            <v>18</v>
          </cell>
        </row>
        <row r="37">
          <cell r="A37" t="str">
            <v>Grand Total</v>
          </cell>
          <cell r="B37">
            <v>50</v>
          </cell>
          <cell r="E37" t="str">
            <v>Grand Total</v>
          </cell>
          <cell r="F37">
            <v>50</v>
          </cell>
        </row>
        <row r="39">
          <cell r="A39" t="str">
            <v>Industry</v>
          </cell>
          <cell r="B39" t="str">
            <v>(All)</v>
          </cell>
          <cell r="E39" t="str">
            <v>Industry</v>
          </cell>
          <cell r="F39" t="str">
            <v>(All)</v>
          </cell>
        </row>
        <row r="40">
          <cell r="A40" t="str">
            <v>Revenue</v>
          </cell>
          <cell r="B40" t="str">
            <v>(All)</v>
          </cell>
          <cell r="E40" t="str">
            <v>Revenue</v>
          </cell>
          <cell r="F40" t="str">
            <v>(All)</v>
          </cell>
        </row>
        <row r="42">
          <cell r="A42" t="str">
            <v>Count of 9 IBM</v>
          </cell>
          <cell r="E42" t="str">
            <v>Count of 9 Isilon</v>
          </cell>
        </row>
        <row r="43">
          <cell r="A43" t="str">
            <v>9 IBM</v>
          </cell>
          <cell r="B43" t="str">
            <v>Total</v>
          </cell>
          <cell r="E43" t="str">
            <v>9 Isilon</v>
          </cell>
          <cell r="F43" t="str">
            <v>Total</v>
          </cell>
        </row>
        <row r="44">
          <cell r="A44" t="str">
            <v>Increase</v>
          </cell>
          <cell r="B44">
            <v>4</v>
          </cell>
          <cell r="E44" t="str">
            <v>Increase</v>
          </cell>
          <cell r="F44">
            <v>3</v>
          </cell>
        </row>
        <row r="45">
          <cell r="A45" t="str">
            <v>Flat</v>
          </cell>
          <cell r="B45">
            <v>17</v>
          </cell>
          <cell r="E45" t="str">
            <v>Flat</v>
          </cell>
          <cell r="F45">
            <v>8</v>
          </cell>
        </row>
        <row r="46">
          <cell r="A46" t="str">
            <v>Decrease</v>
          </cell>
          <cell r="B46">
            <v>3</v>
          </cell>
          <cell r="E46" t="str">
            <v>Decrease</v>
          </cell>
          <cell r="F46">
            <v>1</v>
          </cell>
        </row>
        <row r="47">
          <cell r="A47" t="str">
            <v>Don't Use</v>
          </cell>
          <cell r="B47">
            <v>26</v>
          </cell>
          <cell r="E47" t="str">
            <v>Don't Use</v>
          </cell>
          <cell r="F47">
            <v>38</v>
          </cell>
        </row>
        <row r="48">
          <cell r="A48" t="str">
            <v>Grand Total</v>
          </cell>
          <cell r="B48">
            <v>50</v>
          </cell>
          <cell r="E48" t="str">
            <v>Grand Total</v>
          </cell>
          <cell r="F48">
            <v>50</v>
          </cell>
        </row>
        <row r="50">
          <cell r="A50" t="str">
            <v>Industry</v>
          </cell>
          <cell r="B50" t="str">
            <v>(All)</v>
          </cell>
          <cell r="E50" t="str">
            <v>Industry</v>
          </cell>
          <cell r="F50" t="str">
            <v>(All)</v>
          </cell>
        </row>
        <row r="51">
          <cell r="A51" t="str">
            <v>Revenue</v>
          </cell>
          <cell r="B51" t="str">
            <v>(All)</v>
          </cell>
          <cell r="E51" t="str">
            <v>Revenue</v>
          </cell>
          <cell r="F51" t="str">
            <v>(All)</v>
          </cell>
        </row>
        <row r="53">
          <cell r="A53" t="str">
            <v>Count of 9 NetApp</v>
          </cell>
          <cell r="E53" t="str">
            <v>Count of 9 Oracle/Sun</v>
          </cell>
        </row>
        <row r="54">
          <cell r="A54" t="str">
            <v>9 NetApp</v>
          </cell>
          <cell r="B54" t="str">
            <v>Total</v>
          </cell>
          <cell r="E54" t="str">
            <v>9 Oracle/Sun</v>
          </cell>
          <cell r="F54" t="str">
            <v>Total</v>
          </cell>
        </row>
        <row r="55">
          <cell r="A55" t="str">
            <v>Increase</v>
          </cell>
          <cell r="B55">
            <v>9</v>
          </cell>
          <cell r="E55" t="str">
            <v>Increase</v>
          </cell>
          <cell r="F55">
            <v>5</v>
          </cell>
        </row>
        <row r="56">
          <cell r="A56" t="str">
            <v>Flat</v>
          </cell>
          <cell r="B56">
            <v>15</v>
          </cell>
          <cell r="E56" t="str">
            <v>Flat</v>
          </cell>
          <cell r="F56">
            <v>6</v>
          </cell>
        </row>
        <row r="57">
          <cell r="A57" t="str">
            <v>Decrease</v>
          </cell>
          <cell r="B57">
            <v>3</v>
          </cell>
          <cell r="E57" t="str">
            <v>Decrease</v>
          </cell>
          <cell r="F57">
            <v>5</v>
          </cell>
        </row>
        <row r="58">
          <cell r="A58" t="str">
            <v>Don't Use</v>
          </cell>
          <cell r="B58">
            <v>23</v>
          </cell>
          <cell r="E58" t="str">
            <v>Don't Use</v>
          </cell>
          <cell r="F58">
            <v>34</v>
          </cell>
        </row>
        <row r="59">
          <cell r="A59" t="str">
            <v>Grand Total</v>
          </cell>
          <cell r="B59">
            <v>50</v>
          </cell>
          <cell r="E59" t="str">
            <v>Grand Total</v>
          </cell>
          <cell r="F59">
            <v>50</v>
          </cell>
        </row>
      </sheetData>
      <sheetData sheetId="9">
        <row r="1">
          <cell r="A1" t="str">
            <v>Morgan Stanley Hardware Survey - March 2011</v>
          </cell>
        </row>
        <row r="3">
          <cell r="A3" t="str">
            <v>10. Have you evaluated EMC’s new storage products?  Please indicate if you are an</v>
          </cell>
        </row>
        <row r="4">
          <cell r="A4" t="str">
            <v xml:space="preserve"> existing EMC customer.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10 EMC Customer</v>
          </cell>
        </row>
        <row r="10">
          <cell r="A10" t="str">
            <v>10 EMC Customer</v>
          </cell>
          <cell r="B10" t="str">
            <v>Total</v>
          </cell>
          <cell r="J10" t="str">
            <v>Use EMC Now?</v>
          </cell>
          <cell r="K10" t="str">
            <v>VNXe</v>
          </cell>
          <cell r="L10" t="str">
            <v>VNX</v>
          </cell>
          <cell r="M10" t="str">
            <v>Isilon</v>
          </cell>
        </row>
        <row r="11">
          <cell r="A11" t="str">
            <v>Yes</v>
          </cell>
          <cell r="B11">
            <v>36</v>
          </cell>
          <cell r="H11" t="str">
            <v>Yes</v>
          </cell>
          <cell r="I11" t="str">
            <v>Intend to evaluate</v>
          </cell>
          <cell r="J11">
            <v>0.72</v>
          </cell>
          <cell r="K11">
            <v>0.08</v>
          </cell>
          <cell r="L11">
            <v>0.08</v>
          </cell>
        </row>
        <row r="12">
          <cell r="A12" t="str">
            <v>No</v>
          </cell>
          <cell r="B12">
            <v>14</v>
          </cell>
          <cell r="H12" t="str">
            <v>No</v>
          </cell>
          <cell r="I12" t="str">
            <v>Evaluated and intend to purchase</v>
          </cell>
          <cell r="J12">
            <v>0.28000000000000003</v>
          </cell>
          <cell r="K12">
            <v>0.02</v>
          </cell>
          <cell r="L12">
            <v>0.06</v>
          </cell>
          <cell r="M12">
            <v>0.04</v>
          </cell>
        </row>
        <row r="13">
          <cell r="A13" t="str">
            <v>Grand Total</v>
          </cell>
          <cell r="B13">
            <v>50</v>
          </cell>
          <cell r="I13" t="str">
            <v>Evaluated, but no decision</v>
          </cell>
          <cell r="K13">
            <v>0.24</v>
          </cell>
          <cell r="L13">
            <v>0.22</v>
          </cell>
          <cell r="M13">
            <v>0.22</v>
          </cell>
        </row>
        <row r="14">
          <cell r="I14" t="str">
            <v>Evaluated, but not interested</v>
          </cell>
          <cell r="K14">
            <v>0.16</v>
          </cell>
          <cell r="L14">
            <v>0.18</v>
          </cell>
          <cell r="M14">
            <v>0.12</v>
          </cell>
        </row>
        <row r="15">
          <cell r="A15" t="str">
            <v>Industry</v>
          </cell>
          <cell r="B15" t="str">
            <v>(All)</v>
          </cell>
          <cell r="E15" t="str">
            <v>Industry</v>
          </cell>
          <cell r="F15" t="str">
            <v>(All)</v>
          </cell>
          <cell r="I15" t="str">
            <v>Have not evaluated</v>
          </cell>
          <cell r="K15">
            <v>0.5</v>
          </cell>
          <cell r="L15">
            <v>0.46</v>
          </cell>
          <cell r="M15">
            <v>0.62</v>
          </cell>
        </row>
        <row r="16">
          <cell r="A16" t="str">
            <v>Revenue</v>
          </cell>
          <cell r="B16" t="str">
            <v>(All)</v>
          </cell>
          <cell r="E16" t="str">
            <v>Revenue</v>
          </cell>
          <cell r="F16" t="str">
            <v>(All)</v>
          </cell>
        </row>
        <row r="18">
          <cell r="A18" t="str">
            <v>Count of 10 VNXe</v>
          </cell>
          <cell r="E18" t="str">
            <v>Count of 10 VNX</v>
          </cell>
        </row>
        <row r="19">
          <cell r="A19" t="str">
            <v>10 VNXe</v>
          </cell>
          <cell r="B19" t="str">
            <v>Total</v>
          </cell>
          <cell r="E19" t="str">
            <v>10 VNX</v>
          </cell>
          <cell r="F19" t="str">
            <v>Total</v>
          </cell>
        </row>
        <row r="20">
          <cell r="A20" t="str">
            <v>Intend to evaluate</v>
          </cell>
          <cell r="B20">
            <v>4</v>
          </cell>
          <cell r="E20" t="str">
            <v>Intend to evaluate</v>
          </cell>
          <cell r="F20">
            <v>4</v>
          </cell>
        </row>
        <row r="21">
          <cell r="A21" t="str">
            <v>Evaluated and intend to purchase</v>
          </cell>
          <cell r="B21">
            <v>1</v>
          </cell>
          <cell r="E21" t="str">
            <v>Evaluated and intend to purchase</v>
          </cell>
          <cell r="F21">
            <v>3</v>
          </cell>
        </row>
        <row r="22">
          <cell r="A22" t="str">
            <v>Evaluated, but no decision</v>
          </cell>
          <cell r="B22">
            <v>12</v>
          </cell>
          <cell r="E22" t="str">
            <v>Evaluated, but no decision</v>
          </cell>
          <cell r="F22">
            <v>11</v>
          </cell>
        </row>
        <row r="23">
          <cell r="A23" t="str">
            <v>Evaluated, but not interested</v>
          </cell>
          <cell r="B23">
            <v>8</v>
          </cell>
          <cell r="E23" t="str">
            <v>Evaluated, but not interested</v>
          </cell>
          <cell r="F23">
            <v>9</v>
          </cell>
        </row>
        <row r="24">
          <cell r="A24" t="str">
            <v>Have not evaluated</v>
          </cell>
          <cell r="B24">
            <v>25</v>
          </cell>
          <cell r="E24" t="str">
            <v>Have not evaluated</v>
          </cell>
          <cell r="F24">
            <v>23</v>
          </cell>
        </row>
        <row r="25">
          <cell r="A25" t="str">
            <v>Grand Total</v>
          </cell>
          <cell r="B25">
            <v>50</v>
          </cell>
          <cell r="E25" t="str">
            <v>Grand Total</v>
          </cell>
          <cell r="F25">
            <v>50</v>
          </cell>
        </row>
        <row r="27">
          <cell r="A27" t="str">
            <v>Industry</v>
          </cell>
          <cell r="B27" t="str">
            <v>(All)</v>
          </cell>
        </row>
        <row r="28">
          <cell r="A28" t="str">
            <v>Revenue</v>
          </cell>
          <cell r="B28" t="str">
            <v>(All)</v>
          </cell>
        </row>
        <row r="30">
          <cell r="A30" t="str">
            <v>Count of 10 Isilon</v>
          </cell>
        </row>
        <row r="31">
          <cell r="A31" t="str">
            <v>10 Isilon</v>
          </cell>
          <cell r="B31" t="str">
            <v>Total</v>
          </cell>
        </row>
        <row r="32">
          <cell r="A32" t="str">
            <v>Evaluated and intend to purchase</v>
          </cell>
          <cell r="B32">
            <v>2</v>
          </cell>
        </row>
        <row r="33">
          <cell r="A33" t="str">
            <v>Evaluated, but no decision</v>
          </cell>
          <cell r="B33">
            <v>11</v>
          </cell>
        </row>
        <row r="34">
          <cell r="A34" t="str">
            <v>Evaluated, but not interested</v>
          </cell>
          <cell r="B34">
            <v>6</v>
          </cell>
        </row>
        <row r="35">
          <cell r="A35" t="str">
            <v>Have not evaluated</v>
          </cell>
          <cell r="B35">
            <v>31</v>
          </cell>
        </row>
        <row r="36">
          <cell r="A36" t="str">
            <v>Grand Total</v>
          </cell>
          <cell r="B36">
            <v>50</v>
          </cell>
        </row>
      </sheetData>
      <sheetData sheetId="10"/>
      <sheetData sheetId="11">
        <row r="1">
          <cell r="A1" t="str">
            <v>Morgan Stanley Hardware Survey - March 2011</v>
          </cell>
        </row>
        <row r="3">
          <cell r="A3" t="str">
            <v>12.  How do you expect your spending on business analytics to change in the next 12 months?</v>
          </cell>
        </row>
        <row r="5">
          <cell r="A5" t="str">
            <v>Industry</v>
          </cell>
          <cell r="B5" t="str">
            <v>(All)</v>
          </cell>
          <cell r="E5" t="str">
            <v>Industry</v>
          </cell>
          <cell r="F5" t="str">
            <v>(All)</v>
          </cell>
        </row>
        <row r="6">
          <cell r="A6" t="str">
            <v>Revenue</v>
          </cell>
          <cell r="B6" t="str">
            <v>(All)</v>
          </cell>
          <cell r="E6" t="str">
            <v>Revenue</v>
          </cell>
          <cell r="F6" t="str">
            <v>(All)</v>
          </cell>
        </row>
        <row r="8">
          <cell r="A8" t="str">
            <v>Count of 12 Performance Management and Analytics Applications (e.g., CRM, SCM, etc)</v>
          </cell>
          <cell r="E8" t="str">
            <v>Count of 12 Business Intelligence Tools (e.g., query, reporting, datamining, etc)</v>
          </cell>
          <cell r="J8" t="str">
            <v>Analytical Applications (CRM, SCM, etc)</v>
          </cell>
          <cell r="K8" t="str">
            <v>BI Tools (query, reporting, datamining, etc)</v>
          </cell>
          <cell r="L8" t="str">
            <v>Data Warehouse / Appliance Platform</v>
          </cell>
        </row>
        <row r="9">
          <cell r="A9" t="str">
            <v>12 Performance Management and Analytics Applications (e.g., CRM, SCM, etc)</v>
          </cell>
          <cell r="B9" t="str">
            <v>Total</v>
          </cell>
          <cell r="E9" t="str">
            <v>12 Business Intelligence Tools (e.g., query, reporting, datamining, etc)</v>
          </cell>
          <cell r="F9" t="str">
            <v>Total</v>
          </cell>
          <cell r="I9" t="str">
            <v>Increase</v>
          </cell>
          <cell r="J9">
            <v>22</v>
          </cell>
          <cell r="K9">
            <v>31</v>
          </cell>
          <cell r="L9">
            <v>21</v>
          </cell>
        </row>
        <row r="10">
          <cell r="A10" t="str">
            <v>Increase</v>
          </cell>
          <cell r="B10">
            <v>22</v>
          </cell>
          <cell r="E10" t="str">
            <v>Increase</v>
          </cell>
          <cell r="F10">
            <v>31</v>
          </cell>
          <cell r="I10" t="str">
            <v>Flat</v>
          </cell>
          <cell r="J10">
            <v>19</v>
          </cell>
          <cell r="K10">
            <v>16</v>
          </cell>
          <cell r="L10">
            <v>24</v>
          </cell>
        </row>
        <row r="11">
          <cell r="A11" t="str">
            <v>Flat</v>
          </cell>
          <cell r="B11">
            <v>19</v>
          </cell>
          <cell r="E11" t="str">
            <v>Flat</v>
          </cell>
          <cell r="F11">
            <v>16</v>
          </cell>
          <cell r="I11" t="str">
            <v>Don't Use</v>
          </cell>
          <cell r="J11">
            <v>9</v>
          </cell>
          <cell r="K11">
            <v>3</v>
          </cell>
          <cell r="L11">
            <v>5</v>
          </cell>
        </row>
        <row r="12">
          <cell r="A12" t="str">
            <v>Don't Use</v>
          </cell>
          <cell r="B12">
            <v>9</v>
          </cell>
          <cell r="E12" t="str">
            <v>Don't Use</v>
          </cell>
          <cell r="F12">
            <v>3</v>
          </cell>
        </row>
        <row r="13">
          <cell r="A13" t="str">
            <v>Grand Total</v>
          </cell>
          <cell r="B13">
            <v>50</v>
          </cell>
          <cell r="E13" t="str">
            <v>Grand Total</v>
          </cell>
          <cell r="F13">
            <v>50</v>
          </cell>
          <cell r="I13" t="str">
            <v>Increase</v>
          </cell>
          <cell r="J13">
            <v>0.53658536585365857</v>
          </cell>
          <cell r="K13">
            <v>0.65957446808510634</v>
          </cell>
          <cell r="L13">
            <v>0.46666666666666667</v>
          </cell>
        </row>
        <row r="15">
          <cell r="A15" t="str">
            <v>Industry</v>
          </cell>
          <cell r="B15" t="str">
            <v>(All)</v>
          </cell>
          <cell r="J15" t="str">
            <v>BI Tools (query, reporting, datamining, etc)</v>
          </cell>
          <cell r="K15" t="str">
            <v>Analytical Applications (CRM, SCM, etc)</v>
          </cell>
          <cell r="L15" t="str">
            <v>Data Warehouse / Appliance Platform</v>
          </cell>
        </row>
        <row r="16">
          <cell r="A16" t="str">
            <v>Revenue</v>
          </cell>
          <cell r="B16" t="str">
            <v>(All)</v>
          </cell>
          <cell r="J16">
            <v>0.65957446808510634</v>
          </cell>
          <cell r="K16">
            <v>0.53658536585365857</v>
          </cell>
          <cell r="L16">
            <v>0.46666666666666667</v>
          </cell>
        </row>
        <row r="18">
          <cell r="A18" t="str">
            <v>Count of 12 Data Warehouse Platform (e.g., data warehouse, data appliance, etc)</v>
          </cell>
        </row>
        <row r="19">
          <cell r="A19" t="str">
            <v>12 Data Warehouse Platform (e.g., data warehouse, data appliance, etc)</v>
          </cell>
          <cell r="B19" t="str">
            <v>Total</v>
          </cell>
        </row>
        <row r="20">
          <cell r="A20" t="str">
            <v>Increase</v>
          </cell>
          <cell r="B20">
            <v>21</v>
          </cell>
        </row>
        <row r="21">
          <cell r="A21" t="str">
            <v>Flat</v>
          </cell>
          <cell r="B21">
            <v>24</v>
          </cell>
        </row>
        <row r="22">
          <cell r="A22" t="str">
            <v>Don't Use</v>
          </cell>
          <cell r="B22">
            <v>5</v>
          </cell>
        </row>
        <row r="23">
          <cell r="A23" t="str">
            <v>Grand Total</v>
          </cell>
          <cell r="B23">
            <v>50</v>
          </cell>
        </row>
      </sheetData>
      <sheetData sheetId="12"/>
      <sheetData sheetId="13">
        <row r="1">
          <cell r="A1" t="str">
            <v>Morgan Stanley Hardware Survey - March 2011</v>
          </cell>
        </row>
        <row r="3">
          <cell r="A3" t="str">
            <v>14.  How have printers and supplies spending per employee trended in the last twelve months?</v>
          </cell>
        </row>
        <row r="4">
          <cell r="A4" t="str">
            <v xml:space="preserve"> How do you expect it to trend per employee in the next twelve months?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  <cell r="I6" t="str">
            <v>Last 12 Months</v>
          </cell>
          <cell r="L6" t="str">
            <v>Next 12 Months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  <cell r="I7" t="str">
            <v>Printers</v>
          </cell>
          <cell r="J7" t="str">
            <v>Supplies</v>
          </cell>
          <cell r="L7" t="str">
            <v>Printers</v>
          </cell>
          <cell r="M7" t="str">
            <v>Supplies</v>
          </cell>
        </row>
        <row r="8">
          <cell r="H8" t="str">
            <v>Increase</v>
          </cell>
          <cell r="I8">
            <v>8</v>
          </cell>
          <cell r="J8">
            <v>8</v>
          </cell>
          <cell r="L8">
            <v>6</v>
          </cell>
          <cell r="M8">
            <v>7</v>
          </cell>
        </row>
        <row r="9">
          <cell r="A9" t="str">
            <v>Count of 14 Printer Spending Last 12 Months</v>
          </cell>
          <cell r="E9" t="str">
            <v>Count of 14 Printer Supplies Spending Last 12 Months</v>
          </cell>
          <cell r="H9" t="str">
            <v>Flat</v>
          </cell>
          <cell r="I9">
            <v>30</v>
          </cell>
          <cell r="J9">
            <v>32</v>
          </cell>
          <cell r="L9">
            <v>35</v>
          </cell>
          <cell r="M9">
            <v>31</v>
          </cell>
        </row>
        <row r="10">
          <cell r="A10" t="str">
            <v>14 Printer Spending Last 12 Months</v>
          </cell>
          <cell r="B10" t="str">
            <v>Total</v>
          </cell>
          <cell r="E10" t="str">
            <v>14 Printer Supplies Spending Last 12 Months</v>
          </cell>
          <cell r="F10" t="str">
            <v>Total</v>
          </cell>
          <cell r="H10" t="str">
            <v>Decrease</v>
          </cell>
          <cell r="I10">
            <v>12</v>
          </cell>
          <cell r="J10">
            <v>10</v>
          </cell>
          <cell r="L10">
            <v>9</v>
          </cell>
          <cell r="M10">
            <v>12</v>
          </cell>
        </row>
        <row r="11">
          <cell r="A11" t="str">
            <v>Increase</v>
          </cell>
          <cell r="B11">
            <v>8</v>
          </cell>
          <cell r="E11" t="str">
            <v>Increase</v>
          </cell>
          <cell r="F11">
            <v>8</v>
          </cell>
        </row>
        <row r="12">
          <cell r="A12" t="str">
            <v>Flat</v>
          </cell>
          <cell r="B12">
            <v>30</v>
          </cell>
          <cell r="E12" t="str">
            <v>Flat</v>
          </cell>
          <cell r="F12">
            <v>32</v>
          </cell>
          <cell r="I12">
            <v>0.16</v>
          </cell>
          <cell r="J12">
            <v>0.16</v>
          </cell>
          <cell r="L12">
            <v>0.12</v>
          </cell>
          <cell r="M12">
            <v>0.14000000000000001</v>
          </cell>
        </row>
        <row r="13">
          <cell r="A13" t="str">
            <v>Decrease</v>
          </cell>
          <cell r="B13">
            <v>12</v>
          </cell>
          <cell r="E13" t="str">
            <v>Decrease</v>
          </cell>
          <cell r="F13">
            <v>10</v>
          </cell>
          <cell r="I13">
            <v>0.6</v>
          </cell>
          <cell r="J13">
            <v>0.64</v>
          </cell>
          <cell r="L13">
            <v>0.7</v>
          </cell>
          <cell r="M13">
            <v>0.62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  <cell r="I14">
            <v>0.24</v>
          </cell>
          <cell r="J14">
            <v>0.2</v>
          </cell>
          <cell r="L14">
            <v>0.18</v>
          </cell>
          <cell r="M14">
            <v>0.24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  <cell r="I16" t="str">
            <v>Oct 09 Survey</v>
          </cell>
          <cell r="J16" t="str">
            <v>Jan 10 Survey</v>
          </cell>
          <cell r="K16" t="str">
            <v>Oct 10 Survey</v>
          </cell>
          <cell r="L16" t="str">
            <v>Jan 11 Survey</v>
          </cell>
          <cell r="M16" t="str">
            <v>Apr 11 Survey</v>
          </cell>
          <cell r="O16" t="str">
            <v>Oct 09 Survey</v>
          </cell>
          <cell r="P16" t="str">
            <v>Jan 10 Survey</v>
          </cell>
          <cell r="Q16" t="str">
            <v>Oct 10 Survey</v>
          </cell>
          <cell r="R16" t="str">
            <v>Jan 11 Survey</v>
          </cell>
          <cell r="S16" t="str">
            <v>Apr 11 Survey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  <cell r="H17" t="str">
            <v>Increase</v>
          </cell>
          <cell r="I17">
            <v>0.11678832116788321</v>
          </cell>
          <cell r="J17">
            <v>7.2992700729927001E-2</v>
          </cell>
          <cell r="K17">
            <v>6.9767441860465115E-2</v>
          </cell>
          <cell r="L17">
            <v>0.1</v>
          </cell>
          <cell r="M17">
            <v>0.12</v>
          </cell>
          <cell r="O17">
            <v>8.9552238805970144E-2</v>
          </cell>
          <cell r="P17">
            <v>0.15217391304347827</v>
          </cell>
          <cell r="Q17">
            <v>0.14893617021276595</v>
          </cell>
          <cell r="R17">
            <v>0.12</v>
          </cell>
          <cell r="S17">
            <v>0.14000000000000001</v>
          </cell>
        </row>
        <row r="18">
          <cell r="H18" t="str">
            <v>Flat</v>
          </cell>
          <cell r="I18">
            <v>0.58394160583941601</v>
          </cell>
          <cell r="J18">
            <v>0.62773722627737227</v>
          </cell>
          <cell r="K18">
            <v>0.67441860465116277</v>
          </cell>
          <cell r="L18">
            <v>0.7</v>
          </cell>
          <cell r="M18">
            <v>0.7</v>
          </cell>
          <cell r="O18">
            <v>0.55223880597014929</v>
          </cell>
          <cell r="P18">
            <v>0.54347826086956519</v>
          </cell>
          <cell r="Q18">
            <v>0.72340425531914898</v>
          </cell>
          <cell r="R18">
            <v>0.57999999999999996</v>
          </cell>
          <cell r="S18">
            <v>0.62</v>
          </cell>
        </row>
        <row r="19">
          <cell r="A19" t="str">
            <v>Count of 14 Printer Spending Next 12 Months</v>
          </cell>
          <cell r="E19" t="str">
            <v>Count of 14 Printer Supplies Spending Next 12 Months</v>
          </cell>
          <cell r="H19" t="str">
            <v>Decrease</v>
          </cell>
          <cell r="I19">
            <v>-0.29927007299270098</v>
          </cell>
          <cell r="J19">
            <v>-0.29927007299270098</v>
          </cell>
          <cell r="K19">
            <v>-0.2558139534883721</v>
          </cell>
          <cell r="L19">
            <v>-0.2</v>
          </cell>
          <cell r="M19">
            <v>-0.18</v>
          </cell>
          <cell r="O19">
            <v>-0.35820895522388102</v>
          </cell>
          <cell r="P19">
            <v>-0.30434782608695699</v>
          </cell>
          <cell r="Q19">
            <v>-0.1276595744680851</v>
          </cell>
          <cell r="R19">
            <v>-0.3</v>
          </cell>
          <cell r="S19">
            <v>-0.24</v>
          </cell>
        </row>
        <row r="20">
          <cell r="A20" t="str">
            <v>14 Printer Spending Next 12 Months</v>
          </cell>
          <cell r="B20" t="str">
            <v>Total</v>
          </cell>
          <cell r="E20" t="str">
            <v>14 Printer Supplies Spending Next 12 Months</v>
          </cell>
          <cell r="F20" t="str">
            <v>Total</v>
          </cell>
        </row>
        <row r="21">
          <cell r="A21" t="str">
            <v>Increase</v>
          </cell>
          <cell r="B21">
            <v>6</v>
          </cell>
          <cell r="E21" t="str">
            <v>Increase</v>
          </cell>
          <cell r="F21">
            <v>7</v>
          </cell>
          <cell r="I21">
            <v>-0.18248175182481777</v>
          </cell>
          <cell r="J21">
            <v>-0.22627737226277397</v>
          </cell>
          <cell r="K21">
            <v>-0.18604651162790697</v>
          </cell>
          <cell r="L21">
            <v>-0.1</v>
          </cell>
          <cell r="M21">
            <v>-0.06</v>
          </cell>
          <cell r="O21">
            <v>-0.26865671641791089</v>
          </cell>
          <cell r="P21">
            <v>-0.15217391304347871</v>
          </cell>
          <cell r="Q21">
            <v>2.1276595744680854E-2</v>
          </cell>
          <cell r="R21">
            <v>-0.18</v>
          </cell>
          <cell r="S21">
            <v>-9.9999999999999978E-2</v>
          </cell>
        </row>
        <row r="22">
          <cell r="A22" t="str">
            <v>Flat</v>
          </cell>
          <cell r="B22">
            <v>35</v>
          </cell>
          <cell r="E22" t="str">
            <v>Flat</v>
          </cell>
          <cell r="F22">
            <v>31</v>
          </cell>
        </row>
        <row r="23">
          <cell r="A23" t="str">
            <v>Decrease</v>
          </cell>
          <cell r="B23">
            <v>9</v>
          </cell>
          <cell r="E23" t="str">
            <v>Decrease</v>
          </cell>
          <cell r="F23">
            <v>12</v>
          </cell>
        </row>
        <row r="24">
          <cell r="A24" t="str">
            <v>Grand Total</v>
          </cell>
          <cell r="B24">
            <v>50</v>
          </cell>
          <cell r="E24" t="str">
            <v>Grand Total</v>
          </cell>
          <cell r="F24">
            <v>50</v>
          </cell>
        </row>
      </sheetData>
      <sheetData sheetId="14"/>
      <sheetData sheetId="15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#11"/>
      <sheetName val="#12"/>
      <sheetName val="#13"/>
      <sheetName val="#14"/>
      <sheetName val="#15"/>
      <sheetName val="DATASHEET"/>
      <sheetName val="Jul 2011"/>
    </sheetNames>
    <sheetDataSet>
      <sheetData sheetId="0"/>
      <sheetData sheetId="1">
        <row r="1">
          <cell r="A1" t="str">
            <v>Morgan Stanley Hardware Survey - June 2011</v>
          </cell>
        </row>
        <row r="3">
          <cell r="A3" t="str">
            <v>2. As a result of deploying desktop virtualization over the next 12 months, how much do you</v>
          </cell>
        </row>
        <row r="4">
          <cell r="A4" t="str">
            <v xml:space="preserve"> expect your PC, Server, Storage, and Networking spend to change?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2 PCs</v>
          </cell>
          <cell r="E9" t="str">
            <v>Count of 2 Servers</v>
          </cell>
        </row>
        <row r="10">
          <cell r="A10" t="str">
            <v>2 PCs</v>
          </cell>
          <cell r="B10" t="str">
            <v>Total</v>
          </cell>
          <cell r="E10" t="str">
            <v>2 Servers</v>
          </cell>
          <cell r="F10" t="str">
            <v>Total</v>
          </cell>
          <cell r="J10" t="str">
            <v>PCs</v>
          </cell>
          <cell r="K10" t="str">
            <v>Servers</v>
          </cell>
          <cell r="L10" t="str">
            <v>Storage</v>
          </cell>
          <cell r="M10" t="str">
            <v>Networking</v>
          </cell>
        </row>
        <row r="11">
          <cell r="A11" t="str">
            <v>Up 11-20%</v>
          </cell>
          <cell r="B11">
            <v>2</v>
          </cell>
          <cell r="E11" t="str">
            <v>Up 11-20%</v>
          </cell>
          <cell r="F11">
            <v>4</v>
          </cell>
          <cell r="I11" t="str">
            <v>Up 11-20%</v>
          </cell>
          <cell r="J11">
            <v>2</v>
          </cell>
          <cell r="K11">
            <v>4</v>
          </cell>
          <cell r="L11">
            <v>5</v>
          </cell>
          <cell r="M11">
            <v>3</v>
          </cell>
        </row>
        <row r="12">
          <cell r="A12" t="str">
            <v>Up 1-10%</v>
          </cell>
          <cell r="B12">
            <v>5</v>
          </cell>
          <cell r="E12" t="str">
            <v>Up 1-10%</v>
          </cell>
          <cell r="F12">
            <v>12</v>
          </cell>
          <cell r="I12" t="str">
            <v>Up 1-10%</v>
          </cell>
          <cell r="J12">
            <v>5</v>
          </cell>
          <cell r="K12">
            <v>12</v>
          </cell>
          <cell r="L12">
            <v>11</v>
          </cell>
          <cell r="M12">
            <v>6</v>
          </cell>
        </row>
        <row r="13">
          <cell r="A13" t="str">
            <v>Flat</v>
          </cell>
          <cell r="B13">
            <v>22</v>
          </cell>
          <cell r="E13" t="str">
            <v>Flat</v>
          </cell>
          <cell r="F13">
            <v>18</v>
          </cell>
          <cell r="I13" t="str">
            <v>Flat</v>
          </cell>
          <cell r="J13">
            <v>22</v>
          </cell>
          <cell r="K13">
            <v>18</v>
          </cell>
          <cell r="L13">
            <v>17</v>
          </cell>
          <cell r="M13">
            <v>29</v>
          </cell>
        </row>
        <row r="14">
          <cell r="A14" t="str">
            <v>Down 1-10%</v>
          </cell>
          <cell r="B14">
            <v>11</v>
          </cell>
          <cell r="E14" t="str">
            <v>Down 1-10%</v>
          </cell>
          <cell r="F14">
            <v>12</v>
          </cell>
          <cell r="I14" t="str">
            <v>Down 1-10%</v>
          </cell>
          <cell r="J14">
            <v>11</v>
          </cell>
          <cell r="K14">
            <v>12</v>
          </cell>
          <cell r="L14">
            <v>11</v>
          </cell>
          <cell r="M14">
            <v>7</v>
          </cell>
        </row>
        <row r="15">
          <cell r="A15" t="str">
            <v>Down 11-20%</v>
          </cell>
          <cell r="B15">
            <v>7</v>
          </cell>
          <cell r="E15" t="str">
            <v>Down 11-20%</v>
          </cell>
          <cell r="F15">
            <v>2</v>
          </cell>
          <cell r="I15" t="str">
            <v>Down 11-20%</v>
          </cell>
          <cell r="J15">
            <v>7</v>
          </cell>
          <cell r="K15">
            <v>2</v>
          </cell>
          <cell r="L15">
            <v>4</v>
          </cell>
          <cell r="M15">
            <v>3</v>
          </cell>
        </row>
        <row r="16">
          <cell r="A16" t="str">
            <v>Down 21-30%</v>
          </cell>
          <cell r="B16">
            <v>1</v>
          </cell>
          <cell r="E16" t="str">
            <v>NA / Unsure</v>
          </cell>
          <cell r="F16">
            <v>2</v>
          </cell>
          <cell r="I16" t="str">
            <v>Down 21-30%</v>
          </cell>
          <cell r="J16">
            <v>1</v>
          </cell>
        </row>
        <row r="17">
          <cell r="A17" t="str">
            <v>NA / Unsure</v>
          </cell>
          <cell r="B17">
            <v>2</v>
          </cell>
          <cell r="E17" t="str">
            <v>Grand Total</v>
          </cell>
          <cell r="F17">
            <v>50</v>
          </cell>
          <cell r="I17" t="str">
            <v>NA / Unsure</v>
          </cell>
          <cell r="J17">
            <v>2</v>
          </cell>
          <cell r="K17">
            <v>2</v>
          </cell>
          <cell r="L17">
            <v>2</v>
          </cell>
          <cell r="M17">
            <v>2</v>
          </cell>
        </row>
        <row r="18">
          <cell r="A18" t="str">
            <v>Grand Total</v>
          </cell>
          <cell r="B18">
            <v>50</v>
          </cell>
        </row>
        <row r="19">
          <cell r="J19" t="str">
            <v>PCs</v>
          </cell>
          <cell r="K19" t="str">
            <v>Servers</v>
          </cell>
          <cell r="L19" t="str">
            <v>Networking</v>
          </cell>
        </row>
        <row r="20">
          <cell r="A20" t="str">
            <v>Industry</v>
          </cell>
          <cell r="B20" t="str">
            <v>(All)</v>
          </cell>
          <cell r="E20" t="str">
            <v>Industry</v>
          </cell>
          <cell r="F20" t="str">
            <v>(All)</v>
          </cell>
          <cell r="I20" t="str">
            <v>Up</v>
          </cell>
          <cell r="J20">
            <v>0.14583333333333334</v>
          </cell>
          <cell r="K20">
            <v>0.33333333333333331</v>
          </cell>
          <cell r="L20">
            <v>0.1875</v>
          </cell>
        </row>
        <row r="21">
          <cell r="A21" t="str">
            <v>Revenue</v>
          </cell>
          <cell r="B21" t="str">
            <v>(All)</v>
          </cell>
          <cell r="E21" t="str">
            <v>Revenue</v>
          </cell>
          <cell r="F21" t="str">
            <v>(All)</v>
          </cell>
          <cell r="I21" t="str">
            <v>Flat</v>
          </cell>
          <cell r="J21">
            <v>0.45833333333333331</v>
          </cell>
          <cell r="K21">
            <v>0.375</v>
          </cell>
          <cell r="L21">
            <v>0.60416666666666663</v>
          </cell>
        </row>
        <row r="22">
          <cell r="I22" t="str">
            <v>Down</v>
          </cell>
          <cell r="J22">
            <v>-0.39583333333333331</v>
          </cell>
          <cell r="K22">
            <v>-0.29166666666666669</v>
          </cell>
          <cell r="L22">
            <v>-0.20833333333333334</v>
          </cell>
        </row>
        <row r="23">
          <cell r="A23" t="str">
            <v>Count of 2 Storage</v>
          </cell>
          <cell r="E23" t="str">
            <v>Count of 2 Networking</v>
          </cell>
        </row>
        <row r="24">
          <cell r="A24" t="str">
            <v>2 Storage</v>
          </cell>
          <cell r="B24" t="str">
            <v>Total</v>
          </cell>
          <cell r="E24" t="str">
            <v>2 Networking</v>
          </cell>
          <cell r="F24" t="str">
            <v>Total</v>
          </cell>
          <cell r="I24" t="str">
            <v>Net Up</v>
          </cell>
        </row>
        <row r="25">
          <cell r="A25" t="str">
            <v>Up 11-20%</v>
          </cell>
          <cell r="B25">
            <v>5</v>
          </cell>
          <cell r="E25" t="str">
            <v>Up 11-20%</v>
          </cell>
          <cell r="F25">
            <v>3</v>
          </cell>
          <cell r="I25" t="str">
            <v>Oct 10 Survey</v>
          </cell>
          <cell r="J25">
            <v>-0.23684210526315788</v>
          </cell>
          <cell r="K25">
            <v>7.4999999999999997E-2</v>
          </cell>
          <cell r="L25">
            <v>0.29729729729729731</v>
          </cell>
        </row>
        <row r="26">
          <cell r="A26" t="str">
            <v>Up 1-10%</v>
          </cell>
          <cell r="B26">
            <v>11</v>
          </cell>
          <cell r="E26" t="str">
            <v>Up 1-10%</v>
          </cell>
          <cell r="F26">
            <v>6</v>
          </cell>
          <cell r="I26" t="str">
            <v>Jan 11 Survey</v>
          </cell>
          <cell r="J26">
            <v>-0.19047619047619049</v>
          </cell>
          <cell r="K26">
            <v>0</v>
          </cell>
          <cell r="L26">
            <v>0.13953488372093023</v>
          </cell>
        </row>
        <row r="27">
          <cell r="A27" t="str">
            <v>Flat</v>
          </cell>
          <cell r="B27">
            <v>17</v>
          </cell>
          <cell r="E27" t="str">
            <v>Flat</v>
          </cell>
          <cell r="F27">
            <v>29</v>
          </cell>
          <cell r="I27" t="str">
            <v>Apr 11 Survey</v>
          </cell>
          <cell r="J27">
            <v>-0.14285714285714282</v>
          </cell>
          <cell r="K27">
            <v>6.1224489795918324E-2</v>
          </cell>
          <cell r="L27">
            <v>6.122448979591838E-2</v>
          </cell>
        </row>
        <row r="28">
          <cell r="A28" t="str">
            <v>Down 1-10%</v>
          </cell>
          <cell r="B28">
            <v>11</v>
          </cell>
          <cell r="E28" t="str">
            <v>Down 1-10%</v>
          </cell>
          <cell r="F28">
            <v>7</v>
          </cell>
          <cell r="I28" t="str">
            <v>Jul 11 Survey</v>
          </cell>
          <cell r="J28">
            <v>-0.24999999999999997</v>
          </cell>
          <cell r="K28">
            <v>4.166666666666663E-2</v>
          </cell>
          <cell r="L28">
            <v>-2.0833333333333343E-2</v>
          </cell>
        </row>
        <row r="29">
          <cell r="A29" t="str">
            <v>Down 11-20%</v>
          </cell>
          <cell r="B29">
            <v>4</v>
          </cell>
          <cell r="E29" t="str">
            <v>Down 11-20%</v>
          </cell>
          <cell r="F29">
            <v>3</v>
          </cell>
        </row>
        <row r="30">
          <cell r="A30" t="str">
            <v>NA / Unsure</v>
          </cell>
          <cell r="B30">
            <v>2</v>
          </cell>
          <cell r="E30" t="str">
            <v>NA / Unsure</v>
          </cell>
          <cell r="F30">
            <v>2</v>
          </cell>
        </row>
        <row r="31">
          <cell r="A31" t="str">
            <v>Grand Total</v>
          </cell>
          <cell r="B31">
            <v>50</v>
          </cell>
          <cell r="E31" t="str">
            <v>Grand Total</v>
          </cell>
          <cell r="F31">
            <v>50</v>
          </cell>
        </row>
      </sheetData>
      <sheetData sheetId="2">
        <row r="1">
          <cell r="A1" t="str">
            <v>Morgan Stanley Hardware Survey - June 2011</v>
          </cell>
        </row>
        <row r="3">
          <cell r="A3" t="str">
            <v xml:space="preserve">3.  Do you currently purchase tablets for corporate use? Do you allow employee owned tablets </v>
          </cell>
        </row>
        <row r="4">
          <cell r="A4" t="str">
            <v xml:space="preserve"> to access the company network?  What are your plans one year from now?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  <cell r="J7" t="str">
            <v>Currently</v>
          </cell>
          <cell r="M7" t="str">
            <v>In 1 Year</v>
          </cell>
        </row>
        <row r="8">
          <cell r="J8" t="str">
            <v>Jan 11 Survey</v>
          </cell>
          <cell r="K8" t="str">
            <v>Apr 11 Survey</v>
          </cell>
          <cell r="L8" t="str">
            <v>Jul 11 Survey</v>
          </cell>
          <cell r="M8" t="str">
            <v>Jan 11 Survey</v>
          </cell>
          <cell r="N8" t="str">
            <v>Apr 11 Survey</v>
          </cell>
          <cell r="O8" t="str">
            <v>Jul 11 Survey</v>
          </cell>
          <cell r="U8" t="str">
            <v>Currently</v>
          </cell>
          <cell r="Y8" t="str">
            <v>In 1 Year</v>
          </cell>
        </row>
        <row r="9">
          <cell r="A9" t="str">
            <v>Count of 3 Currently - Purchase for % Employees</v>
          </cell>
          <cell r="E9" t="str">
            <v>Count of 3 In 1 Year - Purchase for % Employees</v>
          </cell>
          <cell r="I9" t="str">
            <v>Purchase for Employees</v>
          </cell>
          <cell r="J9">
            <v>0.21153846153846154</v>
          </cell>
          <cell r="K9">
            <v>0.31481481481481483</v>
          </cell>
          <cell r="L9">
            <v>0.44</v>
          </cell>
          <cell r="M9">
            <v>0.50877192982456143</v>
          </cell>
          <cell r="N9">
            <v>0.4642857142857143</v>
          </cell>
          <cell r="O9">
            <v>0.54</v>
          </cell>
          <cell r="T9">
            <v>20</v>
          </cell>
          <cell r="U9">
            <v>2</v>
          </cell>
          <cell r="V9">
            <v>0.2</v>
          </cell>
          <cell r="X9">
            <v>50</v>
          </cell>
          <cell r="Y9">
            <v>1</v>
          </cell>
          <cell r="Z9">
            <v>0.5</v>
          </cell>
        </row>
        <row r="10">
          <cell r="A10" t="str">
            <v>3 Currently - Purchase for % Employees</v>
          </cell>
          <cell r="B10" t="str">
            <v>Total</v>
          </cell>
          <cell r="E10" t="str">
            <v>3 In 1 Year - Purchase for % Employees</v>
          </cell>
          <cell r="F10" t="str">
            <v>Total</v>
          </cell>
          <cell r="I10" t="str">
            <v>Allow  Employee Owned Tablet on Network</v>
          </cell>
          <cell r="J10">
            <v>7.6923076923076927E-2</v>
          </cell>
          <cell r="K10">
            <v>0.29629629629629628</v>
          </cell>
          <cell r="L10">
            <v>0.36</v>
          </cell>
          <cell r="M10">
            <v>0.15789473684210525</v>
          </cell>
          <cell r="N10">
            <v>0.32142857142857145</v>
          </cell>
          <cell r="O10">
            <v>0.54</v>
          </cell>
          <cell r="T10">
            <v>17</v>
          </cell>
          <cell r="U10">
            <v>1</v>
          </cell>
          <cell r="V10">
            <v>0.17</v>
          </cell>
          <cell r="X10">
            <v>35</v>
          </cell>
          <cell r="Y10">
            <v>2</v>
          </cell>
          <cell r="Z10">
            <v>0.35</v>
          </cell>
        </row>
        <row r="11">
          <cell r="A11">
            <v>20</v>
          </cell>
          <cell r="B11">
            <v>2</v>
          </cell>
          <cell r="E11">
            <v>50</v>
          </cell>
          <cell r="F11">
            <v>1</v>
          </cell>
          <cell r="T11">
            <v>15</v>
          </cell>
          <cell r="U11">
            <v>2</v>
          </cell>
          <cell r="V11">
            <v>0.15</v>
          </cell>
          <cell r="X11">
            <v>30</v>
          </cell>
          <cell r="Y11">
            <v>1</v>
          </cell>
          <cell r="Z11">
            <v>0.3</v>
          </cell>
        </row>
        <row r="12">
          <cell r="A12">
            <v>17</v>
          </cell>
          <cell r="B12">
            <v>1</v>
          </cell>
          <cell r="E12">
            <v>35</v>
          </cell>
          <cell r="F12">
            <v>2</v>
          </cell>
          <cell r="T12">
            <v>10</v>
          </cell>
          <cell r="U12">
            <v>4</v>
          </cell>
          <cell r="V12">
            <v>0.1</v>
          </cell>
          <cell r="X12">
            <v>25</v>
          </cell>
          <cell r="Y12">
            <v>2</v>
          </cell>
          <cell r="Z12">
            <v>0.25</v>
          </cell>
        </row>
        <row r="13">
          <cell r="A13">
            <v>15</v>
          </cell>
          <cell r="B13">
            <v>2</v>
          </cell>
          <cell r="E13">
            <v>30</v>
          </cell>
          <cell r="F13">
            <v>1</v>
          </cell>
          <cell r="T13">
            <v>8</v>
          </cell>
          <cell r="U13">
            <v>1</v>
          </cell>
          <cell r="V13">
            <v>0.08</v>
          </cell>
          <cell r="X13">
            <v>23</v>
          </cell>
          <cell r="Y13">
            <v>1</v>
          </cell>
          <cell r="Z13">
            <v>0.23</v>
          </cell>
        </row>
        <row r="14">
          <cell r="A14">
            <v>10</v>
          </cell>
          <cell r="B14">
            <v>4</v>
          </cell>
          <cell r="E14">
            <v>25</v>
          </cell>
          <cell r="F14">
            <v>2</v>
          </cell>
          <cell r="T14">
            <v>5</v>
          </cell>
          <cell r="U14">
            <v>4</v>
          </cell>
          <cell r="V14">
            <v>0.05</v>
          </cell>
          <cell r="X14">
            <v>20</v>
          </cell>
          <cell r="Y14">
            <v>1</v>
          </cell>
          <cell r="Z14">
            <v>0.2</v>
          </cell>
        </row>
        <row r="15">
          <cell r="A15">
            <v>8</v>
          </cell>
          <cell r="B15">
            <v>1</v>
          </cell>
          <cell r="E15">
            <v>23</v>
          </cell>
          <cell r="F15">
            <v>1</v>
          </cell>
          <cell r="T15" t="str">
            <v>&lt;5</v>
          </cell>
          <cell r="U15">
            <v>1</v>
          </cell>
          <cell r="V15">
            <v>0.03</v>
          </cell>
          <cell r="X15">
            <v>15</v>
          </cell>
          <cell r="Y15">
            <v>1</v>
          </cell>
          <cell r="Z15">
            <v>0.15</v>
          </cell>
        </row>
        <row r="16">
          <cell r="A16">
            <v>5</v>
          </cell>
          <cell r="B16">
            <v>4</v>
          </cell>
          <cell r="E16">
            <v>20</v>
          </cell>
          <cell r="F16">
            <v>1</v>
          </cell>
          <cell r="T16">
            <v>3</v>
          </cell>
          <cell r="U16">
            <v>2</v>
          </cell>
          <cell r="V16">
            <v>0.03</v>
          </cell>
          <cell r="X16">
            <v>12</v>
          </cell>
          <cell r="Y16">
            <v>1</v>
          </cell>
          <cell r="Z16">
            <v>0.12</v>
          </cell>
        </row>
        <row r="17">
          <cell r="A17" t="str">
            <v>&lt;5</v>
          </cell>
          <cell r="B17">
            <v>1</v>
          </cell>
          <cell r="E17">
            <v>15</v>
          </cell>
          <cell r="F17">
            <v>1</v>
          </cell>
          <cell r="T17">
            <v>1</v>
          </cell>
          <cell r="U17">
            <v>3</v>
          </cell>
          <cell r="V17">
            <v>0.01</v>
          </cell>
          <cell r="X17">
            <v>10</v>
          </cell>
          <cell r="Y17">
            <v>2</v>
          </cell>
          <cell r="Z17">
            <v>0.1</v>
          </cell>
        </row>
        <row r="18">
          <cell r="A18">
            <v>3</v>
          </cell>
          <cell r="B18">
            <v>2</v>
          </cell>
          <cell r="E18">
            <v>12</v>
          </cell>
          <cell r="F18">
            <v>1</v>
          </cell>
          <cell r="T18" t="str">
            <v>&lt;1</v>
          </cell>
          <cell r="U18">
            <v>1</v>
          </cell>
          <cell r="V18">
            <v>0.01</v>
          </cell>
          <cell r="X18">
            <v>8</v>
          </cell>
          <cell r="Y18">
            <v>1</v>
          </cell>
          <cell r="Z18">
            <v>0.08</v>
          </cell>
        </row>
        <row r="19">
          <cell r="A19">
            <v>1</v>
          </cell>
          <cell r="B19">
            <v>3</v>
          </cell>
          <cell r="E19">
            <v>10</v>
          </cell>
          <cell r="F19">
            <v>2</v>
          </cell>
          <cell r="T19">
            <v>0.05</v>
          </cell>
          <cell r="U19">
            <v>1</v>
          </cell>
          <cell r="V19">
            <v>0.01</v>
          </cell>
          <cell r="X19">
            <v>7</v>
          </cell>
          <cell r="Y19">
            <v>1</v>
          </cell>
          <cell r="Z19">
            <v>7.0000000000000007E-2</v>
          </cell>
        </row>
        <row r="20">
          <cell r="A20" t="str">
            <v>&lt;1</v>
          </cell>
          <cell r="B20">
            <v>1</v>
          </cell>
          <cell r="E20">
            <v>8</v>
          </cell>
          <cell r="F20">
            <v>1</v>
          </cell>
          <cell r="T20">
            <v>0</v>
          </cell>
          <cell r="U20">
            <v>28</v>
          </cell>
          <cell r="V20">
            <v>0</v>
          </cell>
          <cell r="X20">
            <v>5</v>
          </cell>
          <cell r="Y20">
            <v>6</v>
          </cell>
          <cell r="Z20">
            <v>0.05</v>
          </cell>
        </row>
        <row r="21">
          <cell r="A21">
            <v>0.05</v>
          </cell>
          <cell r="B21">
            <v>1</v>
          </cell>
          <cell r="E21">
            <v>7</v>
          </cell>
          <cell r="F21">
            <v>1</v>
          </cell>
          <cell r="X21">
            <v>3</v>
          </cell>
          <cell r="Y21">
            <v>2</v>
          </cell>
          <cell r="Z21">
            <v>0.03</v>
          </cell>
        </row>
        <row r="22">
          <cell r="A22">
            <v>0</v>
          </cell>
          <cell r="B22">
            <v>28</v>
          </cell>
          <cell r="E22">
            <v>5</v>
          </cell>
          <cell r="F22">
            <v>6</v>
          </cell>
          <cell r="V22">
            <v>3.3800000000000004E-2</v>
          </cell>
          <cell r="X22">
            <v>2.5</v>
          </cell>
          <cell r="Y22">
            <v>1</v>
          </cell>
          <cell r="Z22">
            <v>2.5000000000000001E-2</v>
          </cell>
        </row>
        <row r="23">
          <cell r="A23" t="str">
            <v>Grand Total</v>
          </cell>
          <cell r="B23">
            <v>50</v>
          </cell>
          <cell r="E23">
            <v>3</v>
          </cell>
          <cell r="F23">
            <v>2</v>
          </cell>
          <cell r="X23">
            <v>2</v>
          </cell>
          <cell r="Y23">
            <v>1</v>
          </cell>
          <cell r="Z23">
            <v>0.02</v>
          </cell>
        </row>
        <row r="24">
          <cell r="E24">
            <v>2.5</v>
          </cell>
          <cell r="F24">
            <v>1</v>
          </cell>
          <cell r="X24">
            <v>1</v>
          </cell>
          <cell r="Y24">
            <v>3</v>
          </cell>
          <cell r="Z24">
            <v>0.01</v>
          </cell>
        </row>
        <row r="25">
          <cell r="E25">
            <v>2</v>
          </cell>
          <cell r="F25">
            <v>1</v>
          </cell>
          <cell r="X25">
            <v>0</v>
          </cell>
          <cell r="Y25">
            <v>23</v>
          </cell>
          <cell r="Z25">
            <v>0</v>
          </cell>
        </row>
        <row r="26">
          <cell r="E26">
            <v>1</v>
          </cell>
          <cell r="F26">
            <v>3</v>
          </cell>
        </row>
        <row r="27">
          <cell r="E27">
            <v>0</v>
          </cell>
          <cell r="F27">
            <v>23</v>
          </cell>
          <cell r="Z27">
            <v>6.9700000000000012E-2</v>
          </cell>
        </row>
        <row r="28">
          <cell r="E28" t="str">
            <v>Grand Total</v>
          </cell>
          <cell r="F28">
            <v>50</v>
          </cell>
        </row>
        <row r="30">
          <cell r="A30" t="str">
            <v>Industry</v>
          </cell>
          <cell r="B30" t="str">
            <v>(All)</v>
          </cell>
        </row>
        <row r="31">
          <cell r="A31" t="str">
            <v>Revenue</v>
          </cell>
          <cell r="B31" t="str">
            <v>(All)</v>
          </cell>
        </row>
        <row r="33">
          <cell r="A33" t="str">
            <v>Data</v>
          </cell>
          <cell r="B33" t="str">
            <v>Total</v>
          </cell>
        </row>
        <row r="34">
          <cell r="A34" t="str">
            <v>Count of 3 Currently - Allow Employee Owned</v>
          </cell>
          <cell r="B34">
            <v>18</v>
          </cell>
        </row>
        <row r="35">
          <cell r="A35" t="str">
            <v>Count of 3 In 1 Year - Allow Employee Owned</v>
          </cell>
          <cell r="B35">
            <v>27</v>
          </cell>
        </row>
      </sheetData>
      <sheetData sheetId="3">
        <row r="1">
          <cell r="A1" t="str">
            <v>Morgan Stanley Hardware Survey - June 2011</v>
          </cell>
        </row>
        <row r="3">
          <cell r="A3" t="str">
            <v>5.  If you currently purchase or plan to purchase tablets for corporate use, please indicate if</v>
          </cell>
        </row>
        <row r="4">
          <cell r="A4" t="str">
            <v xml:space="preserve"> the tablet purchase is in lieu of a PC purchase for each use case. 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 xml:space="preserve">Count of 4 Facilitate field service or support </v>
          </cell>
          <cell r="E9" t="str">
            <v>Count of 4 Facilitate sales and marketing</v>
          </cell>
          <cell r="J9" t="str">
            <v>Field Service &amp; Support</v>
          </cell>
          <cell r="K9" t="str">
            <v>Sales &amp; Marketing</v>
          </cell>
          <cell r="L9" t="str">
            <v>Access Desktop via Virt.</v>
          </cell>
          <cell r="M9" t="str">
            <v>Office Productivity Apps</v>
          </cell>
          <cell r="N9" t="str">
            <v>Access to Email &amp; Calendar</v>
          </cell>
          <cell r="O9" t="str">
            <v>Business Analytics Apps</v>
          </cell>
        </row>
        <row r="10">
          <cell r="A10" t="str">
            <v xml:space="preserve">4 Facilitate field service or support </v>
          </cell>
          <cell r="B10" t="str">
            <v>Total</v>
          </cell>
          <cell r="E10" t="str">
            <v>4 Facilitate sales and marketing</v>
          </cell>
          <cell r="F10" t="str">
            <v>Total</v>
          </cell>
          <cell r="I10" t="str">
            <v>Replacing PC</v>
          </cell>
          <cell r="J10">
            <v>8</v>
          </cell>
          <cell r="K10">
            <v>11</v>
          </cell>
          <cell r="L10">
            <v>5</v>
          </cell>
          <cell r="M10">
            <v>3</v>
          </cell>
          <cell r="N10">
            <v>12</v>
          </cell>
          <cell r="O10">
            <v>8</v>
          </cell>
        </row>
        <row r="11">
          <cell r="A11" t="str">
            <v>Replacing PC</v>
          </cell>
          <cell r="B11">
            <v>8</v>
          </cell>
          <cell r="E11" t="str">
            <v>Replacing PC</v>
          </cell>
          <cell r="F11">
            <v>11</v>
          </cell>
          <cell r="I11" t="str">
            <v>Not Replacing</v>
          </cell>
          <cell r="J11">
            <v>18</v>
          </cell>
          <cell r="K11">
            <v>11</v>
          </cell>
          <cell r="L11">
            <v>14</v>
          </cell>
          <cell r="M11">
            <v>16</v>
          </cell>
          <cell r="N11">
            <v>17</v>
          </cell>
          <cell r="O11">
            <v>14</v>
          </cell>
        </row>
        <row r="12">
          <cell r="A12" t="str">
            <v>Not Replacing</v>
          </cell>
          <cell r="B12">
            <v>18</v>
          </cell>
          <cell r="E12" t="str">
            <v>Not Replacing</v>
          </cell>
          <cell r="F12">
            <v>11</v>
          </cell>
          <cell r="I12" t="str">
            <v>Not Purchasing</v>
          </cell>
          <cell r="J12">
            <v>3</v>
          </cell>
          <cell r="K12">
            <v>7</v>
          </cell>
          <cell r="L12">
            <v>10</v>
          </cell>
          <cell r="M12">
            <v>10</v>
          </cell>
          <cell r="O12">
            <v>7</v>
          </cell>
        </row>
        <row r="13">
          <cell r="A13" t="str">
            <v>Not Purchasing</v>
          </cell>
          <cell r="B13">
            <v>3</v>
          </cell>
          <cell r="E13" t="str">
            <v>Not Purchasing</v>
          </cell>
          <cell r="F13">
            <v>7</v>
          </cell>
        </row>
        <row r="14">
          <cell r="A14" t="str">
            <v>Grand Total</v>
          </cell>
          <cell r="B14">
            <v>29</v>
          </cell>
          <cell r="E14" t="str">
            <v>Grand Total</v>
          </cell>
          <cell r="F14">
            <v>29</v>
          </cell>
          <cell r="I14" t="str">
            <v>Replacing PC</v>
          </cell>
          <cell r="J14">
            <v>0.30769230769230771</v>
          </cell>
          <cell r="K14">
            <v>0.5</v>
          </cell>
          <cell r="L14">
            <v>0.26315789473684209</v>
          </cell>
          <cell r="M14">
            <v>0.15789473684210525</v>
          </cell>
          <cell r="N14">
            <v>0.41379310344827586</v>
          </cell>
          <cell r="O14">
            <v>0.36363636363636365</v>
          </cell>
        </row>
        <row r="15">
          <cell r="I15" t="str">
            <v>Not Replacing</v>
          </cell>
          <cell r="J15">
            <v>0.69230769230769229</v>
          </cell>
          <cell r="K15">
            <v>0.5</v>
          </cell>
          <cell r="L15">
            <v>0.73684210526315796</v>
          </cell>
          <cell r="M15">
            <v>0.84210526315789469</v>
          </cell>
          <cell r="N15">
            <v>0.5862068965517242</v>
          </cell>
          <cell r="O15">
            <v>0.63636363636363635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</row>
        <row r="18">
          <cell r="J18" t="str">
            <v>Sales &amp; Marketing</v>
          </cell>
          <cell r="K18" t="str">
            <v>Access to Email &amp; Calendar</v>
          </cell>
          <cell r="L18" t="str">
            <v>Business Analytics Apps</v>
          </cell>
          <cell r="M18" t="str">
            <v>Field Service &amp; Support</v>
          </cell>
          <cell r="N18" t="str">
            <v>Access Desktop via Virt.</v>
          </cell>
          <cell r="O18" t="str">
            <v>Office Productivity Apps</v>
          </cell>
        </row>
        <row r="19">
          <cell r="A19" t="str">
            <v>Count of 4 Facilitate access to desktop via virtualization</v>
          </cell>
          <cell r="E19" t="str">
            <v>Count of 4 General productivity functions</v>
          </cell>
          <cell r="I19" t="str">
            <v>Replacing PC</v>
          </cell>
          <cell r="J19">
            <v>0.5</v>
          </cell>
          <cell r="K19">
            <v>0.41379310344827586</v>
          </cell>
          <cell r="L19">
            <v>0.36363636363636365</v>
          </cell>
          <cell r="M19">
            <v>0.30769230769230771</v>
          </cell>
          <cell r="N19">
            <v>0.26315789473684209</v>
          </cell>
          <cell r="O19">
            <v>0.15789473684210525</v>
          </cell>
        </row>
        <row r="20">
          <cell r="A20" t="str">
            <v>4 Facilitate access to desktop via virtualization</v>
          </cell>
          <cell r="B20" t="str">
            <v>Total</v>
          </cell>
          <cell r="E20" t="str">
            <v>4 General productivity functions</v>
          </cell>
          <cell r="F20" t="str">
            <v>Total</v>
          </cell>
          <cell r="I20" t="str">
            <v>Not Replacing</v>
          </cell>
          <cell r="J20">
            <v>0.5</v>
          </cell>
          <cell r="K20">
            <v>0.5862068965517242</v>
          </cell>
          <cell r="L20">
            <v>0.63636363636363635</v>
          </cell>
          <cell r="M20">
            <v>0.69230769230769229</v>
          </cell>
          <cell r="N20">
            <v>0.73684210526315796</v>
          </cell>
          <cell r="O20">
            <v>0.84210526315789469</v>
          </cell>
        </row>
        <row r="21">
          <cell r="A21" t="str">
            <v>Replacing PC</v>
          </cell>
          <cell r="B21">
            <v>5</v>
          </cell>
          <cell r="E21" t="str">
            <v>Replacing PC</v>
          </cell>
          <cell r="F21">
            <v>3</v>
          </cell>
        </row>
        <row r="22">
          <cell r="A22" t="str">
            <v>Not Replacing</v>
          </cell>
          <cell r="B22">
            <v>14</v>
          </cell>
          <cell r="E22" t="str">
            <v>Not Replacing</v>
          </cell>
          <cell r="F22">
            <v>16</v>
          </cell>
        </row>
        <row r="23">
          <cell r="A23" t="str">
            <v>Not Purchasing</v>
          </cell>
          <cell r="B23">
            <v>10</v>
          </cell>
          <cell r="E23" t="str">
            <v>Not Purchasing</v>
          </cell>
          <cell r="F23">
            <v>10</v>
          </cell>
        </row>
        <row r="24">
          <cell r="A24" t="str">
            <v>Grand Total</v>
          </cell>
          <cell r="B24">
            <v>29</v>
          </cell>
          <cell r="E24" t="str">
            <v>Grand Total</v>
          </cell>
          <cell r="F24">
            <v>29</v>
          </cell>
        </row>
        <row r="26">
          <cell r="A26" t="str">
            <v>Industry</v>
          </cell>
          <cell r="B26" t="str">
            <v>(All)</v>
          </cell>
          <cell r="E26" t="str">
            <v>Industry</v>
          </cell>
          <cell r="F26" t="str">
            <v>(All)</v>
          </cell>
        </row>
        <row r="27">
          <cell r="A27" t="str">
            <v>Revenue</v>
          </cell>
          <cell r="B27" t="str">
            <v>(All)</v>
          </cell>
          <cell r="E27" t="str">
            <v>Revenue</v>
          </cell>
          <cell r="F27" t="str">
            <v>(All)</v>
          </cell>
        </row>
        <row r="29">
          <cell r="A29" t="str">
            <v>Count of 4 Access to corporate email, calendar, contacts</v>
          </cell>
          <cell r="E29" t="str">
            <v>Count of 4 Access to business analytics or monitoring applications</v>
          </cell>
        </row>
        <row r="30">
          <cell r="A30" t="str">
            <v>4 Access to corporate email, calendar, contacts</v>
          </cell>
          <cell r="B30" t="str">
            <v>Total</v>
          </cell>
          <cell r="E30" t="str">
            <v>4 Access to business analytics or monitoring applications</v>
          </cell>
          <cell r="F30" t="str">
            <v>Total</v>
          </cell>
        </row>
        <row r="31">
          <cell r="A31" t="str">
            <v>Replacing PC</v>
          </cell>
          <cell r="B31">
            <v>12</v>
          </cell>
          <cell r="E31" t="str">
            <v>Replacing PC</v>
          </cell>
          <cell r="F31">
            <v>8</v>
          </cell>
        </row>
        <row r="32">
          <cell r="A32" t="str">
            <v>Not Replacing</v>
          </cell>
          <cell r="B32">
            <v>17</v>
          </cell>
          <cell r="E32" t="str">
            <v>Not Replacing</v>
          </cell>
          <cell r="F32">
            <v>14</v>
          </cell>
        </row>
        <row r="33">
          <cell r="A33" t="str">
            <v>Grand Total</v>
          </cell>
          <cell r="B33">
            <v>29</v>
          </cell>
          <cell r="E33" t="str">
            <v>Not Purchasing</v>
          </cell>
          <cell r="F33">
            <v>7</v>
          </cell>
        </row>
        <row r="34">
          <cell r="E34" t="str">
            <v>Grand Total</v>
          </cell>
          <cell r="F34">
            <v>29</v>
          </cell>
        </row>
      </sheetData>
      <sheetData sheetId="4">
        <row r="1">
          <cell r="A1" t="str">
            <v>Morgan Stanley Hardware Survey - June 2011</v>
          </cell>
        </row>
        <row r="3">
          <cell r="A3" t="str">
            <v xml:space="preserve">5.  Over the next twelve months, what are your Server spending plans as it relates to specific </v>
          </cell>
        </row>
        <row r="4">
          <cell r="A4" t="str">
            <v xml:space="preserve"> vendors?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5 Dell</v>
          </cell>
          <cell r="E9" t="str">
            <v>Count of 5 HP</v>
          </cell>
        </row>
        <row r="10">
          <cell r="A10" t="str">
            <v>5 Dell</v>
          </cell>
          <cell r="B10" t="str">
            <v>Total</v>
          </cell>
          <cell r="E10" t="str">
            <v>5 HP</v>
          </cell>
          <cell r="F10" t="str">
            <v>Total</v>
          </cell>
          <cell r="J10" t="str">
            <v>Dell</v>
          </cell>
          <cell r="K10" t="str">
            <v>HPQ</v>
          </cell>
          <cell r="L10" t="str">
            <v>IBM</v>
          </cell>
          <cell r="M10" t="str">
            <v>ORCL</v>
          </cell>
          <cell r="N10" t="str">
            <v>CSCO</v>
          </cell>
        </row>
        <row r="11">
          <cell r="A11" t="str">
            <v>Increase</v>
          </cell>
          <cell r="B11">
            <v>11</v>
          </cell>
          <cell r="E11" t="str">
            <v>Increase</v>
          </cell>
          <cell r="F11">
            <v>13</v>
          </cell>
          <cell r="I11" t="str">
            <v>Increase</v>
          </cell>
          <cell r="J11">
            <v>11</v>
          </cell>
          <cell r="K11">
            <v>13</v>
          </cell>
          <cell r="L11">
            <v>8</v>
          </cell>
          <cell r="M11">
            <v>5</v>
          </cell>
          <cell r="N11">
            <v>3</v>
          </cell>
        </row>
        <row r="12">
          <cell r="A12" t="str">
            <v>Flat</v>
          </cell>
          <cell r="B12">
            <v>22</v>
          </cell>
          <cell r="E12" t="str">
            <v>Flat</v>
          </cell>
          <cell r="F12">
            <v>18</v>
          </cell>
          <cell r="I12" t="str">
            <v>Flat</v>
          </cell>
          <cell r="J12">
            <v>22</v>
          </cell>
          <cell r="K12">
            <v>18</v>
          </cell>
          <cell r="L12">
            <v>24</v>
          </cell>
          <cell r="M12">
            <v>18</v>
          </cell>
          <cell r="N12">
            <v>15</v>
          </cell>
        </row>
        <row r="13">
          <cell r="A13" t="str">
            <v>Decrease</v>
          </cell>
          <cell r="B13">
            <v>4</v>
          </cell>
          <cell r="E13" t="str">
            <v>Decrease</v>
          </cell>
          <cell r="F13">
            <v>5</v>
          </cell>
          <cell r="I13" t="str">
            <v>Decrease</v>
          </cell>
          <cell r="J13">
            <v>4</v>
          </cell>
          <cell r="K13">
            <v>5</v>
          </cell>
          <cell r="L13">
            <v>5</v>
          </cell>
          <cell r="M13">
            <v>3</v>
          </cell>
          <cell r="N13">
            <v>3</v>
          </cell>
        </row>
        <row r="14">
          <cell r="A14" t="str">
            <v>Don't Use</v>
          </cell>
          <cell r="B14">
            <v>13</v>
          </cell>
          <cell r="E14" t="str">
            <v>Don't Use</v>
          </cell>
          <cell r="F14">
            <v>14</v>
          </cell>
          <cell r="I14" t="str">
            <v>Don't Use</v>
          </cell>
          <cell r="J14">
            <v>13</v>
          </cell>
          <cell r="K14">
            <v>14</v>
          </cell>
          <cell r="L14">
            <v>13</v>
          </cell>
          <cell r="M14">
            <v>24</v>
          </cell>
          <cell r="N14">
            <v>29</v>
          </cell>
        </row>
        <row r="15">
          <cell r="A15" t="str">
            <v>Grand Total</v>
          </cell>
          <cell r="B15">
            <v>50</v>
          </cell>
          <cell r="E15" t="str">
            <v>Grand Total</v>
          </cell>
          <cell r="F15">
            <v>50</v>
          </cell>
        </row>
        <row r="16">
          <cell r="I16" t="str">
            <v>Increase</v>
          </cell>
          <cell r="J16">
            <v>0.29729729729729731</v>
          </cell>
          <cell r="K16">
            <v>0.3611111111111111</v>
          </cell>
          <cell r="L16">
            <v>0.21621621621621623</v>
          </cell>
          <cell r="M16">
            <v>0.19230769230769232</v>
          </cell>
          <cell r="N16">
            <v>0.14285714285714285</v>
          </cell>
        </row>
        <row r="17">
          <cell r="A17" t="str">
            <v>Industry</v>
          </cell>
          <cell r="B17" t="str">
            <v>(All)</v>
          </cell>
          <cell r="E17" t="str">
            <v>Industry</v>
          </cell>
          <cell r="F17" t="str">
            <v>(All)</v>
          </cell>
          <cell r="I17" t="str">
            <v>Decrease</v>
          </cell>
          <cell r="J17">
            <v>-0.10810810810810811</v>
          </cell>
          <cell r="K17">
            <v>-0.1388888888888889</v>
          </cell>
          <cell r="L17">
            <v>-0.13513513513513514</v>
          </cell>
          <cell r="M17">
            <v>-0.11538461538461539</v>
          </cell>
          <cell r="N17">
            <v>-0.14285714285714285</v>
          </cell>
        </row>
        <row r="18">
          <cell r="A18" t="str">
            <v>Revenue</v>
          </cell>
          <cell r="B18" t="str">
            <v>(All)</v>
          </cell>
          <cell r="E18" t="str">
            <v>Revenue</v>
          </cell>
          <cell r="F18" t="str">
            <v>(All)</v>
          </cell>
        </row>
        <row r="20">
          <cell r="A20" t="str">
            <v>Count of 5 IBM</v>
          </cell>
          <cell r="E20" t="str">
            <v>Count of 5 Oracle/Sun</v>
          </cell>
          <cell r="K20" t="str">
            <v>HPQ</v>
          </cell>
          <cell r="R20" t="str">
            <v>DELL</v>
          </cell>
          <cell r="Y20" t="str">
            <v>IBM</v>
          </cell>
          <cell r="AF20" t="str">
            <v>ORCL</v>
          </cell>
          <cell r="AM20" t="str">
            <v>CSCO</v>
          </cell>
        </row>
        <row r="21">
          <cell r="A21" t="str">
            <v>5 IBM</v>
          </cell>
          <cell r="B21" t="str">
            <v>Total</v>
          </cell>
          <cell r="E21" t="str">
            <v>5 Oracle/Sun</v>
          </cell>
          <cell r="F21" t="str">
            <v>Total</v>
          </cell>
          <cell r="I21" t="str">
            <v>Increase</v>
          </cell>
          <cell r="J21">
            <v>0.26470588235294118</v>
          </cell>
          <cell r="K21">
            <v>0.26470588235294118</v>
          </cell>
          <cell r="L21">
            <v>0.30555555555555558</v>
          </cell>
          <cell r="M21">
            <v>0.29729729729729731</v>
          </cell>
          <cell r="N21">
            <v>0.29729729729729731</v>
          </cell>
          <cell r="O21">
            <v>0.3611111111111111</v>
          </cell>
          <cell r="Q21">
            <v>0.26363636363636361</v>
          </cell>
          <cell r="R21">
            <v>0.27884615384615385</v>
          </cell>
          <cell r="S21">
            <v>0.46341463414634149</v>
          </cell>
          <cell r="T21">
            <v>0.4358974358974359</v>
          </cell>
          <cell r="U21">
            <v>0.36842105263157893</v>
          </cell>
          <cell r="V21">
            <v>0.29729729729729731</v>
          </cell>
          <cell r="X21">
            <v>0.32978723404255317</v>
          </cell>
          <cell r="Y21">
            <v>0.28282828282828282</v>
          </cell>
          <cell r="Z21">
            <v>0.24242424242424243</v>
          </cell>
          <cell r="AA21">
            <v>0.2</v>
          </cell>
          <cell r="AB21">
            <v>0.28205128205128205</v>
          </cell>
          <cell r="AC21">
            <v>0.21621621621621623</v>
          </cell>
          <cell r="AE21">
            <v>0.16981132075471697</v>
          </cell>
          <cell r="AF21">
            <v>0.22950819672131148</v>
          </cell>
          <cell r="AG21">
            <v>0.21739130434782608</v>
          </cell>
          <cell r="AH21">
            <v>0.27272727272727271</v>
          </cell>
          <cell r="AI21">
            <v>0.20689655172413793</v>
          </cell>
          <cell r="AJ21">
            <v>0.19230769230769232</v>
          </cell>
          <cell r="AL21">
            <v>0.1891891891891892</v>
          </cell>
          <cell r="AM21">
            <v>0.1951219512195122</v>
          </cell>
          <cell r="AN21">
            <v>0.14814814814814814</v>
          </cell>
          <cell r="AO21">
            <v>0.15384615384615385</v>
          </cell>
          <cell r="AP21">
            <v>0.2</v>
          </cell>
          <cell r="AQ21">
            <v>0.14285714285714285</v>
          </cell>
        </row>
        <row r="22">
          <cell r="A22" t="str">
            <v>Increase</v>
          </cell>
          <cell r="B22">
            <v>8</v>
          </cell>
          <cell r="E22" t="str">
            <v>Increase</v>
          </cell>
          <cell r="F22">
            <v>5</v>
          </cell>
          <cell r="I22" t="str">
            <v>Decrease</v>
          </cell>
          <cell r="J22">
            <v>-0.22549019607843138</v>
          </cell>
          <cell r="K22">
            <v>-0.18627450980392157</v>
          </cell>
          <cell r="L22">
            <v>-0.22222222222222221</v>
          </cell>
          <cell r="M22">
            <v>-0.162162162162162</v>
          </cell>
          <cell r="N22">
            <v>-0.16216216216216217</v>
          </cell>
          <cell r="O22">
            <v>-0.1388888888888889</v>
          </cell>
          <cell r="Q22">
            <v>-0.20909090909090908</v>
          </cell>
          <cell r="R22">
            <v>-0.18269230769230768</v>
          </cell>
          <cell r="S22">
            <v>-4.878048780487805E-2</v>
          </cell>
          <cell r="T22">
            <v>-0.102564102564103</v>
          </cell>
          <cell r="U22">
            <v>-0.13157894736842105</v>
          </cell>
          <cell r="V22">
            <v>-0.10810810810810811</v>
          </cell>
          <cell r="X22">
            <v>-0.14893617021276595</v>
          </cell>
          <cell r="Y22">
            <v>-0.17171717171717171</v>
          </cell>
          <cell r="Z22">
            <v>-0.18181818181818182</v>
          </cell>
          <cell r="AA22">
            <v>-0.2</v>
          </cell>
          <cell r="AB22">
            <v>-0.12820512820512819</v>
          </cell>
          <cell r="AC22">
            <v>-0.13513513513513514</v>
          </cell>
          <cell r="AE22">
            <v>-0.24528301886792453</v>
          </cell>
          <cell r="AF22">
            <v>-0.22950819672131148</v>
          </cell>
          <cell r="AG22">
            <v>-0.17391304347826086</v>
          </cell>
          <cell r="AH22">
            <v>-0.13636363636363599</v>
          </cell>
          <cell r="AI22">
            <v>-0.10344827586206896</v>
          </cell>
          <cell r="AJ22">
            <v>-0.11538461538461539</v>
          </cell>
          <cell r="AL22">
            <v>-1.3513513513513514E-2</v>
          </cell>
          <cell r="AM22">
            <v>-6.097560975609756E-2</v>
          </cell>
          <cell r="AN22">
            <v>-3.7037037037037035E-2</v>
          </cell>
          <cell r="AO22">
            <v>-7.69230769230769E-2</v>
          </cell>
          <cell r="AP22">
            <v>-0.1</v>
          </cell>
          <cell r="AQ22">
            <v>-0.14285714285714285</v>
          </cell>
        </row>
        <row r="23">
          <cell r="A23" t="str">
            <v>Flat</v>
          </cell>
          <cell r="B23">
            <v>24</v>
          </cell>
          <cell r="E23" t="str">
            <v>Flat</v>
          </cell>
          <cell r="F23">
            <v>18</v>
          </cell>
        </row>
        <row r="24">
          <cell r="A24" t="str">
            <v>Decrease</v>
          </cell>
          <cell r="B24">
            <v>5</v>
          </cell>
          <cell r="E24" t="str">
            <v>Decrease</v>
          </cell>
          <cell r="F24">
            <v>3</v>
          </cell>
        </row>
        <row r="25">
          <cell r="A25" t="str">
            <v>Don't Use</v>
          </cell>
          <cell r="B25">
            <v>13</v>
          </cell>
          <cell r="E25" t="str">
            <v>Don't Use</v>
          </cell>
          <cell r="F25">
            <v>24</v>
          </cell>
        </row>
        <row r="26">
          <cell r="A26" t="str">
            <v>Grand Total</v>
          </cell>
          <cell r="B26">
            <v>50</v>
          </cell>
          <cell r="E26" t="str">
            <v>Grand Total</v>
          </cell>
          <cell r="F26">
            <v>50</v>
          </cell>
        </row>
        <row r="28">
          <cell r="A28" t="str">
            <v>Industry</v>
          </cell>
          <cell r="B28" t="str">
            <v>(All)</v>
          </cell>
        </row>
        <row r="29">
          <cell r="A29" t="str">
            <v>Revenue</v>
          </cell>
          <cell r="B29" t="str">
            <v>(All)</v>
          </cell>
        </row>
        <row r="31">
          <cell r="A31" t="str">
            <v>Count of 5 Cisco</v>
          </cell>
        </row>
        <row r="32">
          <cell r="A32" t="str">
            <v>5 Cisco</v>
          </cell>
          <cell r="B32" t="str">
            <v>Total</v>
          </cell>
        </row>
        <row r="33">
          <cell r="A33" t="str">
            <v>Increase</v>
          </cell>
          <cell r="B33">
            <v>3</v>
          </cell>
        </row>
        <row r="34">
          <cell r="A34" t="str">
            <v>Flat</v>
          </cell>
          <cell r="B34">
            <v>15</v>
          </cell>
        </row>
        <row r="35">
          <cell r="A35" t="str">
            <v>Decrease</v>
          </cell>
          <cell r="B35">
            <v>3</v>
          </cell>
        </row>
        <row r="36">
          <cell r="A36" t="str">
            <v>Don't Use</v>
          </cell>
          <cell r="B36">
            <v>29</v>
          </cell>
        </row>
        <row r="37">
          <cell r="A37" t="str">
            <v>Grand Total</v>
          </cell>
          <cell r="B37">
            <v>50</v>
          </cell>
        </row>
      </sheetData>
      <sheetData sheetId="5"/>
      <sheetData sheetId="6">
        <row r="1">
          <cell r="A1" t="str">
            <v>Morgan Stanley Hardware Survey - June 2011</v>
          </cell>
        </row>
        <row r="2">
          <cell r="A2" t="str">
            <v xml:space="preserve"> </v>
          </cell>
        </row>
        <row r="3">
          <cell r="A3" t="str">
            <v>7.  As a result of deploying server virtualization over the next 12 months, how much do you</v>
          </cell>
        </row>
        <row r="4">
          <cell r="A4" t="str">
            <v xml:space="preserve"> expect your Server, Storage, and Networking spend to change?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7 Servers</v>
          </cell>
          <cell r="E9" t="str">
            <v>Count of 7 Storage</v>
          </cell>
        </row>
        <row r="10">
          <cell r="A10" t="str">
            <v>7 Servers</v>
          </cell>
          <cell r="B10" t="str">
            <v>Total</v>
          </cell>
          <cell r="E10" t="str">
            <v>7 Storage</v>
          </cell>
          <cell r="F10" t="str">
            <v>Total</v>
          </cell>
          <cell r="J10" t="str">
            <v>Servers</v>
          </cell>
          <cell r="K10" t="str">
            <v>Storage</v>
          </cell>
          <cell r="L10" t="str">
            <v>Networking</v>
          </cell>
        </row>
        <row r="11">
          <cell r="A11" t="str">
            <v>Up 21-30%</v>
          </cell>
          <cell r="B11">
            <v>1</v>
          </cell>
          <cell r="E11" t="str">
            <v>Up 11-20%</v>
          </cell>
          <cell r="F11">
            <v>6</v>
          </cell>
          <cell r="I11" t="str">
            <v>Up 21-30%</v>
          </cell>
          <cell r="J11">
            <v>1</v>
          </cell>
          <cell r="L11">
            <v>1</v>
          </cell>
        </row>
        <row r="12">
          <cell r="A12" t="str">
            <v>Up 11-20%</v>
          </cell>
          <cell r="B12">
            <v>2</v>
          </cell>
          <cell r="E12" t="str">
            <v>Up 1-10%</v>
          </cell>
          <cell r="F12">
            <v>8</v>
          </cell>
          <cell r="I12" t="str">
            <v>Up 11-20%</v>
          </cell>
          <cell r="J12">
            <v>2</v>
          </cell>
          <cell r="K12">
            <v>6</v>
          </cell>
          <cell r="L12">
            <v>2</v>
          </cell>
        </row>
        <row r="13">
          <cell r="A13" t="str">
            <v>Up 1-10%</v>
          </cell>
          <cell r="B13">
            <v>9</v>
          </cell>
          <cell r="E13" t="str">
            <v>Flat</v>
          </cell>
          <cell r="F13">
            <v>13</v>
          </cell>
          <cell r="I13" t="str">
            <v>Up 1-10%</v>
          </cell>
          <cell r="J13">
            <v>9</v>
          </cell>
          <cell r="K13">
            <v>8</v>
          </cell>
          <cell r="L13">
            <v>9</v>
          </cell>
        </row>
        <row r="14">
          <cell r="A14" t="str">
            <v>Flat</v>
          </cell>
          <cell r="B14">
            <v>12</v>
          </cell>
          <cell r="E14" t="str">
            <v>Down 1-10%</v>
          </cell>
          <cell r="F14">
            <v>14</v>
          </cell>
          <cell r="I14" t="str">
            <v>Flat</v>
          </cell>
          <cell r="J14">
            <v>12</v>
          </cell>
          <cell r="K14">
            <v>13</v>
          </cell>
          <cell r="L14">
            <v>28</v>
          </cell>
        </row>
        <row r="15">
          <cell r="A15" t="str">
            <v>Down 1-10%</v>
          </cell>
          <cell r="B15">
            <v>15</v>
          </cell>
          <cell r="E15" t="str">
            <v>Down 11-20%</v>
          </cell>
          <cell r="F15">
            <v>5</v>
          </cell>
          <cell r="I15" t="str">
            <v>Down 1-10%</v>
          </cell>
          <cell r="J15">
            <v>15</v>
          </cell>
          <cell r="K15">
            <v>14</v>
          </cell>
          <cell r="L15">
            <v>6</v>
          </cell>
        </row>
        <row r="16">
          <cell r="A16" t="str">
            <v>Down 11-20%</v>
          </cell>
          <cell r="B16">
            <v>4</v>
          </cell>
          <cell r="E16" t="str">
            <v>Down 21-30%</v>
          </cell>
          <cell r="F16">
            <v>1</v>
          </cell>
          <cell r="I16" t="str">
            <v>Down 11-20%</v>
          </cell>
          <cell r="J16">
            <v>4</v>
          </cell>
          <cell r="K16">
            <v>5</v>
          </cell>
          <cell r="L16">
            <v>1</v>
          </cell>
        </row>
        <row r="17">
          <cell r="A17" t="str">
            <v>Down 21-30%</v>
          </cell>
          <cell r="B17">
            <v>2</v>
          </cell>
          <cell r="E17" t="str">
            <v>NA / Unsure</v>
          </cell>
          <cell r="F17">
            <v>3</v>
          </cell>
          <cell r="I17" t="str">
            <v>Down 21-30%</v>
          </cell>
          <cell r="J17">
            <v>2</v>
          </cell>
          <cell r="K17">
            <v>1</v>
          </cell>
        </row>
        <row r="18">
          <cell r="A18" t="str">
            <v>Down &gt;30%</v>
          </cell>
          <cell r="B18">
            <v>2</v>
          </cell>
          <cell r="E18" t="str">
            <v>Grand Total</v>
          </cell>
          <cell r="F18">
            <v>50</v>
          </cell>
          <cell r="I18" t="str">
            <v>Down &gt;30%</v>
          </cell>
          <cell r="J18">
            <v>2</v>
          </cell>
        </row>
        <row r="19">
          <cell r="A19" t="str">
            <v>NA / Unsure</v>
          </cell>
          <cell r="B19">
            <v>3</v>
          </cell>
          <cell r="I19" t="str">
            <v>NA / Unsure</v>
          </cell>
          <cell r="J19">
            <v>3</v>
          </cell>
          <cell r="K19">
            <v>3</v>
          </cell>
          <cell r="L19">
            <v>3</v>
          </cell>
        </row>
        <row r="20">
          <cell r="A20" t="str">
            <v>Grand Total</v>
          </cell>
          <cell r="B20">
            <v>50</v>
          </cell>
        </row>
        <row r="21">
          <cell r="I21" t="str">
            <v>Up</v>
          </cell>
          <cell r="J21">
            <v>0.25531914893617019</v>
          </cell>
          <cell r="K21">
            <v>0.2978723404255319</v>
          </cell>
          <cell r="L21">
            <v>0.25531914893617019</v>
          </cell>
        </row>
        <row r="22">
          <cell r="A22" t="str">
            <v>Industry</v>
          </cell>
          <cell r="B22" t="str">
            <v>(All)</v>
          </cell>
          <cell r="I22" t="str">
            <v>Flat</v>
          </cell>
          <cell r="J22">
            <v>0.25531914893617019</v>
          </cell>
          <cell r="K22">
            <v>0.27659574468085107</v>
          </cell>
          <cell r="L22">
            <v>0.5957446808510638</v>
          </cell>
        </row>
        <row r="23">
          <cell r="A23" t="str">
            <v>Revenue</v>
          </cell>
          <cell r="B23" t="str">
            <v>(All)</v>
          </cell>
          <cell r="I23" t="str">
            <v>Down</v>
          </cell>
          <cell r="J23">
            <v>-0.48936170212765956</v>
          </cell>
          <cell r="K23">
            <v>-0.42553191489361702</v>
          </cell>
          <cell r="L23">
            <v>-0.14893617021276595</v>
          </cell>
        </row>
        <row r="25">
          <cell r="A25" t="str">
            <v>Count of 7 Networking</v>
          </cell>
          <cell r="I25" t="str">
            <v>Net Up</v>
          </cell>
        </row>
        <row r="26">
          <cell r="A26" t="str">
            <v>7 Networking</v>
          </cell>
          <cell r="B26" t="str">
            <v>Total</v>
          </cell>
          <cell r="I26" t="str">
            <v>Oct 10 Survey</v>
          </cell>
          <cell r="J26">
            <v>-0.21951219512195119</v>
          </cell>
          <cell r="K26">
            <v>8.3333333333333315E-2</v>
          </cell>
          <cell r="L26">
            <v>0.47222222222222227</v>
          </cell>
        </row>
        <row r="27">
          <cell r="A27" t="str">
            <v>Up 21-30%</v>
          </cell>
          <cell r="B27">
            <v>1</v>
          </cell>
          <cell r="I27" t="str">
            <v>Jan 11 Survey</v>
          </cell>
          <cell r="J27">
            <v>-0.15555555555555578</v>
          </cell>
          <cell r="K27">
            <v>0.2</v>
          </cell>
          <cell r="L27">
            <v>0.24444444444444441</v>
          </cell>
        </row>
        <row r="28">
          <cell r="A28" t="str">
            <v>Up 11-20%</v>
          </cell>
          <cell r="B28">
            <v>2</v>
          </cell>
          <cell r="I28" t="str">
            <v>Apr 11 Survey</v>
          </cell>
          <cell r="J28">
            <v>-0.16666666666666663</v>
          </cell>
          <cell r="K28">
            <v>0.25</v>
          </cell>
          <cell r="L28">
            <v>0.22916666666666669</v>
          </cell>
        </row>
        <row r="29">
          <cell r="A29" t="str">
            <v>Up 1-10%</v>
          </cell>
          <cell r="B29">
            <v>9</v>
          </cell>
          <cell r="I29" t="str">
            <v>Jul 11 Survey</v>
          </cell>
          <cell r="J29">
            <v>-0.23404255319148937</v>
          </cell>
          <cell r="K29">
            <v>-0.12765957446808512</v>
          </cell>
          <cell r="L29">
            <v>0.10638297872340424</v>
          </cell>
        </row>
        <row r="30">
          <cell r="A30" t="str">
            <v>Flat</v>
          </cell>
          <cell r="B30">
            <v>28</v>
          </cell>
        </row>
        <row r="31">
          <cell r="A31" t="str">
            <v>Down 1-10%</v>
          </cell>
          <cell r="B31">
            <v>6</v>
          </cell>
        </row>
        <row r="32">
          <cell r="A32" t="str">
            <v>Down 11-20%</v>
          </cell>
          <cell r="B32">
            <v>1</v>
          </cell>
        </row>
        <row r="33">
          <cell r="A33" t="str">
            <v>NA / Unsure</v>
          </cell>
          <cell r="B33">
            <v>3</v>
          </cell>
        </row>
        <row r="34">
          <cell r="A34" t="str">
            <v>Grand Total</v>
          </cell>
          <cell r="B34">
            <v>50</v>
          </cell>
        </row>
      </sheetData>
      <sheetData sheetId="7">
        <row r="1">
          <cell r="A1" t="str">
            <v>Morgan Stanley Hardware Survey - June 2011</v>
          </cell>
        </row>
        <row r="2">
          <cell r="A2" t="str">
            <v xml:space="preserve"> </v>
          </cell>
        </row>
        <row r="3">
          <cell r="A3" t="str">
            <v>8.  Over the next twelve months, what are your Storage spending plans as it relates to specific</v>
          </cell>
        </row>
        <row r="4">
          <cell r="A4" t="str">
            <v xml:space="preserve"> vendors?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8 Dell</v>
          </cell>
          <cell r="E9" t="str">
            <v>Count of 8 EMC</v>
          </cell>
        </row>
        <row r="10">
          <cell r="A10" t="str">
            <v>8 Dell</v>
          </cell>
          <cell r="B10" t="str">
            <v>Total</v>
          </cell>
          <cell r="E10" t="str">
            <v>8 EMC</v>
          </cell>
          <cell r="F10" t="str">
            <v>Total</v>
          </cell>
          <cell r="J10" t="str">
            <v>DELL</v>
          </cell>
          <cell r="K10" t="str">
            <v>EMC</v>
          </cell>
          <cell r="L10" t="str">
            <v>HIT</v>
          </cell>
          <cell r="M10" t="str">
            <v>HPQ</v>
          </cell>
          <cell r="N10" t="str">
            <v>IBM</v>
          </cell>
          <cell r="O10" t="str">
            <v>NTAP</v>
          </cell>
          <cell r="P10" t="str">
            <v>ORCL</v>
          </cell>
        </row>
        <row r="11">
          <cell r="A11" t="str">
            <v>Increase</v>
          </cell>
          <cell r="B11">
            <v>6</v>
          </cell>
          <cell r="E11" t="str">
            <v>Increase</v>
          </cell>
          <cell r="F11">
            <v>12</v>
          </cell>
          <cell r="I11" t="str">
            <v>Increase</v>
          </cell>
          <cell r="J11">
            <v>6</v>
          </cell>
          <cell r="K11">
            <v>12</v>
          </cell>
          <cell r="L11">
            <v>4</v>
          </cell>
          <cell r="M11">
            <v>8</v>
          </cell>
          <cell r="N11">
            <v>2</v>
          </cell>
          <cell r="O11">
            <v>10</v>
          </cell>
          <cell r="P11">
            <v>3</v>
          </cell>
        </row>
        <row r="12">
          <cell r="A12" t="str">
            <v>Flat</v>
          </cell>
          <cell r="B12">
            <v>11</v>
          </cell>
          <cell r="E12" t="str">
            <v>Flat</v>
          </cell>
          <cell r="F12">
            <v>20</v>
          </cell>
          <cell r="I12" t="str">
            <v>Flat</v>
          </cell>
          <cell r="J12">
            <v>11</v>
          </cell>
          <cell r="K12">
            <v>20</v>
          </cell>
          <cell r="L12">
            <v>10</v>
          </cell>
          <cell r="M12">
            <v>18</v>
          </cell>
          <cell r="N12">
            <v>20</v>
          </cell>
          <cell r="O12">
            <v>15</v>
          </cell>
          <cell r="P12">
            <v>8</v>
          </cell>
        </row>
        <row r="13">
          <cell r="A13" t="str">
            <v>Decrease</v>
          </cell>
          <cell r="B13">
            <v>4</v>
          </cell>
          <cell r="E13" t="str">
            <v>Decrease</v>
          </cell>
          <cell r="F13">
            <v>8</v>
          </cell>
          <cell r="I13" t="str">
            <v>Decrease</v>
          </cell>
          <cell r="J13">
            <v>4</v>
          </cell>
          <cell r="K13">
            <v>8</v>
          </cell>
          <cell r="L13">
            <v>3</v>
          </cell>
          <cell r="M13">
            <v>3</v>
          </cell>
          <cell r="N13">
            <v>6</v>
          </cell>
          <cell r="O13">
            <v>5</v>
          </cell>
          <cell r="P13">
            <v>7</v>
          </cell>
        </row>
        <row r="14">
          <cell r="A14" t="str">
            <v>Don't Use</v>
          </cell>
          <cell r="B14">
            <v>29</v>
          </cell>
          <cell r="E14" t="str">
            <v>Don't Use</v>
          </cell>
          <cell r="F14">
            <v>10</v>
          </cell>
          <cell r="I14" t="str">
            <v>Don't Use</v>
          </cell>
          <cell r="J14">
            <v>29</v>
          </cell>
          <cell r="K14">
            <v>10</v>
          </cell>
          <cell r="L14">
            <v>33</v>
          </cell>
          <cell r="M14">
            <v>21</v>
          </cell>
          <cell r="N14">
            <v>22</v>
          </cell>
          <cell r="O14">
            <v>20</v>
          </cell>
          <cell r="P14">
            <v>32</v>
          </cell>
        </row>
        <row r="15">
          <cell r="A15" t="str">
            <v>Grand Total</v>
          </cell>
          <cell r="B15">
            <v>50</v>
          </cell>
          <cell r="E15" t="str">
            <v>Grand Total</v>
          </cell>
          <cell r="F15">
            <v>50</v>
          </cell>
        </row>
        <row r="16">
          <cell r="I16" t="str">
            <v>Increase</v>
          </cell>
          <cell r="J16">
            <v>0.2857142857142857</v>
          </cell>
          <cell r="K16">
            <v>0.3</v>
          </cell>
          <cell r="L16">
            <v>0.23529411764705882</v>
          </cell>
          <cell r="M16">
            <v>0.27586206896551724</v>
          </cell>
          <cell r="N16">
            <v>7.1428571428571425E-2</v>
          </cell>
          <cell r="O16">
            <v>0.33333333333333331</v>
          </cell>
          <cell r="P16">
            <v>0.16666666666666666</v>
          </cell>
        </row>
        <row r="17">
          <cell r="A17" t="str">
            <v>Industry</v>
          </cell>
          <cell r="B17" t="str">
            <v>(All)</v>
          </cell>
          <cell r="E17" t="str">
            <v>Industry</v>
          </cell>
          <cell r="F17" t="str">
            <v>(All)</v>
          </cell>
          <cell r="I17" t="str">
            <v>Decrease</v>
          </cell>
          <cell r="J17">
            <v>-0.19047619047619047</v>
          </cell>
          <cell r="K17">
            <v>-0.2</v>
          </cell>
          <cell r="L17">
            <v>-0.17647058823529413</v>
          </cell>
          <cell r="M17">
            <v>-0.10344827586206896</v>
          </cell>
          <cell r="N17">
            <v>-0.21428571428571427</v>
          </cell>
          <cell r="O17">
            <v>-0.16666666666666666</v>
          </cell>
          <cell r="P17">
            <v>-0.3888888888888889</v>
          </cell>
        </row>
        <row r="18">
          <cell r="A18" t="str">
            <v>Revenue</v>
          </cell>
          <cell r="B18" t="str">
            <v>(All)</v>
          </cell>
          <cell r="E18" t="str">
            <v>Revenue</v>
          </cell>
          <cell r="F18" t="str">
            <v>(All)</v>
          </cell>
        </row>
        <row r="19">
          <cell r="J19" t="str">
            <v>NTAP</v>
          </cell>
          <cell r="O19" t="str">
            <v>HPQ</v>
          </cell>
          <cell r="T19" t="str">
            <v>EMC</v>
          </cell>
          <cell r="Y19" t="str">
            <v>DELL</v>
          </cell>
          <cell r="AD19" t="str">
            <v>IBM</v>
          </cell>
          <cell r="AI19" t="str">
            <v>ORCL</v>
          </cell>
        </row>
        <row r="20">
          <cell r="A20" t="str">
            <v>Count of 8 Hitachi</v>
          </cell>
          <cell r="E20" t="str">
            <v>Count of 8 HP</v>
          </cell>
          <cell r="I20" t="str">
            <v>Increase</v>
          </cell>
          <cell r="J20">
            <v>0.42857142857142855</v>
          </cell>
          <cell r="K20">
            <v>0.25714285714285712</v>
          </cell>
          <cell r="L20">
            <v>0.33333333333333331</v>
          </cell>
          <cell r="M20">
            <v>0.33333333333333331</v>
          </cell>
          <cell r="O20">
            <v>0.23076923076923078</v>
          </cell>
          <cell r="P20">
            <v>0.22222222222222221</v>
          </cell>
          <cell r="Q20">
            <v>0.27659574468085107</v>
          </cell>
          <cell r="R20">
            <v>0.27586206896551724</v>
          </cell>
          <cell r="T20">
            <v>0.42499999999999999</v>
          </cell>
          <cell r="U20">
            <v>0.38297872340425532</v>
          </cell>
          <cell r="V20">
            <v>0.375</v>
          </cell>
          <cell r="W20">
            <v>0.3</v>
          </cell>
          <cell r="Y20">
            <v>0.3888888888888889</v>
          </cell>
          <cell r="Z20">
            <v>0.30952380952380953</v>
          </cell>
          <cell r="AA20">
            <v>0.35714285714285715</v>
          </cell>
          <cell r="AB20">
            <v>0.2857142857142857</v>
          </cell>
          <cell r="AD20">
            <v>0.21212121212121213</v>
          </cell>
          <cell r="AE20">
            <v>0.21875</v>
          </cell>
          <cell r="AF20">
            <v>0.16666666666666666</v>
          </cell>
          <cell r="AG20">
            <v>7.1428571428571425E-2</v>
          </cell>
          <cell r="AI20">
            <v>0.29411764705882354</v>
          </cell>
          <cell r="AJ20">
            <v>0.28000000000000003</v>
          </cell>
          <cell r="AK20">
            <v>0.3125</v>
          </cell>
          <cell r="AL20">
            <v>0.16666666666666666</v>
          </cell>
        </row>
        <row r="21">
          <cell r="A21" t="str">
            <v>8 Hitachi</v>
          </cell>
          <cell r="B21" t="str">
            <v>Total</v>
          </cell>
          <cell r="E21" t="str">
            <v>8 HP</v>
          </cell>
          <cell r="F21" t="str">
            <v>Total</v>
          </cell>
          <cell r="I21" t="str">
            <v>Decrease</v>
          </cell>
          <cell r="J21">
            <v>0</v>
          </cell>
          <cell r="K21">
            <v>-0.11428571428571428</v>
          </cell>
          <cell r="L21">
            <v>-0.1111111111111111</v>
          </cell>
          <cell r="M21">
            <v>-0.16666666666666666</v>
          </cell>
          <cell r="O21">
            <v>-0.17948717948717949</v>
          </cell>
          <cell r="P21">
            <v>-0.1111111111111111</v>
          </cell>
          <cell r="Q21">
            <v>-0.10638297872340426</v>
          </cell>
          <cell r="R21">
            <v>-0.10344827586206896</v>
          </cell>
          <cell r="T21">
            <v>-2.5000000000000001E-2</v>
          </cell>
          <cell r="U21">
            <v>-8.5106382978723402E-2</v>
          </cell>
          <cell r="V21">
            <v>-0.125</v>
          </cell>
          <cell r="W21">
            <v>-0.2</v>
          </cell>
          <cell r="Y21">
            <v>0</v>
          </cell>
          <cell r="Z21">
            <v>-4.7619047619047616E-2</v>
          </cell>
          <cell r="AA21">
            <v>-0.11904761904761904</v>
          </cell>
          <cell r="AB21">
            <v>-0.19047619047619047</v>
          </cell>
          <cell r="AD21">
            <v>-0.15151515151515152</v>
          </cell>
          <cell r="AE21">
            <v>-0.15625</v>
          </cell>
          <cell r="AF21">
            <v>-0.125</v>
          </cell>
          <cell r="AG21">
            <v>-0.21428571428571427</v>
          </cell>
          <cell r="AI21">
            <v>0</v>
          </cell>
          <cell r="AJ21">
            <v>-0.16</v>
          </cell>
          <cell r="AK21">
            <v>-0.3125</v>
          </cell>
          <cell r="AL21">
            <v>-0.3888888888888889</v>
          </cell>
        </row>
        <row r="22">
          <cell r="A22" t="str">
            <v>Increase</v>
          </cell>
          <cell r="B22">
            <v>4</v>
          </cell>
          <cell r="E22" t="str">
            <v>Increase</v>
          </cell>
          <cell r="F22">
            <v>8</v>
          </cell>
        </row>
        <row r="23">
          <cell r="A23" t="str">
            <v>Flat</v>
          </cell>
          <cell r="B23">
            <v>10</v>
          </cell>
          <cell r="E23" t="str">
            <v>Flat</v>
          </cell>
          <cell r="F23">
            <v>18</v>
          </cell>
        </row>
        <row r="24">
          <cell r="A24" t="str">
            <v>Decrease</v>
          </cell>
          <cell r="B24">
            <v>3</v>
          </cell>
          <cell r="E24" t="str">
            <v>Decrease</v>
          </cell>
          <cell r="F24">
            <v>3</v>
          </cell>
        </row>
        <row r="25">
          <cell r="A25" t="str">
            <v>Don't Use</v>
          </cell>
          <cell r="B25">
            <v>33</v>
          </cell>
          <cell r="E25" t="str">
            <v>Don't Use</v>
          </cell>
          <cell r="F25">
            <v>21</v>
          </cell>
        </row>
        <row r="26">
          <cell r="A26" t="str">
            <v>Grand Total</v>
          </cell>
          <cell r="B26">
            <v>50</v>
          </cell>
          <cell r="E26" t="str">
            <v>Grand Total</v>
          </cell>
          <cell r="F26">
            <v>50</v>
          </cell>
        </row>
        <row r="28">
          <cell r="A28" t="str">
            <v>Industry</v>
          </cell>
          <cell r="B28" t="str">
            <v>(All)</v>
          </cell>
          <cell r="E28" t="str">
            <v>Industry</v>
          </cell>
          <cell r="F28" t="str">
            <v>(All)</v>
          </cell>
        </row>
        <row r="29">
          <cell r="A29" t="str">
            <v>Revenue</v>
          </cell>
          <cell r="B29" t="str">
            <v>(All)</v>
          </cell>
          <cell r="E29" t="str">
            <v>Revenue</v>
          </cell>
          <cell r="F29" t="str">
            <v>(All)</v>
          </cell>
        </row>
        <row r="31">
          <cell r="A31" t="str">
            <v>Count of 8 IBM</v>
          </cell>
          <cell r="E31" t="str">
            <v>Count of 8 NetApp</v>
          </cell>
        </row>
        <row r="32">
          <cell r="A32" t="str">
            <v>8 IBM</v>
          </cell>
          <cell r="B32" t="str">
            <v>Total</v>
          </cell>
          <cell r="E32" t="str">
            <v>8 NetApp</v>
          </cell>
          <cell r="F32" t="str">
            <v>Total</v>
          </cell>
        </row>
        <row r="33">
          <cell r="A33" t="str">
            <v>Increase</v>
          </cell>
          <cell r="B33">
            <v>2</v>
          </cell>
          <cell r="E33" t="str">
            <v>Increase</v>
          </cell>
          <cell r="F33">
            <v>10</v>
          </cell>
        </row>
        <row r="34">
          <cell r="A34" t="str">
            <v>Flat</v>
          </cell>
          <cell r="B34">
            <v>20</v>
          </cell>
          <cell r="E34" t="str">
            <v>Flat</v>
          </cell>
          <cell r="F34">
            <v>15</v>
          </cell>
        </row>
        <row r="35">
          <cell r="A35" t="str">
            <v>Decrease</v>
          </cell>
          <cell r="B35">
            <v>6</v>
          </cell>
          <cell r="E35" t="str">
            <v>Decrease</v>
          </cell>
          <cell r="F35">
            <v>5</v>
          </cell>
        </row>
        <row r="36">
          <cell r="A36" t="str">
            <v>Don't Use</v>
          </cell>
          <cell r="B36">
            <v>22</v>
          </cell>
          <cell r="E36" t="str">
            <v>Don't Use</v>
          </cell>
          <cell r="F36">
            <v>20</v>
          </cell>
        </row>
        <row r="37">
          <cell r="A37" t="str">
            <v>Grand Total</v>
          </cell>
          <cell r="B37">
            <v>50</v>
          </cell>
          <cell r="E37" t="str">
            <v>Grand Total</v>
          </cell>
          <cell r="F37">
            <v>50</v>
          </cell>
        </row>
        <row r="39">
          <cell r="A39" t="str">
            <v>Industry</v>
          </cell>
          <cell r="B39" t="str">
            <v>(All)</v>
          </cell>
        </row>
        <row r="40">
          <cell r="A40" t="str">
            <v>Revenue</v>
          </cell>
          <cell r="B40" t="str">
            <v>(All)</v>
          </cell>
        </row>
        <row r="42">
          <cell r="A42" t="str">
            <v>Count of 8 Oracle/Sun</v>
          </cell>
        </row>
        <row r="43">
          <cell r="A43" t="str">
            <v>8 Oracle/Sun</v>
          </cell>
          <cell r="B43" t="str">
            <v>Total</v>
          </cell>
        </row>
        <row r="44">
          <cell r="A44" t="str">
            <v>Increase</v>
          </cell>
          <cell r="B44">
            <v>3</v>
          </cell>
        </row>
        <row r="45">
          <cell r="A45" t="str">
            <v>Flat</v>
          </cell>
          <cell r="B45">
            <v>8</v>
          </cell>
        </row>
        <row r="46">
          <cell r="A46" t="str">
            <v>Decrease</v>
          </cell>
          <cell r="B46">
            <v>7</v>
          </cell>
        </row>
        <row r="47">
          <cell r="A47" t="str">
            <v>Don't Use</v>
          </cell>
          <cell r="B47">
            <v>32</v>
          </cell>
        </row>
        <row r="48">
          <cell r="A48" t="str">
            <v>Grand Total</v>
          </cell>
          <cell r="B48">
            <v>50</v>
          </cell>
        </row>
      </sheetData>
      <sheetData sheetId="8">
        <row r="1">
          <cell r="A1" t="str">
            <v>Morgan Stanley Hardware Survey - June 2011</v>
          </cell>
        </row>
        <row r="3">
          <cell r="A3" t="str">
            <v>9.  Have you evaluated EMC’s new storage products?  Please indicate if you are an existing</v>
          </cell>
        </row>
        <row r="4">
          <cell r="A4" t="str">
            <v xml:space="preserve"> EMC customer.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9 EMC Customer</v>
          </cell>
          <cell r="I9" t="str">
            <v>Use EMC Now?</v>
          </cell>
          <cell r="M9" t="str">
            <v>VNXe</v>
          </cell>
          <cell r="O9" t="str">
            <v>VNX</v>
          </cell>
          <cell r="Q9" t="str">
            <v>Isilon</v>
          </cell>
        </row>
        <row r="10">
          <cell r="A10" t="str">
            <v>9 EMC Customer</v>
          </cell>
          <cell r="B10" t="str">
            <v>Total</v>
          </cell>
          <cell r="I10" t="str">
            <v>Apr 11 Survey</v>
          </cell>
          <cell r="J10" t="str">
            <v>Jul 11 Survey</v>
          </cell>
          <cell r="M10" t="str">
            <v>Apr 11 Survey</v>
          </cell>
          <cell r="N10" t="str">
            <v>Jul 11 Survey</v>
          </cell>
          <cell r="O10" t="str">
            <v>Apr 11 Survey</v>
          </cell>
          <cell r="P10" t="str">
            <v>Jul 11 Survey</v>
          </cell>
          <cell r="Q10" t="str">
            <v>Apr 11 Survey</v>
          </cell>
          <cell r="R10" t="str">
            <v>Jul 11 Survey</v>
          </cell>
        </row>
        <row r="11">
          <cell r="A11" t="str">
            <v>Yes</v>
          </cell>
          <cell r="B11">
            <v>35</v>
          </cell>
          <cell r="H11" t="str">
            <v>Yes</v>
          </cell>
          <cell r="I11">
            <v>0.72</v>
          </cell>
          <cell r="J11">
            <v>0.7</v>
          </cell>
          <cell r="L11" t="str">
            <v>Intend to evaluate</v>
          </cell>
          <cell r="M11">
            <v>0.08</v>
          </cell>
          <cell r="N11">
            <v>0.08</v>
          </cell>
          <cell r="O11">
            <v>0.08</v>
          </cell>
          <cell r="P11">
            <v>0.12</v>
          </cell>
          <cell r="Q11">
            <v>0</v>
          </cell>
          <cell r="R11">
            <v>0.06</v>
          </cell>
        </row>
        <row r="12">
          <cell r="A12" t="str">
            <v>No</v>
          </cell>
          <cell r="B12">
            <v>15</v>
          </cell>
          <cell r="H12" t="str">
            <v>No</v>
          </cell>
          <cell r="I12">
            <v>0.28000000000000003</v>
          </cell>
          <cell r="J12">
            <v>0.3</v>
          </cell>
          <cell r="L12" t="str">
            <v>Evaluated and intend to purchase</v>
          </cell>
          <cell r="M12">
            <v>0.02</v>
          </cell>
          <cell r="N12">
            <v>0.06</v>
          </cell>
          <cell r="O12">
            <v>0.06</v>
          </cell>
          <cell r="P12">
            <v>0.02</v>
          </cell>
          <cell r="Q12">
            <v>0.04</v>
          </cell>
          <cell r="R12">
            <v>0.02</v>
          </cell>
        </row>
        <row r="13">
          <cell r="A13" t="str">
            <v>Grand Total</v>
          </cell>
          <cell r="B13">
            <v>50</v>
          </cell>
          <cell r="L13" t="str">
            <v>Evaluated, but no decision</v>
          </cell>
          <cell r="M13">
            <v>0.24</v>
          </cell>
          <cell r="N13">
            <v>0.18</v>
          </cell>
          <cell r="O13">
            <v>0.22</v>
          </cell>
          <cell r="P13">
            <v>0.24</v>
          </cell>
          <cell r="Q13">
            <v>0.22</v>
          </cell>
          <cell r="R13">
            <v>0.24</v>
          </cell>
        </row>
        <row r="14">
          <cell r="L14" t="str">
            <v>Evaluated, but not interested</v>
          </cell>
          <cell r="M14">
            <v>0.16</v>
          </cell>
          <cell r="N14">
            <v>0.22</v>
          </cell>
          <cell r="O14">
            <v>0.18</v>
          </cell>
          <cell r="P14">
            <v>0.18</v>
          </cell>
          <cell r="Q14">
            <v>0.12</v>
          </cell>
          <cell r="R14">
            <v>0.12</v>
          </cell>
        </row>
        <row r="15">
          <cell r="A15" t="str">
            <v>Industry</v>
          </cell>
          <cell r="B15" t="str">
            <v>(All)</v>
          </cell>
          <cell r="E15" t="str">
            <v>Industry</v>
          </cell>
          <cell r="F15" t="str">
            <v>(All)</v>
          </cell>
          <cell r="L15" t="str">
            <v>Have not evaluated</v>
          </cell>
          <cell r="M15">
            <v>0.5</v>
          </cell>
          <cell r="N15">
            <v>0.46</v>
          </cell>
          <cell r="O15">
            <v>0.46</v>
          </cell>
          <cell r="P15">
            <v>0.44</v>
          </cell>
          <cell r="Q15">
            <v>0.62</v>
          </cell>
          <cell r="R15">
            <v>0.56000000000000005</v>
          </cell>
        </row>
        <row r="16">
          <cell r="A16" t="str">
            <v>Revenue</v>
          </cell>
          <cell r="B16" t="str">
            <v>(All)</v>
          </cell>
          <cell r="E16" t="str">
            <v>Revenue</v>
          </cell>
          <cell r="F16" t="str">
            <v>(All)</v>
          </cell>
        </row>
        <row r="18">
          <cell r="A18" t="str">
            <v>Count of 9 VNXe</v>
          </cell>
          <cell r="E18" t="str">
            <v>Count of 9 VNX</v>
          </cell>
        </row>
        <row r="19">
          <cell r="A19" t="str">
            <v>9 VNXe</v>
          </cell>
          <cell r="B19" t="str">
            <v>Total</v>
          </cell>
          <cell r="E19" t="str">
            <v>9 VNX</v>
          </cell>
          <cell r="F19" t="str">
            <v>Total</v>
          </cell>
        </row>
        <row r="20">
          <cell r="A20" t="str">
            <v>Intend to evaluate</v>
          </cell>
          <cell r="B20">
            <v>4</v>
          </cell>
          <cell r="E20" t="str">
            <v>Intend to evaluate</v>
          </cell>
          <cell r="F20">
            <v>6</v>
          </cell>
        </row>
        <row r="21">
          <cell r="A21" t="str">
            <v>Evaluated and intend to purchase</v>
          </cell>
          <cell r="B21">
            <v>3</v>
          </cell>
          <cell r="E21" t="str">
            <v>Evaluated and intend to purchase</v>
          </cell>
          <cell r="F21">
            <v>1</v>
          </cell>
        </row>
        <row r="22">
          <cell r="A22" t="str">
            <v>Evaluated, but no decision</v>
          </cell>
          <cell r="B22">
            <v>9</v>
          </cell>
          <cell r="E22" t="str">
            <v>Evaluated, but no decision</v>
          </cell>
          <cell r="F22">
            <v>12</v>
          </cell>
        </row>
        <row r="23">
          <cell r="A23" t="str">
            <v>Evaluated, but not interested</v>
          </cell>
          <cell r="B23">
            <v>11</v>
          </cell>
          <cell r="E23" t="str">
            <v>Evaluated, but not interested</v>
          </cell>
          <cell r="F23">
            <v>9</v>
          </cell>
        </row>
        <row r="24">
          <cell r="A24" t="str">
            <v>Have not evaluated</v>
          </cell>
          <cell r="B24">
            <v>23</v>
          </cell>
          <cell r="E24" t="str">
            <v>Have not evaluated</v>
          </cell>
          <cell r="F24">
            <v>22</v>
          </cell>
        </row>
        <row r="25">
          <cell r="A25" t="str">
            <v>Grand Total</v>
          </cell>
          <cell r="B25">
            <v>50</v>
          </cell>
          <cell r="E25" t="str">
            <v>Grand Total</v>
          </cell>
          <cell r="F25">
            <v>50</v>
          </cell>
        </row>
        <row r="27">
          <cell r="A27" t="str">
            <v>Industry</v>
          </cell>
          <cell r="B27" t="str">
            <v>(All)</v>
          </cell>
        </row>
        <row r="28">
          <cell r="A28" t="str">
            <v>Revenue</v>
          </cell>
          <cell r="B28" t="str">
            <v>(All)</v>
          </cell>
        </row>
        <row r="30">
          <cell r="A30" t="str">
            <v>Count of 9 Isilon</v>
          </cell>
        </row>
        <row r="31">
          <cell r="A31" t="str">
            <v>9 Isilon</v>
          </cell>
          <cell r="B31" t="str">
            <v>Total</v>
          </cell>
        </row>
        <row r="32">
          <cell r="A32" t="str">
            <v>Intend to evaluate</v>
          </cell>
          <cell r="B32">
            <v>3</v>
          </cell>
        </row>
        <row r="33">
          <cell r="A33" t="str">
            <v>Evaluated and intend to purchase</v>
          </cell>
          <cell r="B33">
            <v>1</v>
          </cell>
        </row>
        <row r="34">
          <cell r="A34" t="str">
            <v>Evaluated, but no decision</v>
          </cell>
          <cell r="B34">
            <v>12</v>
          </cell>
        </row>
        <row r="35">
          <cell r="A35" t="str">
            <v>Evaluated, but not interested</v>
          </cell>
          <cell r="B35">
            <v>6</v>
          </cell>
        </row>
        <row r="36">
          <cell r="A36" t="str">
            <v>Have not evaluated</v>
          </cell>
          <cell r="B36">
            <v>28</v>
          </cell>
        </row>
        <row r="37">
          <cell r="A37" t="str">
            <v>Grand Total</v>
          </cell>
          <cell r="B37">
            <v>50</v>
          </cell>
        </row>
      </sheetData>
      <sheetData sheetId="9">
        <row r="1">
          <cell r="A1" t="str">
            <v>Morgan Stanley Hardware Survey - June 2011</v>
          </cell>
        </row>
        <row r="3">
          <cell r="A3" t="str">
            <v xml:space="preserve">10.  What percentage of your PC and enterprise storage environment utilize flash based </v>
          </cell>
        </row>
        <row r="4">
          <cell r="A4" t="str">
            <v xml:space="preserve"> (i.e. SSD, PCIe cards) storage today?  What percentage do you expect in one year?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10 SSD % PCs Currently</v>
          </cell>
          <cell r="E9" t="str">
            <v>Count of 10 SSD % PCs In 1 Year</v>
          </cell>
          <cell r="J9" t="str">
            <v>PCs</v>
          </cell>
          <cell r="L9" t="str">
            <v>Storage</v>
          </cell>
        </row>
        <row r="10">
          <cell r="A10" t="str">
            <v>10 SSD % PCs Currently</v>
          </cell>
          <cell r="B10" t="str">
            <v>Total</v>
          </cell>
          <cell r="E10" t="str">
            <v>10 SSD % PCs In 1 Year</v>
          </cell>
          <cell r="F10" t="str">
            <v>Total</v>
          </cell>
          <cell r="J10" t="str">
            <v>Currently</v>
          </cell>
          <cell r="K10" t="str">
            <v>In 1 Year</v>
          </cell>
          <cell r="L10" t="str">
            <v>Currently</v>
          </cell>
          <cell r="M10" t="str">
            <v>In 1 Year</v>
          </cell>
        </row>
        <row r="11">
          <cell r="A11">
            <v>0</v>
          </cell>
          <cell r="B11">
            <v>32</v>
          </cell>
          <cell r="E11">
            <v>0</v>
          </cell>
          <cell r="F11">
            <v>25</v>
          </cell>
          <cell r="I11">
            <v>0</v>
          </cell>
          <cell r="J11">
            <v>32</v>
          </cell>
          <cell r="K11">
            <v>25</v>
          </cell>
          <cell r="L11">
            <v>27</v>
          </cell>
          <cell r="M11">
            <v>22</v>
          </cell>
          <cell r="O11">
            <v>0</v>
          </cell>
        </row>
        <row r="12">
          <cell r="A12" t="str">
            <v>1-10%</v>
          </cell>
          <cell r="B12">
            <v>12</v>
          </cell>
          <cell r="E12" t="str">
            <v>1-10%</v>
          </cell>
          <cell r="F12">
            <v>16</v>
          </cell>
          <cell r="I12" t="str">
            <v>1-10%</v>
          </cell>
          <cell r="J12">
            <v>12</v>
          </cell>
          <cell r="K12">
            <v>16</v>
          </cell>
          <cell r="L12">
            <v>15</v>
          </cell>
          <cell r="M12">
            <v>16</v>
          </cell>
          <cell r="O12">
            <v>0.05</v>
          </cell>
        </row>
        <row r="13">
          <cell r="A13" t="str">
            <v>11-20%</v>
          </cell>
          <cell r="B13">
            <v>3</v>
          </cell>
          <cell r="E13" t="str">
            <v>11-20%</v>
          </cell>
          <cell r="F13">
            <v>3</v>
          </cell>
          <cell r="I13" t="str">
            <v>11-20%</v>
          </cell>
          <cell r="J13">
            <v>3</v>
          </cell>
          <cell r="K13">
            <v>3</v>
          </cell>
          <cell r="L13">
            <v>5</v>
          </cell>
          <cell r="M13">
            <v>7</v>
          </cell>
          <cell r="O13">
            <v>0.15</v>
          </cell>
        </row>
        <row r="14">
          <cell r="A14" t="str">
            <v>21-30%</v>
          </cell>
          <cell r="B14">
            <v>2</v>
          </cell>
          <cell r="E14" t="str">
            <v>21-30%</v>
          </cell>
          <cell r="F14">
            <v>4</v>
          </cell>
          <cell r="I14" t="str">
            <v>21-30%</v>
          </cell>
          <cell r="J14">
            <v>2</v>
          </cell>
          <cell r="K14">
            <v>4</v>
          </cell>
          <cell r="L14">
            <v>3</v>
          </cell>
          <cell r="M14">
            <v>2</v>
          </cell>
          <cell r="O14">
            <v>0.25</v>
          </cell>
        </row>
        <row r="15">
          <cell r="A15" t="str">
            <v>41-50%</v>
          </cell>
          <cell r="B15">
            <v>1</v>
          </cell>
          <cell r="E15" t="str">
            <v>41-50%</v>
          </cell>
          <cell r="F15">
            <v>1</v>
          </cell>
          <cell r="I15" t="str">
            <v>31-40%</v>
          </cell>
          <cell r="M15">
            <v>1</v>
          </cell>
          <cell r="O15">
            <v>0.35</v>
          </cell>
        </row>
        <row r="16">
          <cell r="A16" t="str">
            <v>Grand Total</v>
          </cell>
          <cell r="B16">
            <v>50</v>
          </cell>
          <cell r="E16" t="str">
            <v>51-60%</v>
          </cell>
          <cell r="F16">
            <v>1</v>
          </cell>
          <cell r="I16" t="str">
            <v>41-50%</v>
          </cell>
          <cell r="J16">
            <v>1</v>
          </cell>
          <cell r="K16">
            <v>1</v>
          </cell>
          <cell r="M16">
            <v>1</v>
          </cell>
          <cell r="O16">
            <v>0.45</v>
          </cell>
        </row>
        <row r="17">
          <cell r="E17" t="str">
            <v>Grand Total</v>
          </cell>
          <cell r="F17">
            <v>50</v>
          </cell>
          <cell r="I17" t="str">
            <v>51-60%</v>
          </cell>
          <cell r="K17">
            <v>1</v>
          </cell>
          <cell r="M17">
            <v>1</v>
          </cell>
          <cell r="O17">
            <v>0.55000000000000004</v>
          </cell>
        </row>
        <row r="19">
          <cell r="A19" t="str">
            <v>Industry</v>
          </cell>
          <cell r="B19" t="str">
            <v>(All)</v>
          </cell>
          <cell r="E19" t="str">
            <v>Industry</v>
          </cell>
          <cell r="F19" t="str">
            <v>(All)</v>
          </cell>
          <cell r="J19">
            <v>0.04</v>
          </cell>
          <cell r="K19">
            <v>6.5000000000000002E-2</v>
          </cell>
          <cell r="L19">
            <v>4.4999999999999998E-2</v>
          </cell>
          <cell r="M19">
            <v>7.400000000000001E-2</v>
          </cell>
        </row>
        <row r="20">
          <cell r="A20" t="str">
            <v>Revenue</v>
          </cell>
          <cell r="B20" t="str">
            <v>(All)</v>
          </cell>
          <cell r="E20" t="str">
            <v>Revenue</v>
          </cell>
          <cell r="F20" t="str">
            <v>(All)</v>
          </cell>
        </row>
        <row r="22">
          <cell r="A22" t="str">
            <v>Count of 10 SSD % Storage Currently</v>
          </cell>
          <cell r="E22" t="str">
            <v>Count of 10 SSD % Storage In 1 Year</v>
          </cell>
        </row>
        <row r="23">
          <cell r="A23" t="str">
            <v>10 SSD % Storage Currently</v>
          </cell>
          <cell r="B23" t="str">
            <v>Total</v>
          </cell>
          <cell r="E23" t="str">
            <v>10 SSD % Storage In 1 Year</v>
          </cell>
          <cell r="F23" t="str">
            <v>Total</v>
          </cell>
        </row>
        <row r="24">
          <cell r="A24">
            <v>0</v>
          </cell>
          <cell r="B24">
            <v>27</v>
          </cell>
          <cell r="E24">
            <v>0</v>
          </cell>
          <cell r="F24">
            <v>22</v>
          </cell>
        </row>
        <row r="25">
          <cell r="A25" t="str">
            <v>1-10%</v>
          </cell>
          <cell r="B25">
            <v>15</v>
          </cell>
          <cell r="E25" t="str">
            <v>1-10%</v>
          </cell>
          <cell r="F25">
            <v>16</v>
          </cell>
        </row>
        <row r="26">
          <cell r="A26" t="str">
            <v>11-20%</v>
          </cell>
          <cell r="B26">
            <v>5</v>
          </cell>
          <cell r="E26" t="str">
            <v>11-20%</v>
          </cell>
          <cell r="F26">
            <v>7</v>
          </cell>
        </row>
        <row r="27">
          <cell r="A27" t="str">
            <v>21-30%</v>
          </cell>
          <cell r="B27">
            <v>3</v>
          </cell>
          <cell r="E27" t="str">
            <v>21-30%</v>
          </cell>
          <cell r="F27">
            <v>2</v>
          </cell>
        </row>
        <row r="28">
          <cell r="A28" t="str">
            <v>Grand Total</v>
          </cell>
          <cell r="B28">
            <v>50</v>
          </cell>
          <cell r="E28" t="str">
            <v>31-40%</v>
          </cell>
          <cell r="F28">
            <v>1</v>
          </cell>
        </row>
        <row r="29">
          <cell r="E29" t="str">
            <v>41-50%</v>
          </cell>
          <cell r="F29">
            <v>1</v>
          </cell>
        </row>
        <row r="30">
          <cell r="E30" t="str">
            <v>51-60%</v>
          </cell>
          <cell r="F30">
            <v>1</v>
          </cell>
        </row>
        <row r="31">
          <cell r="E31" t="str">
            <v>Grand Total</v>
          </cell>
          <cell r="F31">
            <v>50</v>
          </cell>
        </row>
      </sheetData>
      <sheetData sheetId="10">
        <row r="1">
          <cell r="A1" t="str">
            <v>Morgan Stanley Hardware Survey - June 2011</v>
          </cell>
        </row>
        <row r="3">
          <cell r="A3" t="str">
            <v>11.  Over the next 12 months, what are your Business Analytics spending plans as it relates to specific vendors?</v>
          </cell>
        </row>
        <row r="5">
          <cell r="A5" t="str">
            <v>Industry</v>
          </cell>
          <cell r="B5" t="str">
            <v>(All)</v>
          </cell>
          <cell r="E5" t="str">
            <v>Industry</v>
          </cell>
          <cell r="F5" t="str">
            <v>(All)</v>
          </cell>
        </row>
        <row r="6">
          <cell r="A6" t="str">
            <v>Revenue</v>
          </cell>
          <cell r="B6" t="str">
            <v>(All)</v>
          </cell>
          <cell r="E6" t="str">
            <v>Revenue</v>
          </cell>
          <cell r="F6" t="str">
            <v>(All)</v>
          </cell>
        </row>
        <row r="8">
          <cell r="A8" t="str">
            <v>Count of 11 HP / Vertica</v>
          </cell>
          <cell r="E8" t="str">
            <v>Count of 11 IBM / Netezza</v>
          </cell>
        </row>
        <row r="9">
          <cell r="A9" t="str">
            <v>11 HP / Vertica</v>
          </cell>
          <cell r="B9" t="str">
            <v>Total</v>
          </cell>
          <cell r="E9" t="str">
            <v>11 IBM / Netezza</v>
          </cell>
          <cell r="F9" t="str">
            <v>Total</v>
          </cell>
          <cell r="J9" t="str">
            <v>Teradata</v>
          </cell>
          <cell r="K9" t="str">
            <v>HP / Vertica</v>
          </cell>
          <cell r="L9" t="str">
            <v>IBM / Netezza</v>
          </cell>
          <cell r="M9" t="str">
            <v>Informatica</v>
          </cell>
          <cell r="N9" t="str">
            <v>Microsoft</v>
          </cell>
          <cell r="O9" t="str">
            <v>Microstrategy</v>
          </cell>
          <cell r="P9" t="str">
            <v>Oracle</v>
          </cell>
          <cell r="Q9" t="str">
            <v>SAP / Sybase</v>
          </cell>
          <cell r="R9" t="str">
            <v>SAS</v>
          </cell>
        </row>
        <row r="10">
          <cell r="A10" t="str">
            <v>Increase</v>
          </cell>
          <cell r="B10">
            <v>2</v>
          </cell>
          <cell r="E10" t="str">
            <v>Increase</v>
          </cell>
          <cell r="F10">
            <v>5</v>
          </cell>
          <cell r="I10" t="str">
            <v>Increase</v>
          </cell>
          <cell r="J10">
            <v>5</v>
          </cell>
          <cell r="K10">
            <v>2</v>
          </cell>
          <cell r="L10">
            <v>5</v>
          </cell>
          <cell r="M10">
            <v>2</v>
          </cell>
          <cell r="N10">
            <v>5</v>
          </cell>
          <cell r="O10">
            <v>3</v>
          </cell>
          <cell r="P10">
            <v>6</v>
          </cell>
          <cell r="Q10">
            <v>6</v>
          </cell>
          <cell r="R10">
            <v>4</v>
          </cell>
        </row>
        <row r="11">
          <cell r="A11" t="str">
            <v>Flat</v>
          </cell>
          <cell r="B11">
            <v>11</v>
          </cell>
          <cell r="E11" t="str">
            <v>Flat</v>
          </cell>
          <cell r="F11">
            <v>12</v>
          </cell>
          <cell r="I11" t="str">
            <v>Flat</v>
          </cell>
          <cell r="J11">
            <v>13</v>
          </cell>
          <cell r="K11">
            <v>11</v>
          </cell>
          <cell r="L11">
            <v>12</v>
          </cell>
          <cell r="M11">
            <v>15</v>
          </cell>
          <cell r="N11">
            <v>13</v>
          </cell>
          <cell r="O11">
            <v>9</v>
          </cell>
          <cell r="P11">
            <v>18</v>
          </cell>
          <cell r="Q11">
            <v>13</v>
          </cell>
          <cell r="R11">
            <v>11</v>
          </cell>
        </row>
        <row r="12">
          <cell r="A12" t="str">
            <v>Decrease</v>
          </cell>
          <cell r="B12">
            <v>1</v>
          </cell>
          <cell r="E12" t="str">
            <v>Decrease</v>
          </cell>
          <cell r="F12">
            <v>2</v>
          </cell>
          <cell r="I12" t="str">
            <v>Decrease</v>
          </cell>
          <cell r="J12">
            <v>1</v>
          </cell>
          <cell r="K12">
            <v>1</v>
          </cell>
          <cell r="L12">
            <v>2</v>
          </cell>
          <cell r="M12">
            <v>2</v>
          </cell>
          <cell r="N12">
            <v>2</v>
          </cell>
          <cell r="O12">
            <v>1</v>
          </cell>
          <cell r="P12">
            <v>4</v>
          </cell>
          <cell r="Q12">
            <v>3</v>
          </cell>
          <cell r="R12">
            <v>3</v>
          </cell>
        </row>
        <row r="13">
          <cell r="A13" t="str">
            <v>Don't Use</v>
          </cell>
          <cell r="B13">
            <v>36</v>
          </cell>
          <cell r="E13" t="str">
            <v>Don't Use</v>
          </cell>
          <cell r="F13">
            <v>31</v>
          </cell>
          <cell r="I13" t="str">
            <v>Don't Use</v>
          </cell>
          <cell r="J13">
            <v>31</v>
          </cell>
          <cell r="K13">
            <v>36</v>
          </cell>
          <cell r="L13">
            <v>31</v>
          </cell>
          <cell r="M13">
            <v>31</v>
          </cell>
          <cell r="N13">
            <v>30</v>
          </cell>
          <cell r="O13">
            <v>37</v>
          </cell>
          <cell r="P13">
            <v>22</v>
          </cell>
          <cell r="Q13">
            <v>28</v>
          </cell>
          <cell r="R13">
            <v>32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</row>
        <row r="15">
          <cell r="I15" t="str">
            <v>Increase</v>
          </cell>
          <cell r="J15">
            <v>0.26315789473684209</v>
          </cell>
          <cell r="K15">
            <v>0.14285714285714285</v>
          </cell>
          <cell r="L15">
            <v>0.26315789473684209</v>
          </cell>
          <cell r="M15">
            <v>0.10526315789473684</v>
          </cell>
          <cell r="N15">
            <v>0.25</v>
          </cell>
          <cell r="O15">
            <v>0.23076923076923078</v>
          </cell>
          <cell r="P15">
            <v>0.21428571428571427</v>
          </cell>
          <cell r="Q15">
            <v>0.27272727272727271</v>
          </cell>
          <cell r="R15">
            <v>0.22222222222222221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  <cell r="I16" t="str">
            <v>Decrease</v>
          </cell>
          <cell r="J16">
            <v>-5.2631578947368418E-2</v>
          </cell>
          <cell r="K16">
            <v>-7.1428571428571425E-2</v>
          </cell>
          <cell r="L16">
            <v>-0.10526315789473684</v>
          </cell>
          <cell r="M16">
            <v>-0.10526315789473684</v>
          </cell>
          <cell r="N16">
            <v>-0.1</v>
          </cell>
          <cell r="O16">
            <v>-7.6923076923076927E-2</v>
          </cell>
          <cell r="P16">
            <v>-0.14285714285714285</v>
          </cell>
          <cell r="Q16">
            <v>-0.13636363636363635</v>
          </cell>
          <cell r="R16">
            <v>-0.16666666666666666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</row>
        <row r="19">
          <cell r="A19" t="str">
            <v>Count of 11 Informatica</v>
          </cell>
          <cell r="E19" t="str">
            <v>Count of 11 Microsoft</v>
          </cell>
          <cell r="J19" t="str">
            <v>TDC</v>
          </cell>
          <cell r="K19" t="str">
            <v>IBM / Netezza</v>
          </cell>
          <cell r="L19" t="str">
            <v>MSTR</v>
          </cell>
          <cell r="M19" t="str">
            <v>MSFT</v>
          </cell>
          <cell r="N19" t="str">
            <v>SAP / Sybase</v>
          </cell>
          <cell r="O19" t="str">
            <v>HP / Vertica</v>
          </cell>
          <cell r="P19" t="str">
            <v>ORCL</v>
          </cell>
          <cell r="Q19" t="str">
            <v>SAS</v>
          </cell>
          <cell r="R19" t="str">
            <v>INFA</v>
          </cell>
        </row>
        <row r="20">
          <cell r="A20" t="str">
            <v>11 Informatica</v>
          </cell>
          <cell r="B20" t="str">
            <v>Total</v>
          </cell>
          <cell r="E20" t="str">
            <v>11 Microsoft</v>
          </cell>
          <cell r="F20" t="str">
            <v>Total</v>
          </cell>
          <cell r="I20" t="str">
            <v>Increase</v>
          </cell>
          <cell r="J20">
            <v>0.26315789473684209</v>
          </cell>
          <cell r="K20">
            <v>0.26315789473684209</v>
          </cell>
          <cell r="L20">
            <v>0.23076923076923078</v>
          </cell>
          <cell r="M20">
            <v>0.25</v>
          </cell>
          <cell r="N20">
            <v>0.27272727272727271</v>
          </cell>
          <cell r="O20">
            <v>0.14285714285714285</v>
          </cell>
          <cell r="P20">
            <v>0.21428571428571427</v>
          </cell>
          <cell r="Q20">
            <v>0.22222222222222221</v>
          </cell>
          <cell r="R20">
            <v>0.10526315789473684</v>
          </cell>
        </row>
        <row r="21">
          <cell r="A21" t="str">
            <v>Increase</v>
          </cell>
          <cell r="B21">
            <v>2</v>
          </cell>
          <cell r="E21" t="str">
            <v>Increase</v>
          </cell>
          <cell r="F21">
            <v>5</v>
          </cell>
          <cell r="I21" t="str">
            <v>Decrease</v>
          </cell>
          <cell r="J21">
            <v>-5.2631578947368418E-2</v>
          </cell>
          <cell r="K21">
            <v>-0.10526315789473684</v>
          </cell>
          <cell r="L21">
            <v>-7.6923076923076927E-2</v>
          </cell>
          <cell r="M21">
            <v>-0.1</v>
          </cell>
          <cell r="N21">
            <v>-0.13636363636363635</v>
          </cell>
          <cell r="O21">
            <v>-7.1428571428571425E-2</v>
          </cell>
          <cell r="P21">
            <v>-0.14285714285714285</v>
          </cell>
          <cell r="Q21">
            <v>-0.16666666666666666</v>
          </cell>
          <cell r="R21">
            <v>-0.10526315789473684</v>
          </cell>
        </row>
        <row r="22">
          <cell r="A22" t="str">
            <v>Flat</v>
          </cell>
          <cell r="B22">
            <v>15</v>
          </cell>
          <cell r="E22" t="str">
            <v>Flat</v>
          </cell>
          <cell r="F22">
            <v>13</v>
          </cell>
          <cell r="J22">
            <v>0.21052631578947367</v>
          </cell>
          <cell r="K22">
            <v>0.15789473684210525</v>
          </cell>
          <cell r="L22">
            <v>0.15384615384615385</v>
          </cell>
          <cell r="M22">
            <v>0.15</v>
          </cell>
          <cell r="N22">
            <v>0.13636363636363635</v>
          </cell>
          <cell r="O22">
            <v>7.1428571428571425E-2</v>
          </cell>
          <cell r="P22">
            <v>7.1428571428571425E-2</v>
          </cell>
          <cell r="Q22">
            <v>5.5555555555555552E-2</v>
          </cell>
          <cell r="R22">
            <v>0</v>
          </cell>
        </row>
        <row r="23">
          <cell r="A23" t="str">
            <v>Decrease</v>
          </cell>
          <cell r="B23">
            <v>2</v>
          </cell>
          <cell r="E23" t="str">
            <v>Decrease</v>
          </cell>
          <cell r="F23">
            <v>2</v>
          </cell>
        </row>
        <row r="24">
          <cell r="A24" t="str">
            <v>Don't Use</v>
          </cell>
          <cell r="B24">
            <v>31</v>
          </cell>
          <cell r="E24" t="str">
            <v>Don't Use</v>
          </cell>
          <cell r="F24">
            <v>30</v>
          </cell>
        </row>
        <row r="25">
          <cell r="A25" t="str">
            <v>Grand Total</v>
          </cell>
          <cell r="B25">
            <v>50</v>
          </cell>
          <cell r="E25" t="str">
            <v>Grand Total</v>
          </cell>
          <cell r="F25">
            <v>50</v>
          </cell>
        </row>
        <row r="27">
          <cell r="A27" t="str">
            <v>Industry</v>
          </cell>
          <cell r="B27" t="str">
            <v>(All)</v>
          </cell>
          <cell r="E27" t="str">
            <v>Industry</v>
          </cell>
          <cell r="F27" t="str">
            <v>(All)</v>
          </cell>
        </row>
        <row r="28">
          <cell r="A28" t="str">
            <v>Revenue</v>
          </cell>
          <cell r="B28" t="str">
            <v>(All)</v>
          </cell>
          <cell r="E28" t="str">
            <v>Revenue</v>
          </cell>
          <cell r="F28" t="str">
            <v>(All)</v>
          </cell>
        </row>
        <row r="30">
          <cell r="A30" t="str">
            <v>Count of 11 Microstrategy</v>
          </cell>
          <cell r="E30" t="str">
            <v>Count of 11 Oracle</v>
          </cell>
        </row>
        <row r="31">
          <cell r="A31" t="str">
            <v>11 Microstrategy</v>
          </cell>
          <cell r="B31" t="str">
            <v>Total</v>
          </cell>
          <cell r="E31" t="str">
            <v>11 Oracle</v>
          </cell>
          <cell r="F31" t="str">
            <v>Total</v>
          </cell>
        </row>
        <row r="32">
          <cell r="A32" t="str">
            <v>Increase</v>
          </cell>
          <cell r="B32">
            <v>3</v>
          </cell>
          <cell r="E32" t="str">
            <v>Increase</v>
          </cell>
          <cell r="F32">
            <v>6</v>
          </cell>
        </row>
        <row r="33">
          <cell r="A33" t="str">
            <v>Flat</v>
          </cell>
          <cell r="B33">
            <v>9</v>
          </cell>
          <cell r="E33" t="str">
            <v>Flat</v>
          </cell>
          <cell r="F33">
            <v>18</v>
          </cell>
        </row>
        <row r="34">
          <cell r="A34" t="str">
            <v>Decrease</v>
          </cell>
          <cell r="B34">
            <v>1</v>
          </cell>
          <cell r="E34" t="str">
            <v>Decrease</v>
          </cell>
          <cell r="F34">
            <v>4</v>
          </cell>
        </row>
        <row r="35">
          <cell r="A35" t="str">
            <v>Don't Use</v>
          </cell>
          <cell r="B35">
            <v>37</v>
          </cell>
          <cell r="E35" t="str">
            <v>Don't Use</v>
          </cell>
          <cell r="F35">
            <v>22</v>
          </cell>
        </row>
        <row r="36">
          <cell r="A36" t="str">
            <v>Grand Total</v>
          </cell>
          <cell r="B36">
            <v>50</v>
          </cell>
          <cell r="E36" t="str">
            <v>Grand Total</v>
          </cell>
          <cell r="F36">
            <v>50</v>
          </cell>
        </row>
        <row r="38">
          <cell r="A38" t="str">
            <v>Industry</v>
          </cell>
          <cell r="B38" t="str">
            <v>(All)</v>
          </cell>
          <cell r="E38" t="str">
            <v>Industry</v>
          </cell>
          <cell r="F38" t="str">
            <v>(All)</v>
          </cell>
        </row>
        <row r="39">
          <cell r="A39" t="str">
            <v>Revenue</v>
          </cell>
          <cell r="B39" t="str">
            <v>(All)</v>
          </cell>
          <cell r="E39" t="str">
            <v>Revenue</v>
          </cell>
          <cell r="F39" t="str">
            <v>(All)</v>
          </cell>
        </row>
        <row r="41">
          <cell r="A41" t="str">
            <v>Count of 11 SAP / Sybase</v>
          </cell>
          <cell r="E41" t="str">
            <v>Count of 11 SAS</v>
          </cell>
        </row>
        <row r="42">
          <cell r="A42" t="str">
            <v>11 SAP / Sybase</v>
          </cell>
          <cell r="B42" t="str">
            <v>Total</v>
          </cell>
          <cell r="E42" t="str">
            <v>11 SAS</v>
          </cell>
          <cell r="F42" t="str">
            <v>Total</v>
          </cell>
        </row>
        <row r="43">
          <cell r="A43" t="str">
            <v>Increase</v>
          </cell>
          <cell r="B43">
            <v>6</v>
          </cell>
          <cell r="E43" t="str">
            <v>Increase</v>
          </cell>
          <cell r="F43">
            <v>4</v>
          </cell>
        </row>
        <row r="44">
          <cell r="A44" t="str">
            <v>Flat</v>
          </cell>
          <cell r="B44">
            <v>13</v>
          </cell>
          <cell r="E44" t="str">
            <v>Flat</v>
          </cell>
          <cell r="F44">
            <v>11</v>
          </cell>
        </row>
        <row r="45">
          <cell r="A45" t="str">
            <v>Decrease</v>
          </cell>
          <cell r="B45">
            <v>3</v>
          </cell>
          <cell r="E45" t="str">
            <v>Decrease</v>
          </cell>
          <cell r="F45">
            <v>3</v>
          </cell>
        </row>
        <row r="46">
          <cell r="A46" t="str">
            <v>Don't Use</v>
          </cell>
          <cell r="B46">
            <v>28</v>
          </cell>
          <cell r="E46" t="str">
            <v>Don't Use</v>
          </cell>
          <cell r="F46">
            <v>32</v>
          </cell>
        </row>
        <row r="47">
          <cell r="A47" t="str">
            <v>Grand Total</v>
          </cell>
          <cell r="B47">
            <v>50</v>
          </cell>
          <cell r="E47" t="str">
            <v>Grand Total</v>
          </cell>
          <cell r="F47">
            <v>50</v>
          </cell>
        </row>
        <row r="49">
          <cell r="A49" t="str">
            <v>Industry</v>
          </cell>
          <cell r="B49" t="str">
            <v>(All)</v>
          </cell>
        </row>
        <row r="50">
          <cell r="A50" t="str">
            <v>Revenue</v>
          </cell>
          <cell r="B50" t="str">
            <v>(All)</v>
          </cell>
        </row>
        <row r="52">
          <cell r="A52" t="str">
            <v>Count of 11 Teradata</v>
          </cell>
        </row>
        <row r="53">
          <cell r="A53" t="str">
            <v>11 Teradata</v>
          </cell>
          <cell r="B53" t="str">
            <v>Total</v>
          </cell>
        </row>
        <row r="54">
          <cell r="A54" t="str">
            <v>Increase</v>
          </cell>
          <cell r="B54">
            <v>5</v>
          </cell>
        </row>
        <row r="55">
          <cell r="A55" t="str">
            <v>Flat</v>
          </cell>
          <cell r="B55">
            <v>13</v>
          </cell>
        </row>
        <row r="56">
          <cell r="A56" t="str">
            <v>Decrease</v>
          </cell>
          <cell r="B56">
            <v>1</v>
          </cell>
        </row>
        <row r="57">
          <cell r="A57" t="str">
            <v>Don't Use</v>
          </cell>
          <cell r="B57">
            <v>31</v>
          </cell>
        </row>
        <row r="58">
          <cell r="A58" t="str">
            <v>Grand Total</v>
          </cell>
          <cell r="B58">
            <v>50</v>
          </cell>
        </row>
      </sheetData>
      <sheetData sheetId="11">
        <row r="1">
          <cell r="A1" t="str">
            <v>Morgan Stanley Hardware Survey - June 2011</v>
          </cell>
        </row>
        <row r="3">
          <cell r="A3" t="str">
            <v>12.  How would you rate pricing trends for the following vendors over the last three months?</v>
          </cell>
        </row>
        <row r="5">
          <cell r="A5" t="str">
            <v>Industry</v>
          </cell>
          <cell r="B5" t="str">
            <v>(All)</v>
          </cell>
          <cell r="E5" t="str">
            <v>Industry</v>
          </cell>
          <cell r="F5" t="str">
            <v>(All)</v>
          </cell>
        </row>
        <row r="6">
          <cell r="A6" t="str">
            <v>Revenue</v>
          </cell>
          <cell r="B6" t="str">
            <v>(All)</v>
          </cell>
          <cell r="E6" t="str">
            <v>Revenue</v>
          </cell>
          <cell r="F6" t="str">
            <v>(All)</v>
          </cell>
        </row>
        <row r="8">
          <cell r="A8" t="str">
            <v>Count of 12 Apple</v>
          </cell>
          <cell r="E8" t="str">
            <v>Count of 12 Brocade</v>
          </cell>
        </row>
        <row r="9">
          <cell r="A9" t="str">
            <v>12 Apple</v>
          </cell>
          <cell r="B9" t="str">
            <v>Total</v>
          </cell>
          <cell r="E9" t="str">
            <v>12 Brocade</v>
          </cell>
          <cell r="F9" t="str">
            <v>Total</v>
          </cell>
          <cell r="J9" t="str">
            <v>AAPL</v>
          </cell>
          <cell r="K9" t="str">
            <v>BRCD</v>
          </cell>
          <cell r="L9" t="str">
            <v>Brother</v>
          </cell>
          <cell r="M9" t="str">
            <v>Canon</v>
          </cell>
          <cell r="N9" t="str">
            <v>DELL</v>
          </cell>
          <cell r="O9" t="str">
            <v>EMC</v>
          </cell>
          <cell r="P9" t="str">
            <v>Hitachi</v>
          </cell>
          <cell r="Q9" t="str">
            <v>HP</v>
          </cell>
          <cell r="R9" t="str">
            <v>IBM</v>
          </cell>
          <cell r="S9" t="str">
            <v>Lenovo</v>
          </cell>
          <cell r="T9" t="str">
            <v>LXK</v>
          </cell>
          <cell r="U9" t="str">
            <v>NTAP</v>
          </cell>
          <cell r="V9" t="str">
            <v>ORCL</v>
          </cell>
        </row>
        <row r="10">
          <cell r="A10" t="str">
            <v>More</v>
          </cell>
          <cell r="B10">
            <v>10</v>
          </cell>
          <cell r="E10" t="str">
            <v>More</v>
          </cell>
          <cell r="F10">
            <v>8</v>
          </cell>
          <cell r="I10" t="str">
            <v>More</v>
          </cell>
          <cell r="J10">
            <v>10</v>
          </cell>
          <cell r="K10">
            <v>8</v>
          </cell>
          <cell r="L10">
            <v>0</v>
          </cell>
          <cell r="M10">
            <v>2</v>
          </cell>
          <cell r="N10">
            <v>9</v>
          </cell>
          <cell r="O10">
            <v>13</v>
          </cell>
          <cell r="P10">
            <v>5</v>
          </cell>
          <cell r="Q10">
            <v>8</v>
          </cell>
          <cell r="R10">
            <v>6</v>
          </cell>
          <cell r="S10">
            <v>3</v>
          </cell>
          <cell r="T10">
            <v>5</v>
          </cell>
          <cell r="U10">
            <v>10</v>
          </cell>
          <cell r="V10">
            <v>5</v>
          </cell>
        </row>
        <row r="11">
          <cell r="A11" t="str">
            <v>No Change</v>
          </cell>
          <cell r="B11">
            <v>23</v>
          </cell>
          <cell r="E11" t="str">
            <v>No Change</v>
          </cell>
          <cell r="F11">
            <v>19</v>
          </cell>
          <cell r="I11" t="str">
            <v>No Change</v>
          </cell>
          <cell r="J11">
            <v>23</v>
          </cell>
          <cell r="K11">
            <v>19</v>
          </cell>
          <cell r="L11">
            <v>11</v>
          </cell>
          <cell r="M11">
            <v>14</v>
          </cell>
          <cell r="N11">
            <v>20</v>
          </cell>
          <cell r="O11">
            <v>22</v>
          </cell>
          <cell r="P11">
            <v>17</v>
          </cell>
          <cell r="Q11">
            <v>25</v>
          </cell>
          <cell r="R11">
            <v>25</v>
          </cell>
          <cell r="S11">
            <v>19</v>
          </cell>
          <cell r="T11">
            <v>14</v>
          </cell>
          <cell r="U11">
            <v>24</v>
          </cell>
          <cell r="V11">
            <v>14</v>
          </cell>
        </row>
        <row r="12">
          <cell r="A12" t="str">
            <v>Less</v>
          </cell>
          <cell r="B12">
            <v>4</v>
          </cell>
          <cell r="E12" t="str">
            <v>Less</v>
          </cell>
          <cell r="F12">
            <v>4</v>
          </cell>
          <cell r="I12" t="str">
            <v>Less</v>
          </cell>
          <cell r="J12">
            <v>4</v>
          </cell>
          <cell r="K12">
            <v>4</v>
          </cell>
          <cell r="L12">
            <v>2</v>
          </cell>
          <cell r="M12">
            <v>1</v>
          </cell>
          <cell r="N12">
            <v>6</v>
          </cell>
          <cell r="O12">
            <v>3</v>
          </cell>
          <cell r="P12">
            <v>0</v>
          </cell>
          <cell r="Q12">
            <v>4</v>
          </cell>
          <cell r="R12">
            <v>2</v>
          </cell>
          <cell r="S12">
            <v>1</v>
          </cell>
          <cell r="T12">
            <v>2</v>
          </cell>
          <cell r="U12">
            <v>3</v>
          </cell>
          <cell r="V12">
            <v>2</v>
          </cell>
        </row>
        <row r="13">
          <cell r="A13" t="str">
            <v>NA</v>
          </cell>
          <cell r="B13">
            <v>13</v>
          </cell>
          <cell r="E13" t="str">
            <v>NA</v>
          </cell>
          <cell r="F13">
            <v>19</v>
          </cell>
          <cell r="I13" t="str">
            <v>NA</v>
          </cell>
          <cell r="J13">
            <v>13</v>
          </cell>
          <cell r="K13">
            <v>19</v>
          </cell>
          <cell r="L13">
            <v>37</v>
          </cell>
          <cell r="M13">
            <v>33</v>
          </cell>
          <cell r="N13">
            <v>15</v>
          </cell>
          <cell r="O13">
            <v>12</v>
          </cell>
          <cell r="P13">
            <v>28</v>
          </cell>
          <cell r="Q13">
            <v>13</v>
          </cell>
          <cell r="R13">
            <v>17</v>
          </cell>
          <cell r="S13">
            <v>27</v>
          </cell>
          <cell r="T13">
            <v>29</v>
          </cell>
          <cell r="U13">
            <v>13</v>
          </cell>
          <cell r="V13">
            <v>29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</row>
        <row r="15">
          <cell r="I15" t="str">
            <v>More Aggressive</v>
          </cell>
          <cell r="J15">
            <v>0.27027027027027029</v>
          </cell>
          <cell r="K15">
            <v>0.25806451612903225</v>
          </cell>
          <cell r="L15">
            <v>0</v>
          </cell>
          <cell r="M15">
            <v>0.11764705882352941</v>
          </cell>
          <cell r="N15">
            <v>0.25714285714285712</v>
          </cell>
          <cell r="O15">
            <v>0.34210526315789475</v>
          </cell>
          <cell r="P15">
            <v>0.22727272727272727</v>
          </cell>
          <cell r="Q15">
            <v>0.21621621621621623</v>
          </cell>
          <cell r="R15">
            <v>0.18181818181818182</v>
          </cell>
          <cell r="S15">
            <v>0.13043478260869565</v>
          </cell>
          <cell r="T15">
            <v>0.23809523809523808</v>
          </cell>
          <cell r="U15">
            <v>0.27027027027027029</v>
          </cell>
          <cell r="V15">
            <v>0.23809523809523808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  <cell r="I16" t="str">
            <v>Less Aggressive</v>
          </cell>
          <cell r="J16">
            <v>-0.10810810810810811</v>
          </cell>
          <cell r="K16">
            <v>-0.12903225806451613</v>
          </cell>
          <cell r="L16">
            <v>-0.15384615384615385</v>
          </cell>
          <cell r="M16">
            <v>-5.8823529411764705E-2</v>
          </cell>
          <cell r="N16">
            <v>-0.17142857142857143</v>
          </cell>
          <cell r="O16">
            <v>-7.8947368421052627E-2</v>
          </cell>
          <cell r="P16">
            <v>0</v>
          </cell>
          <cell r="Q16">
            <v>-0.10810810810810811</v>
          </cell>
          <cell r="R16">
            <v>-6.0606060606060608E-2</v>
          </cell>
          <cell r="S16">
            <v>-4.3478260869565216E-2</v>
          </cell>
          <cell r="T16">
            <v>-9.5238095238095233E-2</v>
          </cell>
          <cell r="U16">
            <v>-8.1081081081081086E-2</v>
          </cell>
          <cell r="V16">
            <v>-9.5238095238095233E-2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</row>
        <row r="18">
          <cell r="J18" t="str">
            <v>EMC</v>
          </cell>
          <cell r="K18" t="str">
            <v>Hitachi</v>
          </cell>
          <cell r="L18" t="str">
            <v>NTAP</v>
          </cell>
          <cell r="M18" t="str">
            <v>AAPL</v>
          </cell>
          <cell r="N18" t="str">
            <v>LXK</v>
          </cell>
          <cell r="O18" t="str">
            <v>ORCL</v>
          </cell>
          <cell r="P18" t="str">
            <v>BRCD</v>
          </cell>
          <cell r="Q18" t="str">
            <v>IBM</v>
          </cell>
          <cell r="R18" t="str">
            <v>HPQ</v>
          </cell>
          <cell r="S18" t="str">
            <v>Lenovo</v>
          </cell>
          <cell r="T18" t="str">
            <v>DELL</v>
          </cell>
          <cell r="U18" t="str">
            <v>Canon</v>
          </cell>
          <cell r="V18" t="str">
            <v>Brother</v>
          </cell>
        </row>
        <row r="19">
          <cell r="A19" t="str">
            <v>Count of 12 Brother</v>
          </cell>
          <cell r="E19" t="str">
            <v>Count of 12 Canon</v>
          </cell>
          <cell r="I19" t="str">
            <v>Jan 11 Survey</v>
          </cell>
          <cell r="J19">
            <v>0.12765957446808512</v>
          </cell>
          <cell r="K19">
            <v>0.08</v>
          </cell>
          <cell r="L19">
            <v>-5.5555555555555566E-2</v>
          </cell>
          <cell r="M19">
            <v>-0.13043478260869565</v>
          </cell>
          <cell r="N19">
            <v>0.125</v>
          </cell>
          <cell r="O19">
            <v>0.12</v>
          </cell>
          <cell r="P19">
            <v>9.0909090909090912E-2</v>
          </cell>
          <cell r="Q19">
            <v>3.4482758620689655E-2</v>
          </cell>
          <cell r="R19">
            <v>9.0909090909090912E-2</v>
          </cell>
          <cell r="T19">
            <v>5.8823529411764691E-2</v>
          </cell>
        </row>
        <row r="20">
          <cell r="A20" t="str">
            <v>12 Brother</v>
          </cell>
          <cell r="B20" t="str">
            <v>Total</v>
          </cell>
          <cell r="E20" t="str">
            <v>12 Canon</v>
          </cell>
          <cell r="F20" t="str">
            <v>Total</v>
          </cell>
          <cell r="I20" t="str">
            <v>Apr 11 Survey</v>
          </cell>
          <cell r="J20">
            <v>0.22222222222222221</v>
          </cell>
          <cell r="K20">
            <v>0.25</v>
          </cell>
          <cell r="L20">
            <v>0.17142857142857143</v>
          </cell>
          <cell r="M20">
            <v>-0.16666666666666666</v>
          </cell>
          <cell r="N20">
            <v>0.11111111111111113</v>
          </cell>
          <cell r="O20">
            <v>0.23076923076923078</v>
          </cell>
          <cell r="P20">
            <v>0.15151515151515152</v>
          </cell>
          <cell r="Q20">
            <v>0.12121212121212122</v>
          </cell>
          <cell r="R20">
            <v>8.5714285714285715E-2</v>
          </cell>
          <cell r="T20">
            <v>0.1111111111111111</v>
          </cell>
        </row>
        <row r="21">
          <cell r="A21" t="str">
            <v>No Change</v>
          </cell>
          <cell r="B21">
            <v>11</v>
          </cell>
          <cell r="E21" t="str">
            <v>More</v>
          </cell>
          <cell r="F21">
            <v>2</v>
          </cell>
          <cell r="I21" t="str">
            <v>Jul 11 Survey</v>
          </cell>
          <cell r="J21">
            <v>0.26315789473684215</v>
          </cell>
          <cell r="K21">
            <v>0.22727272727272727</v>
          </cell>
          <cell r="L21">
            <v>0.1891891891891892</v>
          </cell>
          <cell r="M21">
            <v>0.16216216216216217</v>
          </cell>
          <cell r="N21">
            <v>0.14285714285714285</v>
          </cell>
          <cell r="O21">
            <v>0.14285714285714285</v>
          </cell>
          <cell r="P21">
            <v>0.12903225806451613</v>
          </cell>
          <cell r="Q21">
            <v>0.12121212121212122</v>
          </cell>
          <cell r="R21">
            <v>0.10810810810810811</v>
          </cell>
          <cell r="S21">
            <v>8.6956521739130432E-2</v>
          </cell>
          <cell r="T21">
            <v>8.5714285714285687E-2</v>
          </cell>
          <cell r="U21">
            <v>5.8823529411764705E-2</v>
          </cell>
          <cell r="V21">
            <v>-0.15384615384615385</v>
          </cell>
        </row>
        <row r="22">
          <cell r="A22" t="str">
            <v>Less</v>
          </cell>
          <cell r="B22">
            <v>2</v>
          </cell>
          <cell r="E22" t="str">
            <v>No Change</v>
          </cell>
          <cell r="F22">
            <v>14</v>
          </cell>
        </row>
        <row r="23">
          <cell r="A23" t="str">
            <v>NA</v>
          </cell>
          <cell r="B23">
            <v>37</v>
          </cell>
          <cell r="E23" t="str">
            <v>Less</v>
          </cell>
          <cell r="F23">
            <v>1</v>
          </cell>
        </row>
        <row r="24">
          <cell r="A24" t="str">
            <v>Grand Total</v>
          </cell>
          <cell r="B24">
            <v>50</v>
          </cell>
          <cell r="E24" t="str">
            <v>NA</v>
          </cell>
          <cell r="F24">
            <v>33</v>
          </cell>
        </row>
        <row r="25">
          <cell r="E25" t="str">
            <v>Grand Total</v>
          </cell>
          <cell r="F25">
            <v>50</v>
          </cell>
        </row>
        <row r="27">
          <cell r="A27" t="str">
            <v>Industry</v>
          </cell>
          <cell r="B27" t="str">
            <v>(All)</v>
          </cell>
          <cell r="E27" t="str">
            <v>Industry</v>
          </cell>
          <cell r="F27" t="str">
            <v>(All)</v>
          </cell>
        </row>
        <row r="28">
          <cell r="A28" t="str">
            <v>Revenue</v>
          </cell>
          <cell r="B28" t="str">
            <v>(All)</v>
          </cell>
          <cell r="E28" t="str">
            <v>Revenue</v>
          </cell>
          <cell r="F28" t="str">
            <v>(All)</v>
          </cell>
        </row>
        <row r="30">
          <cell r="A30" t="str">
            <v>Count of 12 Dell</v>
          </cell>
          <cell r="E30" t="str">
            <v>Count of 12 EMC</v>
          </cell>
        </row>
        <row r="31">
          <cell r="A31" t="str">
            <v>12 Dell</v>
          </cell>
          <cell r="B31" t="str">
            <v>Total</v>
          </cell>
          <cell r="E31" t="str">
            <v>12 EMC</v>
          </cell>
          <cell r="F31" t="str">
            <v>Total</v>
          </cell>
        </row>
        <row r="32">
          <cell r="A32" t="str">
            <v>More</v>
          </cell>
          <cell r="B32">
            <v>9</v>
          </cell>
          <cell r="E32" t="str">
            <v>More</v>
          </cell>
          <cell r="F32">
            <v>13</v>
          </cell>
        </row>
        <row r="33">
          <cell r="A33" t="str">
            <v>No Change</v>
          </cell>
          <cell r="B33">
            <v>20</v>
          </cell>
          <cell r="E33" t="str">
            <v>No Change</v>
          </cell>
          <cell r="F33">
            <v>22</v>
          </cell>
        </row>
        <row r="34">
          <cell r="A34" t="str">
            <v>Less</v>
          </cell>
          <cell r="B34">
            <v>6</v>
          </cell>
          <cell r="E34" t="str">
            <v>Less</v>
          </cell>
          <cell r="F34">
            <v>3</v>
          </cell>
        </row>
        <row r="35">
          <cell r="A35" t="str">
            <v>NA</v>
          </cell>
          <cell r="B35">
            <v>15</v>
          </cell>
          <cell r="E35" t="str">
            <v>NA</v>
          </cell>
          <cell r="F35">
            <v>12</v>
          </cell>
        </row>
        <row r="36">
          <cell r="A36" t="str">
            <v>Grand Total</v>
          </cell>
          <cell r="B36">
            <v>50</v>
          </cell>
          <cell r="E36" t="str">
            <v>Grand Total</v>
          </cell>
          <cell r="F36">
            <v>50</v>
          </cell>
        </row>
        <row r="38">
          <cell r="A38" t="str">
            <v>Industry</v>
          </cell>
          <cell r="B38" t="str">
            <v>(All)</v>
          </cell>
          <cell r="E38" t="str">
            <v>Industry</v>
          </cell>
          <cell r="F38" t="str">
            <v>(All)</v>
          </cell>
        </row>
        <row r="39">
          <cell r="A39" t="str">
            <v>Revenue</v>
          </cell>
          <cell r="B39" t="str">
            <v>(All)</v>
          </cell>
          <cell r="E39" t="str">
            <v>Revenue</v>
          </cell>
          <cell r="F39" t="str">
            <v>(All)</v>
          </cell>
        </row>
        <row r="41">
          <cell r="A41" t="str">
            <v>Count of 12 Hitachi</v>
          </cell>
          <cell r="E41" t="str">
            <v>Count of 12 HP</v>
          </cell>
        </row>
        <row r="42">
          <cell r="A42" t="str">
            <v>12 Hitachi</v>
          </cell>
          <cell r="B42" t="str">
            <v>Total</v>
          </cell>
          <cell r="E42" t="str">
            <v>12 HP</v>
          </cell>
          <cell r="F42" t="str">
            <v>Total</v>
          </cell>
        </row>
        <row r="43">
          <cell r="A43" t="str">
            <v>More</v>
          </cell>
          <cell r="B43">
            <v>5</v>
          </cell>
          <cell r="E43" t="str">
            <v>More</v>
          </cell>
          <cell r="F43">
            <v>8</v>
          </cell>
        </row>
        <row r="44">
          <cell r="A44" t="str">
            <v>No Change</v>
          </cell>
          <cell r="B44">
            <v>17</v>
          </cell>
          <cell r="E44" t="str">
            <v>No Change</v>
          </cell>
          <cell r="F44">
            <v>25</v>
          </cell>
        </row>
        <row r="45">
          <cell r="A45" t="str">
            <v>NA</v>
          </cell>
          <cell r="B45">
            <v>28</v>
          </cell>
          <cell r="E45" t="str">
            <v>Less</v>
          </cell>
          <cell r="F45">
            <v>4</v>
          </cell>
        </row>
        <row r="46">
          <cell r="A46" t="str">
            <v>Grand Total</v>
          </cell>
          <cell r="B46">
            <v>50</v>
          </cell>
          <cell r="E46" t="str">
            <v>NA</v>
          </cell>
          <cell r="F46">
            <v>13</v>
          </cell>
        </row>
        <row r="47">
          <cell r="E47" t="str">
            <v>Grand Total</v>
          </cell>
          <cell r="F47">
            <v>50</v>
          </cell>
        </row>
        <row r="49">
          <cell r="A49" t="str">
            <v>Industry</v>
          </cell>
          <cell r="B49" t="str">
            <v>(All)</v>
          </cell>
          <cell r="E49" t="str">
            <v>Industry</v>
          </cell>
          <cell r="F49" t="str">
            <v>(All)</v>
          </cell>
        </row>
        <row r="50">
          <cell r="A50" t="str">
            <v>Revenue</v>
          </cell>
          <cell r="B50" t="str">
            <v>(All)</v>
          </cell>
          <cell r="E50" t="str">
            <v>Revenue</v>
          </cell>
          <cell r="F50" t="str">
            <v>(All)</v>
          </cell>
        </row>
        <row r="52">
          <cell r="A52" t="str">
            <v>Count of 12 IBM</v>
          </cell>
          <cell r="E52" t="str">
            <v>Count of 12 Lenovo</v>
          </cell>
        </row>
        <row r="53">
          <cell r="A53" t="str">
            <v>12 IBM</v>
          </cell>
          <cell r="B53" t="str">
            <v>Total</v>
          </cell>
          <cell r="E53" t="str">
            <v>12 Lenovo</v>
          </cell>
          <cell r="F53" t="str">
            <v>Total</v>
          </cell>
        </row>
        <row r="54">
          <cell r="A54" t="str">
            <v>More</v>
          </cell>
          <cell r="B54">
            <v>6</v>
          </cell>
          <cell r="E54" t="str">
            <v>No Change</v>
          </cell>
          <cell r="F54">
            <v>19</v>
          </cell>
        </row>
        <row r="55">
          <cell r="A55" t="str">
            <v>No Change</v>
          </cell>
          <cell r="B55">
            <v>25</v>
          </cell>
          <cell r="E55" t="str">
            <v>NA</v>
          </cell>
          <cell r="F55">
            <v>27</v>
          </cell>
        </row>
        <row r="56">
          <cell r="A56" t="str">
            <v>Less</v>
          </cell>
          <cell r="B56">
            <v>2</v>
          </cell>
          <cell r="E56" t="str">
            <v>More</v>
          </cell>
          <cell r="F56">
            <v>3</v>
          </cell>
        </row>
        <row r="57">
          <cell r="A57" t="str">
            <v>NA</v>
          </cell>
          <cell r="B57">
            <v>17</v>
          </cell>
          <cell r="E57" t="str">
            <v>Less</v>
          </cell>
          <cell r="F57">
            <v>1</v>
          </cell>
        </row>
        <row r="58">
          <cell r="A58" t="str">
            <v>Grand Total</v>
          </cell>
          <cell r="B58">
            <v>50</v>
          </cell>
          <cell r="E58" t="str">
            <v>Grand Total</v>
          </cell>
          <cell r="F58">
            <v>50</v>
          </cell>
        </row>
        <row r="60">
          <cell r="A60" t="str">
            <v>Industry</v>
          </cell>
          <cell r="B60" t="str">
            <v>(All)</v>
          </cell>
          <cell r="E60" t="str">
            <v>Industry</v>
          </cell>
          <cell r="F60" t="str">
            <v>(All)</v>
          </cell>
        </row>
        <row r="61">
          <cell r="A61" t="str">
            <v>Revenue</v>
          </cell>
          <cell r="B61" t="str">
            <v>(All)</v>
          </cell>
          <cell r="E61" t="str">
            <v>Revenue</v>
          </cell>
          <cell r="F61" t="str">
            <v>(All)</v>
          </cell>
        </row>
        <row r="63">
          <cell r="A63" t="str">
            <v>Count of 12 Lexmark</v>
          </cell>
          <cell r="E63" t="str">
            <v>Count of 12 NetApp</v>
          </cell>
        </row>
        <row r="64">
          <cell r="A64" t="str">
            <v>12 Lexmark</v>
          </cell>
          <cell r="B64" t="str">
            <v>Total</v>
          </cell>
          <cell r="E64" t="str">
            <v>12 NetApp</v>
          </cell>
          <cell r="F64" t="str">
            <v>Total</v>
          </cell>
        </row>
        <row r="65">
          <cell r="A65" t="str">
            <v>More</v>
          </cell>
          <cell r="B65">
            <v>5</v>
          </cell>
          <cell r="E65" t="str">
            <v>More</v>
          </cell>
          <cell r="F65">
            <v>10</v>
          </cell>
        </row>
        <row r="66">
          <cell r="A66" t="str">
            <v>No Change</v>
          </cell>
          <cell r="B66">
            <v>14</v>
          </cell>
          <cell r="E66" t="str">
            <v>No Change</v>
          </cell>
          <cell r="F66">
            <v>24</v>
          </cell>
        </row>
        <row r="67">
          <cell r="A67" t="str">
            <v>Less</v>
          </cell>
          <cell r="B67">
            <v>2</v>
          </cell>
          <cell r="E67" t="str">
            <v>Less</v>
          </cell>
          <cell r="F67">
            <v>3</v>
          </cell>
        </row>
        <row r="68">
          <cell r="A68" t="str">
            <v>NA</v>
          </cell>
          <cell r="B68">
            <v>29</v>
          </cell>
          <cell r="E68" t="str">
            <v>NA</v>
          </cell>
          <cell r="F68">
            <v>13</v>
          </cell>
        </row>
        <row r="69">
          <cell r="A69" t="str">
            <v>Grand Total</v>
          </cell>
          <cell r="B69">
            <v>50</v>
          </cell>
          <cell r="E69" t="str">
            <v>Grand Total</v>
          </cell>
          <cell r="F69">
            <v>50</v>
          </cell>
        </row>
        <row r="71">
          <cell r="A71" t="str">
            <v>Industry</v>
          </cell>
          <cell r="B71" t="str">
            <v>(All)</v>
          </cell>
        </row>
        <row r="72">
          <cell r="A72" t="str">
            <v>Revenue</v>
          </cell>
          <cell r="B72" t="str">
            <v>(All)</v>
          </cell>
        </row>
        <row r="74">
          <cell r="A74" t="str">
            <v>Count of 12 Oracle/Sun</v>
          </cell>
        </row>
        <row r="75">
          <cell r="A75" t="str">
            <v>12 Oracle/Sun</v>
          </cell>
          <cell r="B75" t="str">
            <v>Total</v>
          </cell>
        </row>
        <row r="76">
          <cell r="A76" t="str">
            <v>More</v>
          </cell>
          <cell r="B76">
            <v>5</v>
          </cell>
        </row>
        <row r="77">
          <cell r="A77" t="str">
            <v>No Change</v>
          </cell>
          <cell r="B77">
            <v>14</v>
          </cell>
        </row>
        <row r="78">
          <cell r="A78" t="str">
            <v>NA</v>
          </cell>
          <cell r="B78">
            <v>29</v>
          </cell>
        </row>
        <row r="79">
          <cell r="A79" t="str">
            <v>Less</v>
          </cell>
          <cell r="B79">
            <v>2</v>
          </cell>
        </row>
        <row r="80">
          <cell r="A80" t="str">
            <v>Grand Total</v>
          </cell>
          <cell r="B80">
            <v>50</v>
          </cell>
        </row>
      </sheetData>
      <sheetData sheetId="12">
        <row r="1">
          <cell r="A1" t="str">
            <v>Morgan Stanley Hardware Survey - June 2011</v>
          </cell>
        </row>
        <row r="3">
          <cell r="A3" t="str">
            <v>13.  How would you rate pricing trends for the following vendors over the next three months?</v>
          </cell>
        </row>
        <row r="5">
          <cell r="A5" t="str">
            <v>Industry</v>
          </cell>
          <cell r="B5" t="str">
            <v>(All)</v>
          </cell>
          <cell r="E5" t="str">
            <v>Industry</v>
          </cell>
          <cell r="F5" t="str">
            <v>(All)</v>
          </cell>
        </row>
        <row r="6">
          <cell r="A6" t="str">
            <v>Revenue</v>
          </cell>
          <cell r="B6" t="str">
            <v>(All)</v>
          </cell>
          <cell r="E6" t="str">
            <v>Revenue</v>
          </cell>
          <cell r="F6" t="str">
            <v>(All)</v>
          </cell>
        </row>
        <row r="8">
          <cell r="A8" t="str">
            <v>Count of 13 Apple</v>
          </cell>
          <cell r="E8" t="str">
            <v>Count of 13 Brocade</v>
          </cell>
        </row>
        <row r="9">
          <cell r="A9" t="str">
            <v>13 Apple</v>
          </cell>
          <cell r="B9" t="str">
            <v>Total</v>
          </cell>
          <cell r="E9" t="str">
            <v>13 Brocade</v>
          </cell>
          <cell r="F9" t="str">
            <v>Total</v>
          </cell>
          <cell r="J9" t="str">
            <v>AAPL</v>
          </cell>
          <cell r="K9" t="str">
            <v>BRCD</v>
          </cell>
          <cell r="L9" t="str">
            <v>Brother</v>
          </cell>
          <cell r="M9" t="str">
            <v>Canon</v>
          </cell>
          <cell r="N9" t="str">
            <v>DELL</v>
          </cell>
          <cell r="O9" t="str">
            <v>EMC</v>
          </cell>
          <cell r="P9" t="str">
            <v>Hitachi</v>
          </cell>
          <cell r="Q9" t="str">
            <v>HPQ</v>
          </cell>
          <cell r="R9" t="str">
            <v>IBM</v>
          </cell>
          <cell r="S9" t="str">
            <v>Lenovo</v>
          </cell>
          <cell r="T9" t="str">
            <v>LXK</v>
          </cell>
          <cell r="U9" t="str">
            <v>NTAP</v>
          </cell>
          <cell r="V9" t="str">
            <v>ORCL</v>
          </cell>
        </row>
        <row r="10">
          <cell r="A10" t="str">
            <v>More</v>
          </cell>
          <cell r="B10">
            <v>12</v>
          </cell>
          <cell r="E10" t="str">
            <v>More</v>
          </cell>
          <cell r="F10">
            <v>7</v>
          </cell>
          <cell r="I10" t="str">
            <v>More</v>
          </cell>
          <cell r="J10">
            <v>12</v>
          </cell>
          <cell r="K10">
            <v>7</v>
          </cell>
          <cell r="L10">
            <v>1</v>
          </cell>
          <cell r="M10">
            <v>2</v>
          </cell>
          <cell r="N10">
            <v>7</v>
          </cell>
          <cell r="O10">
            <v>11</v>
          </cell>
          <cell r="P10">
            <v>3</v>
          </cell>
          <cell r="Q10">
            <v>5</v>
          </cell>
          <cell r="R10">
            <v>4</v>
          </cell>
          <cell r="S10">
            <v>4</v>
          </cell>
          <cell r="T10">
            <v>5</v>
          </cell>
          <cell r="U10">
            <v>8</v>
          </cell>
          <cell r="V10">
            <v>7</v>
          </cell>
        </row>
        <row r="11">
          <cell r="A11" t="str">
            <v>No Change</v>
          </cell>
          <cell r="B11">
            <v>24</v>
          </cell>
          <cell r="E11" t="str">
            <v>No Change</v>
          </cell>
          <cell r="F11">
            <v>23</v>
          </cell>
          <cell r="I11" t="str">
            <v>No Change</v>
          </cell>
          <cell r="J11">
            <v>24</v>
          </cell>
          <cell r="K11">
            <v>23</v>
          </cell>
          <cell r="L11">
            <v>14</v>
          </cell>
          <cell r="M11">
            <v>14</v>
          </cell>
          <cell r="N11">
            <v>25</v>
          </cell>
          <cell r="O11">
            <v>24</v>
          </cell>
          <cell r="P11">
            <v>19</v>
          </cell>
          <cell r="Q11">
            <v>29</v>
          </cell>
          <cell r="R11">
            <v>27</v>
          </cell>
          <cell r="S11">
            <v>19</v>
          </cell>
          <cell r="T11">
            <v>15</v>
          </cell>
          <cell r="U11">
            <v>26</v>
          </cell>
          <cell r="V11">
            <v>15</v>
          </cell>
        </row>
        <row r="12">
          <cell r="A12" t="str">
            <v>Less</v>
          </cell>
          <cell r="B12">
            <v>3</v>
          </cell>
          <cell r="E12" t="str">
            <v>Less</v>
          </cell>
          <cell r="F12">
            <v>4</v>
          </cell>
          <cell r="I12" t="str">
            <v>Less</v>
          </cell>
          <cell r="J12">
            <v>3</v>
          </cell>
          <cell r="K12">
            <v>4</v>
          </cell>
          <cell r="L12">
            <v>2</v>
          </cell>
          <cell r="M12">
            <v>3</v>
          </cell>
          <cell r="N12">
            <v>7</v>
          </cell>
          <cell r="O12">
            <v>4</v>
          </cell>
          <cell r="P12">
            <v>3</v>
          </cell>
          <cell r="Q12">
            <v>4</v>
          </cell>
          <cell r="R12">
            <v>5</v>
          </cell>
          <cell r="S12">
            <v>0</v>
          </cell>
          <cell r="T12">
            <v>3</v>
          </cell>
          <cell r="U12">
            <v>4</v>
          </cell>
          <cell r="V12">
            <v>3</v>
          </cell>
        </row>
        <row r="13">
          <cell r="A13" t="str">
            <v>NA</v>
          </cell>
          <cell r="B13">
            <v>11</v>
          </cell>
          <cell r="E13" t="str">
            <v>NA</v>
          </cell>
          <cell r="F13">
            <v>16</v>
          </cell>
          <cell r="I13" t="str">
            <v>NA</v>
          </cell>
          <cell r="J13">
            <v>11</v>
          </cell>
          <cell r="K13">
            <v>16</v>
          </cell>
          <cell r="L13">
            <v>33</v>
          </cell>
          <cell r="M13">
            <v>31</v>
          </cell>
          <cell r="N13">
            <v>11</v>
          </cell>
          <cell r="O13">
            <v>11</v>
          </cell>
          <cell r="P13">
            <v>25</v>
          </cell>
          <cell r="Q13">
            <v>12</v>
          </cell>
          <cell r="R13">
            <v>14</v>
          </cell>
          <cell r="S13">
            <v>27</v>
          </cell>
          <cell r="T13">
            <v>27</v>
          </cell>
          <cell r="U13">
            <v>12</v>
          </cell>
          <cell r="V13">
            <v>25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</row>
        <row r="15">
          <cell r="I15" t="str">
            <v>More Aggressive</v>
          </cell>
          <cell r="J15">
            <v>0.30769230769230771</v>
          </cell>
          <cell r="K15">
            <v>0.20588235294117646</v>
          </cell>
          <cell r="L15">
            <v>5.8823529411764705E-2</v>
          </cell>
          <cell r="M15">
            <v>0.10526315789473684</v>
          </cell>
          <cell r="N15">
            <v>0.17948717948717949</v>
          </cell>
          <cell r="O15">
            <v>0.28205128205128205</v>
          </cell>
          <cell r="P15">
            <v>0.12</v>
          </cell>
          <cell r="Q15">
            <v>0.13157894736842105</v>
          </cell>
          <cell r="R15">
            <v>0.1111111111111111</v>
          </cell>
          <cell r="S15">
            <v>0.17391304347826086</v>
          </cell>
          <cell r="T15">
            <v>0.21739130434782608</v>
          </cell>
          <cell r="U15">
            <v>0.21052631578947367</v>
          </cell>
          <cell r="V15">
            <v>0.28000000000000003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  <cell r="I16" t="str">
            <v>Less Aggressive</v>
          </cell>
          <cell r="J16">
            <v>-7.6923076923076927E-2</v>
          </cell>
          <cell r="K16">
            <v>-0.11764705882352941</v>
          </cell>
          <cell r="L16">
            <v>-0.11764705882352941</v>
          </cell>
          <cell r="M16">
            <v>-0.15789473684210525</v>
          </cell>
          <cell r="N16">
            <v>-0.17948717948717949</v>
          </cell>
          <cell r="O16">
            <v>-0.10256410256410256</v>
          </cell>
          <cell r="P16">
            <v>-0.12</v>
          </cell>
          <cell r="Q16">
            <v>-0.10526315789473684</v>
          </cell>
          <cell r="R16">
            <v>-0.1388888888888889</v>
          </cell>
          <cell r="S16">
            <v>0</v>
          </cell>
          <cell r="T16">
            <v>-0.13043478260869565</v>
          </cell>
          <cell r="U16">
            <v>-0.10526315789473684</v>
          </cell>
          <cell r="V16">
            <v>-0.12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</row>
        <row r="18">
          <cell r="J18" t="str">
            <v>AAPL</v>
          </cell>
          <cell r="K18" t="str">
            <v>EMC</v>
          </cell>
          <cell r="L18" t="str">
            <v>Lenovo</v>
          </cell>
          <cell r="M18" t="str">
            <v>ORCL</v>
          </cell>
          <cell r="N18" t="str">
            <v>NTAP</v>
          </cell>
          <cell r="O18" t="str">
            <v>BRCD</v>
          </cell>
          <cell r="P18" t="str">
            <v>LXK</v>
          </cell>
          <cell r="Q18" t="str">
            <v>HPQ</v>
          </cell>
          <cell r="R18" t="str">
            <v>DELL</v>
          </cell>
          <cell r="S18" t="str">
            <v>Hitachi</v>
          </cell>
          <cell r="T18" t="str">
            <v>IBM</v>
          </cell>
          <cell r="U18" t="str">
            <v>Canon</v>
          </cell>
          <cell r="V18" t="str">
            <v>Brother</v>
          </cell>
        </row>
        <row r="19">
          <cell r="A19" t="str">
            <v>Count of 13 Brother</v>
          </cell>
          <cell r="E19" t="str">
            <v>Count of 13 Canon</v>
          </cell>
          <cell r="I19" t="str">
            <v>Jul 11 Survey</v>
          </cell>
          <cell r="J19">
            <v>0.23076923076923078</v>
          </cell>
          <cell r="K19">
            <v>0.17948717948717949</v>
          </cell>
          <cell r="L19">
            <v>0.17391304347826086</v>
          </cell>
          <cell r="M19">
            <v>0.16</v>
          </cell>
          <cell r="N19">
            <v>0.10526315789473684</v>
          </cell>
          <cell r="O19">
            <v>8.8235294117647051E-2</v>
          </cell>
          <cell r="P19">
            <v>8.6956521739130432E-2</v>
          </cell>
          <cell r="Q19">
            <v>2.6315789473684209E-2</v>
          </cell>
          <cell r="R19">
            <v>0</v>
          </cell>
          <cell r="S19">
            <v>0</v>
          </cell>
          <cell r="T19">
            <v>-2.777777777777779E-2</v>
          </cell>
          <cell r="U19">
            <v>-5.2631578947368418E-2</v>
          </cell>
          <cell r="V19">
            <v>-5.8823529411764705E-2</v>
          </cell>
        </row>
        <row r="20">
          <cell r="A20" t="str">
            <v>13 Brother</v>
          </cell>
          <cell r="B20" t="str">
            <v>Total</v>
          </cell>
          <cell r="E20" t="str">
            <v>13 Canon</v>
          </cell>
          <cell r="F20" t="str">
            <v>Total</v>
          </cell>
        </row>
        <row r="21">
          <cell r="A21" t="str">
            <v>More</v>
          </cell>
          <cell r="B21">
            <v>1</v>
          </cell>
          <cell r="E21" t="str">
            <v>More</v>
          </cell>
          <cell r="F21">
            <v>2</v>
          </cell>
        </row>
        <row r="22">
          <cell r="A22" t="str">
            <v>No Change</v>
          </cell>
          <cell r="B22">
            <v>14</v>
          </cell>
          <cell r="E22" t="str">
            <v>No Change</v>
          </cell>
          <cell r="F22">
            <v>14</v>
          </cell>
        </row>
        <row r="23">
          <cell r="A23" t="str">
            <v>Less</v>
          </cell>
          <cell r="B23">
            <v>2</v>
          </cell>
          <cell r="E23" t="str">
            <v>Less</v>
          </cell>
          <cell r="F23">
            <v>3</v>
          </cell>
        </row>
        <row r="24">
          <cell r="A24" t="str">
            <v>NA</v>
          </cell>
          <cell r="B24">
            <v>33</v>
          </cell>
          <cell r="E24" t="str">
            <v>NA</v>
          </cell>
          <cell r="F24">
            <v>31</v>
          </cell>
        </row>
        <row r="25">
          <cell r="A25" t="str">
            <v>Grand Total</v>
          </cell>
          <cell r="B25">
            <v>50</v>
          </cell>
          <cell r="E25" t="str">
            <v>Grand Total</v>
          </cell>
          <cell r="F25">
            <v>50</v>
          </cell>
        </row>
        <row r="27">
          <cell r="A27" t="str">
            <v>Industry</v>
          </cell>
          <cell r="B27" t="str">
            <v>(All)</v>
          </cell>
          <cell r="E27" t="str">
            <v>Industry</v>
          </cell>
          <cell r="F27" t="str">
            <v>(All)</v>
          </cell>
        </row>
        <row r="28">
          <cell r="A28" t="str">
            <v>Revenue</v>
          </cell>
          <cell r="B28" t="str">
            <v>(All)</v>
          </cell>
          <cell r="E28" t="str">
            <v>Revenue</v>
          </cell>
          <cell r="F28" t="str">
            <v>(All)</v>
          </cell>
        </row>
        <row r="30">
          <cell r="A30" t="str">
            <v>Count of 13 Dell</v>
          </cell>
          <cell r="E30" t="str">
            <v>Count of 13 EMC</v>
          </cell>
        </row>
        <row r="31">
          <cell r="A31" t="str">
            <v>13 Dell</v>
          </cell>
          <cell r="B31" t="str">
            <v>Total</v>
          </cell>
          <cell r="E31" t="str">
            <v>13 EMC</v>
          </cell>
          <cell r="F31" t="str">
            <v>Total</v>
          </cell>
        </row>
        <row r="32">
          <cell r="A32" t="str">
            <v>More</v>
          </cell>
          <cell r="B32">
            <v>7</v>
          </cell>
          <cell r="E32" t="str">
            <v>More</v>
          </cell>
          <cell r="F32">
            <v>11</v>
          </cell>
        </row>
        <row r="33">
          <cell r="A33" t="str">
            <v>No Change</v>
          </cell>
          <cell r="B33">
            <v>25</v>
          </cell>
          <cell r="E33" t="str">
            <v>No Change</v>
          </cell>
          <cell r="F33">
            <v>24</v>
          </cell>
        </row>
        <row r="34">
          <cell r="A34" t="str">
            <v>Less</v>
          </cell>
          <cell r="B34">
            <v>7</v>
          </cell>
          <cell r="E34" t="str">
            <v>Less</v>
          </cell>
          <cell r="F34">
            <v>4</v>
          </cell>
        </row>
        <row r="35">
          <cell r="A35" t="str">
            <v>NA</v>
          </cell>
          <cell r="B35">
            <v>11</v>
          </cell>
          <cell r="E35" t="str">
            <v>NA</v>
          </cell>
          <cell r="F35">
            <v>11</v>
          </cell>
        </row>
        <row r="36">
          <cell r="A36" t="str">
            <v>Grand Total</v>
          </cell>
          <cell r="B36">
            <v>50</v>
          </cell>
          <cell r="E36" t="str">
            <v>Grand Total</v>
          </cell>
          <cell r="F36">
            <v>50</v>
          </cell>
        </row>
        <row r="38">
          <cell r="A38" t="str">
            <v>Industry</v>
          </cell>
          <cell r="B38" t="str">
            <v>(All)</v>
          </cell>
          <cell r="E38" t="str">
            <v>Industry</v>
          </cell>
          <cell r="F38" t="str">
            <v>(All)</v>
          </cell>
        </row>
        <row r="39">
          <cell r="A39" t="str">
            <v>Revenue</v>
          </cell>
          <cell r="B39" t="str">
            <v>(All)</v>
          </cell>
          <cell r="E39" t="str">
            <v>Revenue</v>
          </cell>
          <cell r="F39" t="str">
            <v>(All)</v>
          </cell>
        </row>
        <row r="41">
          <cell r="A41" t="str">
            <v>Count of 13 Hitachi</v>
          </cell>
          <cell r="E41" t="str">
            <v>Count of 13 IBM</v>
          </cell>
        </row>
        <row r="42">
          <cell r="A42" t="str">
            <v>13 Hitachi</v>
          </cell>
          <cell r="B42" t="str">
            <v>Total</v>
          </cell>
          <cell r="E42" t="str">
            <v>13 IBM</v>
          </cell>
          <cell r="F42" t="str">
            <v>Total</v>
          </cell>
        </row>
        <row r="43">
          <cell r="A43" t="str">
            <v>More</v>
          </cell>
          <cell r="B43">
            <v>3</v>
          </cell>
          <cell r="E43" t="str">
            <v>More</v>
          </cell>
          <cell r="F43">
            <v>4</v>
          </cell>
        </row>
        <row r="44">
          <cell r="A44" t="str">
            <v>No Change</v>
          </cell>
          <cell r="B44">
            <v>19</v>
          </cell>
          <cell r="E44" t="str">
            <v>No Change</v>
          </cell>
          <cell r="F44">
            <v>27</v>
          </cell>
        </row>
        <row r="45">
          <cell r="A45" t="str">
            <v>Less</v>
          </cell>
          <cell r="B45">
            <v>3</v>
          </cell>
          <cell r="E45" t="str">
            <v>Less</v>
          </cell>
          <cell r="F45">
            <v>5</v>
          </cell>
        </row>
        <row r="46">
          <cell r="A46" t="str">
            <v>NA</v>
          </cell>
          <cell r="B46">
            <v>25</v>
          </cell>
          <cell r="E46" t="str">
            <v>NA</v>
          </cell>
          <cell r="F46">
            <v>14</v>
          </cell>
        </row>
        <row r="47">
          <cell r="A47" t="str">
            <v>Grand Total</v>
          </cell>
          <cell r="B47">
            <v>50</v>
          </cell>
          <cell r="E47" t="str">
            <v>Grand Total</v>
          </cell>
          <cell r="F47">
            <v>50</v>
          </cell>
        </row>
        <row r="49">
          <cell r="A49" t="str">
            <v>Industry</v>
          </cell>
          <cell r="B49" t="str">
            <v>(All)</v>
          </cell>
          <cell r="E49" t="str">
            <v>Industry</v>
          </cell>
          <cell r="F49" t="str">
            <v>(All)</v>
          </cell>
        </row>
        <row r="50">
          <cell r="A50" t="str">
            <v>Revenue</v>
          </cell>
          <cell r="B50" t="str">
            <v>(All)</v>
          </cell>
          <cell r="E50" t="str">
            <v>Revenue</v>
          </cell>
          <cell r="F50" t="str">
            <v>(All)</v>
          </cell>
        </row>
        <row r="52">
          <cell r="A52" t="str">
            <v>Count of 13 Lenovo</v>
          </cell>
          <cell r="E52" t="str">
            <v>Count of 13 Lexmark</v>
          </cell>
        </row>
        <row r="53">
          <cell r="A53" t="str">
            <v>13 Lenovo</v>
          </cell>
          <cell r="B53" t="str">
            <v>Total</v>
          </cell>
          <cell r="E53" t="str">
            <v>13 Lexmark</v>
          </cell>
          <cell r="F53" t="str">
            <v>Total</v>
          </cell>
        </row>
        <row r="54">
          <cell r="A54" t="str">
            <v>More</v>
          </cell>
          <cell r="B54">
            <v>4</v>
          </cell>
          <cell r="E54" t="str">
            <v>More</v>
          </cell>
          <cell r="F54">
            <v>5</v>
          </cell>
        </row>
        <row r="55">
          <cell r="A55" t="str">
            <v>No Change</v>
          </cell>
          <cell r="B55">
            <v>19</v>
          </cell>
          <cell r="E55" t="str">
            <v>No Change</v>
          </cell>
          <cell r="F55">
            <v>15</v>
          </cell>
        </row>
        <row r="56">
          <cell r="A56" t="str">
            <v>NA</v>
          </cell>
          <cell r="B56">
            <v>27</v>
          </cell>
          <cell r="E56" t="str">
            <v>Less</v>
          </cell>
          <cell r="F56">
            <v>3</v>
          </cell>
        </row>
        <row r="57">
          <cell r="A57" t="str">
            <v>Grand Total</v>
          </cell>
          <cell r="B57">
            <v>50</v>
          </cell>
          <cell r="E57" t="str">
            <v>NA</v>
          </cell>
          <cell r="F57">
            <v>27</v>
          </cell>
        </row>
        <row r="58">
          <cell r="E58" t="str">
            <v>Grand Total</v>
          </cell>
          <cell r="F58">
            <v>50</v>
          </cell>
        </row>
        <row r="60">
          <cell r="A60" t="str">
            <v>Industry</v>
          </cell>
          <cell r="B60" t="str">
            <v>(All)</v>
          </cell>
          <cell r="E60" t="str">
            <v>Industry</v>
          </cell>
          <cell r="F60" t="str">
            <v>(All)</v>
          </cell>
        </row>
        <row r="61">
          <cell r="A61" t="str">
            <v>Revenue</v>
          </cell>
          <cell r="B61" t="str">
            <v>(All)</v>
          </cell>
          <cell r="E61" t="str">
            <v>Revenue</v>
          </cell>
          <cell r="F61" t="str">
            <v>(All)</v>
          </cell>
        </row>
        <row r="63">
          <cell r="A63" t="str">
            <v>Count of 13 NetApp</v>
          </cell>
          <cell r="E63" t="str">
            <v>Count of 13 Oracle/Sun</v>
          </cell>
        </row>
        <row r="64">
          <cell r="A64" t="str">
            <v>13 NetApp</v>
          </cell>
          <cell r="B64" t="str">
            <v>Total</v>
          </cell>
          <cell r="E64" t="str">
            <v>13 Oracle/Sun</v>
          </cell>
          <cell r="F64" t="str">
            <v>Total</v>
          </cell>
        </row>
        <row r="65">
          <cell r="A65" t="str">
            <v>More</v>
          </cell>
          <cell r="B65">
            <v>8</v>
          </cell>
          <cell r="E65" t="str">
            <v>More</v>
          </cell>
          <cell r="F65">
            <v>7</v>
          </cell>
        </row>
        <row r="66">
          <cell r="A66" t="str">
            <v>No Change</v>
          </cell>
          <cell r="B66">
            <v>26</v>
          </cell>
          <cell r="E66" t="str">
            <v>No Change</v>
          </cell>
          <cell r="F66">
            <v>15</v>
          </cell>
        </row>
        <row r="67">
          <cell r="A67" t="str">
            <v>Less</v>
          </cell>
          <cell r="B67">
            <v>4</v>
          </cell>
          <cell r="E67" t="str">
            <v>Less</v>
          </cell>
          <cell r="F67">
            <v>3</v>
          </cell>
        </row>
        <row r="68">
          <cell r="A68" t="str">
            <v>NA</v>
          </cell>
          <cell r="B68">
            <v>12</v>
          </cell>
          <cell r="E68" t="str">
            <v>NA</v>
          </cell>
          <cell r="F68">
            <v>25</v>
          </cell>
        </row>
        <row r="69">
          <cell r="A69" t="str">
            <v>Grand Total</v>
          </cell>
          <cell r="B69">
            <v>50</v>
          </cell>
          <cell r="E69" t="str">
            <v>Grand Total</v>
          </cell>
          <cell r="F69">
            <v>50</v>
          </cell>
        </row>
      </sheetData>
      <sheetData sheetId="13">
        <row r="1">
          <cell r="A1" t="str">
            <v>Morgan Stanley Hardware Survey - June 2011</v>
          </cell>
        </row>
        <row r="3">
          <cell r="A3" t="str">
            <v>14.  How have printers and supplies spending per employee trended in the last twelve months?</v>
          </cell>
        </row>
        <row r="4">
          <cell r="A4" t="str">
            <v xml:space="preserve"> How do you expect it to trend per employee in the next twelve months?</v>
          </cell>
        </row>
        <row r="6">
          <cell r="A6" t="str">
            <v>Industry</v>
          </cell>
          <cell r="B6" t="str">
            <v>(All)</v>
          </cell>
          <cell r="E6" t="str">
            <v>Industry</v>
          </cell>
          <cell r="F6" t="str">
            <v>(All)</v>
          </cell>
        </row>
        <row r="7">
          <cell r="A7" t="str">
            <v>Revenue</v>
          </cell>
          <cell r="B7" t="str">
            <v>(All)</v>
          </cell>
          <cell r="E7" t="str">
            <v>Revenue</v>
          </cell>
          <cell r="F7" t="str">
            <v>(All)</v>
          </cell>
        </row>
        <row r="9">
          <cell r="A9" t="str">
            <v>Count of 14 Printer Spending Last 12 Months</v>
          </cell>
          <cell r="E9" t="str">
            <v>Count of 14 Printer Supplies Spending Last 12 Months</v>
          </cell>
          <cell r="J9" t="str">
            <v>Printers</v>
          </cell>
          <cell r="Q9" t="str">
            <v>Supplies</v>
          </cell>
        </row>
        <row r="10">
          <cell r="A10" t="str">
            <v>14 Printer Spending Last 12 Months</v>
          </cell>
          <cell r="B10" t="str">
            <v>Total</v>
          </cell>
          <cell r="E10" t="str">
            <v>14 Printer Supplies Spending Last 12 Months</v>
          </cell>
          <cell r="F10" t="str">
            <v>Total</v>
          </cell>
          <cell r="J10">
            <v>40087</v>
          </cell>
          <cell r="K10">
            <v>40179</v>
          </cell>
          <cell r="L10">
            <v>40452</v>
          </cell>
          <cell r="M10">
            <v>40544</v>
          </cell>
          <cell r="N10">
            <v>40634</v>
          </cell>
          <cell r="O10">
            <v>40725</v>
          </cell>
          <cell r="Q10">
            <v>40087</v>
          </cell>
          <cell r="R10">
            <v>40179</v>
          </cell>
          <cell r="S10">
            <v>40452</v>
          </cell>
          <cell r="T10">
            <v>40544</v>
          </cell>
          <cell r="U10">
            <v>40634</v>
          </cell>
          <cell r="V10">
            <v>40725</v>
          </cell>
        </row>
        <row r="11">
          <cell r="A11" t="str">
            <v>Increase</v>
          </cell>
          <cell r="B11">
            <v>6</v>
          </cell>
          <cell r="E11" t="str">
            <v>Increase</v>
          </cell>
          <cell r="F11">
            <v>7</v>
          </cell>
          <cell r="I11" t="str">
            <v>Increase</v>
          </cell>
          <cell r="J11">
            <v>0.11678832116788321</v>
          </cell>
          <cell r="K11">
            <v>7.2992700729927001E-2</v>
          </cell>
          <cell r="L11">
            <v>6.9767441860465115E-2</v>
          </cell>
          <cell r="M11">
            <v>0.1</v>
          </cell>
          <cell r="N11">
            <v>0.12</v>
          </cell>
          <cell r="O11">
            <v>0.08</v>
          </cell>
          <cell r="Q11">
            <v>8.9552238805970144E-2</v>
          </cell>
          <cell r="R11">
            <v>0.15217391304347827</v>
          </cell>
          <cell r="S11">
            <v>0.14893617021276595</v>
          </cell>
          <cell r="T11">
            <v>0.12</v>
          </cell>
          <cell r="U11">
            <v>0.14000000000000001</v>
          </cell>
          <cell r="V11">
            <v>0.16</v>
          </cell>
        </row>
        <row r="12">
          <cell r="A12" t="str">
            <v>Flat</v>
          </cell>
          <cell r="B12">
            <v>29</v>
          </cell>
          <cell r="E12" t="str">
            <v>Flat</v>
          </cell>
          <cell r="F12">
            <v>37</v>
          </cell>
          <cell r="I12" t="str">
            <v>Decrease</v>
          </cell>
          <cell r="J12">
            <v>-0.29927007299270098</v>
          </cell>
          <cell r="K12">
            <v>-0.29927007299270098</v>
          </cell>
          <cell r="L12">
            <v>-0.2558139534883721</v>
          </cell>
          <cell r="M12">
            <v>-0.2</v>
          </cell>
          <cell r="N12">
            <v>-0.18</v>
          </cell>
          <cell r="O12">
            <v>-0.24</v>
          </cell>
          <cell r="Q12">
            <v>-0.35820895522388102</v>
          </cell>
          <cell r="R12">
            <v>-0.30434782608695699</v>
          </cell>
          <cell r="S12">
            <v>-0.1276595744680851</v>
          </cell>
          <cell r="T12">
            <v>-0.3</v>
          </cell>
          <cell r="U12">
            <v>-0.24</v>
          </cell>
          <cell r="V12">
            <v>-0.12</v>
          </cell>
        </row>
        <row r="13">
          <cell r="A13" t="str">
            <v>Decrease</v>
          </cell>
          <cell r="B13">
            <v>15</v>
          </cell>
          <cell r="E13" t="str">
            <v>Decrease</v>
          </cell>
          <cell r="F13">
            <v>6</v>
          </cell>
        </row>
        <row r="14">
          <cell r="A14" t="str">
            <v>Grand Total</v>
          </cell>
          <cell r="B14">
            <v>50</v>
          </cell>
          <cell r="E14" t="str">
            <v>Grand Total</v>
          </cell>
          <cell r="F14">
            <v>50</v>
          </cell>
        </row>
        <row r="16">
          <cell r="A16" t="str">
            <v>Industry</v>
          </cell>
          <cell r="B16" t="str">
            <v>(All)</v>
          </cell>
          <cell r="E16" t="str">
            <v>Industry</v>
          </cell>
          <cell r="F16" t="str">
            <v>(All)</v>
          </cell>
        </row>
        <row r="17">
          <cell r="A17" t="str">
            <v>Revenue</v>
          </cell>
          <cell r="B17" t="str">
            <v>(All)</v>
          </cell>
          <cell r="E17" t="str">
            <v>Revenue</v>
          </cell>
          <cell r="F17" t="str">
            <v>(All)</v>
          </cell>
        </row>
        <row r="19">
          <cell r="A19" t="str">
            <v>Count of 14 Printer Spending Next 12 Months</v>
          </cell>
          <cell r="E19" t="str">
            <v>Count of 14 Printer Supplies Spending Next 12 Months</v>
          </cell>
        </row>
        <row r="20">
          <cell r="A20" t="str">
            <v>14 Printer Spending Next 12 Months</v>
          </cell>
          <cell r="B20" t="str">
            <v>Total</v>
          </cell>
          <cell r="E20" t="str">
            <v>14 Printer Supplies Spending Next 12 Months</v>
          </cell>
          <cell r="F20" t="str">
            <v>Total</v>
          </cell>
        </row>
        <row r="21">
          <cell r="A21" t="str">
            <v>Increase</v>
          </cell>
          <cell r="B21">
            <v>4</v>
          </cell>
          <cell r="E21" t="str">
            <v>Increase</v>
          </cell>
          <cell r="F21">
            <v>8</v>
          </cell>
        </row>
        <row r="22">
          <cell r="A22" t="str">
            <v>Flat</v>
          </cell>
          <cell r="B22">
            <v>34</v>
          </cell>
          <cell r="E22" t="str">
            <v>Flat</v>
          </cell>
          <cell r="F22">
            <v>36</v>
          </cell>
        </row>
        <row r="23">
          <cell r="A23" t="str">
            <v>Decrease</v>
          </cell>
          <cell r="B23">
            <v>12</v>
          </cell>
          <cell r="E23" t="str">
            <v>Decrease</v>
          </cell>
          <cell r="F23">
            <v>6</v>
          </cell>
        </row>
        <row r="24">
          <cell r="A24" t="str">
            <v>Grand Total</v>
          </cell>
          <cell r="B24">
            <v>50</v>
          </cell>
          <cell r="E24" t="str">
            <v>Grand Total</v>
          </cell>
          <cell r="F24">
            <v>50</v>
          </cell>
        </row>
      </sheetData>
      <sheetData sheetId="14"/>
      <sheetData sheetId="15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 (2)"/>
      <sheetName val="#6 (2)"/>
      <sheetName val="#7"/>
      <sheetName val="#8"/>
      <sheetName val="#9"/>
      <sheetName val="#10"/>
      <sheetName val="DATASHEET"/>
      <sheetName val="#5"/>
      <sheetName val="#6"/>
    </sheetNames>
    <sheetDataSet>
      <sheetData sheetId="0"/>
      <sheetData sheetId="1"/>
      <sheetData sheetId="2">
        <row r="1">
          <cell r="A1" t="str">
            <v>Morgan Stanley CIO Survey - November 2011</v>
          </cell>
        </row>
        <row r="3">
          <cell r="A3" t="str">
            <v>3.  How would you characterize the current IT spending mind-set within your organization on the scale</v>
          </cell>
        </row>
        <row r="4">
          <cell r="A4" t="str">
            <v xml:space="preserve"> below, with “1” being Aggressive Cost Cutting Mode to “10” being Aggressively Investing for Growth?</v>
          </cell>
        </row>
        <row r="6">
          <cell r="A6" t="str">
            <v>US / EU</v>
          </cell>
          <cell r="B6" t="str">
            <v>US</v>
          </cell>
          <cell r="E6" t="str">
            <v>US</v>
          </cell>
          <cell r="F6" t="str">
            <v>Jan 11 Survey</v>
          </cell>
          <cell r="G6" t="str">
            <v>Apr 11 Survey</v>
          </cell>
          <cell r="H6" t="str">
            <v>Jul 11 Survey</v>
          </cell>
          <cell r="I6" t="str">
            <v>Oct 11 Survey</v>
          </cell>
        </row>
        <row r="7">
          <cell r="A7" t="str">
            <v>Industry</v>
          </cell>
          <cell r="B7" t="str">
            <v>(All)</v>
          </cell>
          <cell r="E7">
            <v>10</v>
          </cell>
          <cell r="F7">
            <v>0.01</v>
          </cell>
          <cell r="G7">
            <v>0</v>
          </cell>
          <cell r="H7">
            <v>0.01</v>
          </cell>
          <cell r="I7">
            <v>0</v>
          </cell>
        </row>
        <row r="8">
          <cell r="A8" t="str">
            <v>Revenue</v>
          </cell>
          <cell r="B8" t="str">
            <v>(All)</v>
          </cell>
          <cell r="E8">
            <v>9</v>
          </cell>
          <cell r="F8">
            <v>0.01</v>
          </cell>
          <cell r="G8">
            <v>0.01</v>
          </cell>
          <cell r="H8">
            <v>0.01</v>
          </cell>
          <cell r="I8">
            <v>2.0618556701030927E-2</v>
          </cell>
        </row>
        <row r="9">
          <cell r="E9">
            <v>8</v>
          </cell>
          <cell r="F9">
            <v>0.05</v>
          </cell>
          <cell r="G9">
            <v>0.09</v>
          </cell>
          <cell r="H9">
            <v>0.12</v>
          </cell>
          <cell r="I9">
            <v>8.247422680412371E-2</v>
          </cell>
        </row>
        <row r="10">
          <cell r="A10" t="str">
            <v>Count of 3 Current IT spending mind-set</v>
          </cell>
          <cell r="E10">
            <v>7</v>
          </cell>
          <cell r="F10">
            <v>0.19</v>
          </cell>
          <cell r="G10">
            <v>0.25</v>
          </cell>
          <cell r="H10">
            <v>0.22</v>
          </cell>
          <cell r="I10">
            <v>0.18556701030927836</v>
          </cell>
        </row>
        <row r="11">
          <cell r="A11" t="str">
            <v>3 Current IT spending mind-set</v>
          </cell>
          <cell r="B11" t="str">
            <v>Total</v>
          </cell>
          <cell r="E11">
            <v>6</v>
          </cell>
          <cell r="F11">
            <v>0.16</v>
          </cell>
          <cell r="G11">
            <v>0.17</v>
          </cell>
          <cell r="H11">
            <v>0.21</v>
          </cell>
          <cell r="I11">
            <v>0.17525773195876287</v>
          </cell>
        </row>
        <row r="12">
          <cell r="A12">
            <v>9</v>
          </cell>
          <cell r="B12">
            <v>2</v>
          </cell>
          <cell r="E12">
            <v>5</v>
          </cell>
          <cell r="F12">
            <v>0.23</v>
          </cell>
          <cell r="G12">
            <v>0.15</v>
          </cell>
          <cell r="H12">
            <v>0.14000000000000001</v>
          </cell>
          <cell r="I12">
            <v>0.18556701030927836</v>
          </cell>
        </row>
        <row r="13">
          <cell r="A13">
            <v>8</v>
          </cell>
          <cell r="B13">
            <v>8</v>
          </cell>
          <cell r="E13">
            <v>4</v>
          </cell>
          <cell r="F13">
            <v>0.16</v>
          </cell>
          <cell r="G13">
            <v>0.11</v>
          </cell>
          <cell r="H13">
            <v>0.08</v>
          </cell>
          <cell r="I13">
            <v>8.247422680412371E-2</v>
          </cell>
        </row>
        <row r="14">
          <cell r="A14">
            <v>7</v>
          </cell>
          <cell r="B14">
            <v>18</v>
          </cell>
          <cell r="E14">
            <v>3</v>
          </cell>
          <cell r="F14">
            <v>0.14000000000000001</v>
          </cell>
          <cell r="G14">
            <v>0.15</v>
          </cell>
          <cell r="H14">
            <v>0.12</v>
          </cell>
          <cell r="I14">
            <v>0.17525773195876287</v>
          </cell>
        </row>
        <row r="15">
          <cell r="A15">
            <v>6</v>
          </cell>
          <cell r="B15">
            <v>17</v>
          </cell>
          <cell r="E15">
            <v>2</v>
          </cell>
          <cell r="F15">
            <v>0.03</v>
          </cell>
          <cell r="G15">
            <v>0.03</v>
          </cell>
          <cell r="H15">
            <v>0.03</v>
          </cell>
          <cell r="I15">
            <v>3.0927835051546393E-2</v>
          </cell>
        </row>
        <row r="16">
          <cell r="A16">
            <v>5</v>
          </cell>
          <cell r="B16">
            <v>18</v>
          </cell>
          <cell r="E16">
            <v>1</v>
          </cell>
          <cell r="F16">
            <v>0.02</v>
          </cell>
          <cell r="G16">
            <v>0.04</v>
          </cell>
          <cell r="H16">
            <v>0.06</v>
          </cell>
          <cell r="I16">
            <v>6.1855670103092786E-2</v>
          </cell>
        </row>
        <row r="17">
          <cell r="A17">
            <v>4</v>
          </cell>
          <cell r="B17">
            <v>8</v>
          </cell>
        </row>
        <row r="18">
          <cell r="A18">
            <v>3</v>
          </cell>
          <cell r="B18">
            <v>17</v>
          </cell>
        </row>
        <row r="19">
          <cell r="A19">
            <v>2</v>
          </cell>
          <cell r="B19">
            <v>3</v>
          </cell>
          <cell r="E19" t="str">
            <v>Jan 11 Survey</v>
          </cell>
          <cell r="F19">
            <v>5.17</v>
          </cell>
        </row>
        <row r="20">
          <cell r="A20">
            <v>1</v>
          </cell>
          <cell r="B20">
            <v>6</v>
          </cell>
          <cell r="E20" t="str">
            <v>Apr 11 Survey</v>
          </cell>
          <cell r="F20">
            <v>5.32</v>
          </cell>
        </row>
        <row r="21">
          <cell r="A21" t="str">
            <v>Grand Total</v>
          </cell>
          <cell r="B21">
            <v>97</v>
          </cell>
          <cell r="E21" t="str">
            <v>Jul 11 Survey</v>
          </cell>
          <cell r="F21">
            <v>5.45</v>
          </cell>
        </row>
        <row r="22">
          <cell r="E22" t="str">
            <v>Oct 11 Survey</v>
          </cell>
          <cell r="F22">
            <v>5.1030927835051543</v>
          </cell>
        </row>
      </sheetData>
      <sheetData sheetId="3"/>
      <sheetData sheetId="4"/>
      <sheetData sheetId="5"/>
      <sheetData sheetId="6">
        <row r="1">
          <cell r="A1" t="str">
            <v>Morgan Stanley CIO Survey - November 2011</v>
          </cell>
        </row>
        <row r="3">
          <cell r="A3" t="str">
            <v>7.  Have there been any revisions to your 2011 IT budget in the past 3 months?  If you have</v>
          </cell>
        </row>
        <row r="4">
          <cell r="A4" t="str">
            <v xml:space="preserve"> made revisions to your 2011 IT budgets in the past 3 months, what were the magnitude of</v>
          </cell>
        </row>
        <row r="5">
          <cell r="A5" t="str">
            <v xml:space="preserve"> those revisions?</v>
          </cell>
        </row>
        <row r="7">
          <cell r="A7" t="str">
            <v>US / EU</v>
          </cell>
          <cell r="B7" t="str">
            <v>US</v>
          </cell>
        </row>
        <row r="8">
          <cell r="A8" t="str">
            <v>Industry</v>
          </cell>
          <cell r="B8" t="str">
            <v>(All)</v>
          </cell>
        </row>
        <row r="9">
          <cell r="A9" t="str">
            <v>Revenue</v>
          </cell>
          <cell r="B9" t="str">
            <v>(All)</v>
          </cell>
        </row>
        <row r="10">
          <cell r="E10" t="str">
            <v>US</v>
          </cell>
          <cell r="F10">
            <v>40554</v>
          </cell>
          <cell r="G10">
            <v>40644</v>
          </cell>
          <cell r="H10">
            <v>40735</v>
          </cell>
          <cell r="I10">
            <v>40827</v>
          </cell>
        </row>
        <row r="11">
          <cell r="A11" t="str">
            <v>Count of 7 Revisions Last 3 Months</v>
          </cell>
          <cell r="F11">
            <v>2010</v>
          </cell>
          <cell r="G11">
            <v>2011</v>
          </cell>
          <cell r="H11">
            <v>2011</v>
          </cell>
          <cell r="I11">
            <v>2011</v>
          </cell>
        </row>
        <row r="12">
          <cell r="A12" t="str">
            <v>7 Revisions Last 3 Months</v>
          </cell>
          <cell r="B12" t="str">
            <v>Total</v>
          </cell>
          <cell r="E12" t="str">
            <v>Up</v>
          </cell>
          <cell r="F12">
            <v>0.15</v>
          </cell>
          <cell r="G12">
            <v>0.16</v>
          </cell>
          <cell r="H12">
            <v>0.18</v>
          </cell>
          <cell r="I12">
            <v>0.14432989690721648</v>
          </cell>
        </row>
        <row r="13">
          <cell r="A13" t="str">
            <v>a. Upward revision</v>
          </cell>
          <cell r="B13">
            <v>14</v>
          </cell>
          <cell r="E13" t="str">
            <v>Flat</v>
          </cell>
          <cell r="F13">
            <v>0.7</v>
          </cell>
          <cell r="G13">
            <v>0.69</v>
          </cell>
          <cell r="H13">
            <v>0.63</v>
          </cell>
          <cell r="I13">
            <v>0.62886597938144329</v>
          </cell>
        </row>
        <row r="14">
          <cell r="A14" t="str">
            <v>b. Downward revision</v>
          </cell>
          <cell r="B14">
            <v>22</v>
          </cell>
          <cell r="E14" t="str">
            <v>Down</v>
          </cell>
          <cell r="F14">
            <v>0.15</v>
          </cell>
          <cell r="G14">
            <v>0.15</v>
          </cell>
          <cell r="H14">
            <v>0.19</v>
          </cell>
          <cell r="I14">
            <v>0.22680412371134021</v>
          </cell>
        </row>
        <row r="15">
          <cell r="A15" t="str">
            <v>c. No revision</v>
          </cell>
          <cell r="B15">
            <v>61</v>
          </cell>
        </row>
        <row r="16">
          <cell r="A16" t="str">
            <v>Grand Total</v>
          </cell>
          <cell r="B16">
            <v>97</v>
          </cell>
          <cell r="F16">
            <v>1</v>
          </cell>
          <cell r="G16">
            <v>1.0666666666666667</v>
          </cell>
          <cell r="H16">
            <v>0.94736842105263153</v>
          </cell>
          <cell r="I16">
            <v>0.63636363636363635</v>
          </cell>
        </row>
        <row r="18">
          <cell r="A18" t="str">
            <v>US / EU</v>
          </cell>
          <cell r="B18" t="str">
            <v>US</v>
          </cell>
        </row>
        <row r="19">
          <cell r="A19" t="str">
            <v>Industry</v>
          </cell>
          <cell r="B19" t="str">
            <v>(All)</v>
          </cell>
        </row>
        <row r="20">
          <cell r="A20" t="str">
            <v>Revenue</v>
          </cell>
          <cell r="B20" t="str">
            <v>(All)</v>
          </cell>
        </row>
        <row r="22">
          <cell r="A22" t="str">
            <v>Count of 7 Magnatude of revisions</v>
          </cell>
        </row>
        <row r="23">
          <cell r="A23" t="str">
            <v>7 Magnatude of revisions</v>
          </cell>
          <cell r="B23" t="str">
            <v>Total</v>
          </cell>
        </row>
        <row r="24">
          <cell r="A24" t="str">
            <v>(blank)</v>
          </cell>
        </row>
        <row r="25">
          <cell r="A25" t="str">
            <v>Up 5-10%</v>
          </cell>
          <cell r="B25">
            <v>4</v>
          </cell>
        </row>
        <row r="26">
          <cell r="A26" t="str">
            <v>Up 1-5%</v>
          </cell>
          <cell r="B26">
            <v>10</v>
          </cell>
        </row>
        <row r="27">
          <cell r="A27" t="str">
            <v>Down 1-5%</v>
          </cell>
          <cell r="B27">
            <v>13</v>
          </cell>
        </row>
        <row r="28">
          <cell r="A28" t="str">
            <v>Down 5-10%</v>
          </cell>
          <cell r="B28">
            <v>8</v>
          </cell>
        </row>
        <row r="29">
          <cell r="A29" t="str">
            <v>Down &gt;10%</v>
          </cell>
          <cell r="B29">
            <v>1</v>
          </cell>
        </row>
        <row r="30">
          <cell r="A30" t="str">
            <v>Grand Total</v>
          </cell>
          <cell r="B30">
            <v>36</v>
          </cell>
        </row>
        <row r="44">
          <cell r="E44">
            <v>7.4999999999999997E-2</v>
          </cell>
          <cell r="F44">
            <v>4</v>
          </cell>
          <cell r="I44" t="str">
            <v>US</v>
          </cell>
          <cell r="J44" t="str">
            <v>Jan 11 Survey</v>
          </cell>
          <cell r="K44" t="str">
            <v>Apr 11 Survey</v>
          </cell>
          <cell r="L44" t="str">
            <v>Jul 11 Survey</v>
          </cell>
          <cell r="M44" t="str">
            <v>Oct 11 Survey</v>
          </cell>
        </row>
        <row r="45">
          <cell r="E45">
            <v>2.5000000000000001E-2</v>
          </cell>
          <cell r="F45">
            <v>10</v>
          </cell>
          <cell r="J45">
            <v>2010</v>
          </cell>
          <cell r="K45">
            <v>2011</v>
          </cell>
          <cell r="L45">
            <v>2011</v>
          </cell>
          <cell r="M45">
            <v>2011</v>
          </cell>
        </row>
        <row r="46">
          <cell r="E46">
            <v>-2.5000000000000001E-2</v>
          </cell>
          <cell r="F46">
            <v>13</v>
          </cell>
          <cell r="I46" t="str">
            <v>Up</v>
          </cell>
          <cell r="J46">
            <v>3.9E-2</v>
          </cell>
          <cell r="K46">
            <v>4.9687500000000002E-2</v>
          </cell>
          <cell r="L46">
            <v>4.7500000000000001E-2</v>
          </cell>
          <cell r="M46">
            <v>3.9285714285714292E-2</v>
          </cell>
        </row>
        <row r="47">
          <cell r="E47">
            <v>-7.4999999999999997E-2</v>
          </cell>
          <cell r="F47">
            <v>8</v>
          </cell>
          <cell r="I47" t="str">
            <v>Down</v>
          </cell>
          <cell r="J47">
            <v>-4.4999999999999998E-2</v>
          </cell>
          <cell r="K47">
            <v>-5.3999999999999999E-2</v>
          </cell>
          <cell r="L47">
            <v>-4.6578947368421053E-2</v>
          </cell>
          <cell r="M47">
            <v>-4.7727272727272729E-2</v>
          </cell>
        </row>
        <row r="48">
          <cell r="E48">
            <v>-0.125</v>
          </cell>
          <cell r="F48">
            <v>1</v>
          </cell>
        </row>
      </sheetData>
      <sheetData sheetId="7"/>
      <sheetData sheetId="8">
        <row r="1">
          <cell r="A1" t="str">
            <v>Morgan Stanley CIO Survey - November 2011</v>
          </cell>
        </row>
        <row r="3">
          <cell r="A3" t="str">
            <v>9.  How do you perceive technology vendors willingness to discount in the past three months</v>
          </cell>
        </row>
        <row r="4">
          <cell r="A4" t="str">
            <v xml:space="preserve"> versus prior three months (i.e. in Q3 versus Q2)?</v>
          </cell>
        </row>
        <row r="6">
          <cell r="A6" t="str">
            <v>US / EU</v>
          </cell>
          <cell r="B6" t="str">
            <v>US</v>
          </cell>
        </row>
        <row r="7">
          <cell r="A7" t="str">
            <v>Industry</v>
          </cell>
          <cell r="B7" t="str">
            <v>(All)</v>
          </cell>
        </row>
        <row r="8">
          <cell r="A8" t="str">
            <v>Revenue</v>
          </cell>
          <cell r="B8" t="str">
            <v>(All)</v>
          </cell>
        </row>
        <row r="9">
          <cell r="E9" t="str">
            <v>US</v>
          </cell>
          <cell r="F9" t="str">
            <v>Jan 11 Survey</v>
          </cell>
          <cell r="G9" t="str">
            <v>Apr 11 Survey</v>
          </cell>
          <cell r="H9" t="str">
            <v>Jul 11 Survey</v>
          </cell>
          <cell r="I9" t="str">
            <v>Oct 11 Survey</v>
          </cell>
        </row>
        <row r="10">
          <cell r="A10" t="str">
            <v>Count of 9 Vendors willingness to discount</v>
          </cell>
          <cell r="F10">
            <v>2010</v>
          </cell>
          <cell r="G10">
            <v>2011</v>
          </cell>
          <cell r="H10">
            <v>2011</v>
          </cell>
          <cell r="I10">
            <v>2011</v>
          </cell>
        </row>
        <row r="11">
          <cell r="A11" t="str">
            <v>9 Vendors willingness to discount</v>
          </cell>
          <cell r="B11" t="str">
            <v>Total</v>
          </cell>
          <cell r="E11" t="str">
            <v>Significantly more aggressive</v>
          </cell>
          <cell r="F11">
            <v>0.05</v>
          </cell>
          <cell r="G11">
            <v>0.03</v>
          </cell>
          <cell r="H11">
            <v>0.05</v>
          </cell>
          <cell r="I11">
            <v>2.0618556701030927E-2</v>
          </cell>
        </row>
        <row r="12">
          <cell r="A12" t="str">
            <v>significantly more aggressive in discounting</v>
          </cell>
          <cell r="B12">
            <v>2</v>
          </cell>
          <cell r="E12" t="str">
            <v>Somewhat more aggressive</v>
          </cell>
          <cell r="F12">
            <v>0.41</v>
          </cell>
          <cell r="G12">
            <v>0.39</v>
          </cell>
          <cell r="H12">
            <v>0.4</v>
          </cell>
          <cell r="I12">
            <v>0.39175257731958762</v>
          </cell>
        </row>
        <row r="13">
          <cell r="A13" t="str">
            <v>somewhat more aggressive in discounting</v>
          </cell>
          <cell r="B13">
            <v>38</v>
          </cell>
          <cell r="E13" t="str">
            <v>No change in level of discounting</v>
          </cell>
          <cell r="F13">
            <v>0.49</v>
          </cell>
          <cell r="G13">
            <v>0.5</v>
          </cell>
          <cell r="H13">
            <v>0.49</v>
          </cell>
          <cell r="I13">
            <v>0.50515463917525771</v>
          </cell>
        </row>
        <row r="14">
          <cell r="A14" t="str">
            <v>no change in level of discounting</v>
          </cell>
          <cell r="B14">
            <v>49</v>
          </cell>
          <cell r="E14" t="str">
            <v>Somewhat less aggressive</v>
          </cell>
          <cell r="F14">
            <v>0.05</v>
          </cell>
          <cell r="G14">
            <v>0.08</v>
          </cell>
          <cell r="H14">
            <v>0.06</v>
          </cell>
          <cell r="I14">
            <v>7.2164948453608241E-2</v>
          </cell>
        </row>
        <row r="15">
          <cell r="A15" t="str">
            <v>somewhat less aggressive in discounting</v>
          </cell>
          <cell r="B15">
            <v>7</v>
          </cell>
          <cell r="E15" t="str">
            <v>Significantly less aggressive</v>
          </cell>
          <cell r="F15">
            <v>0</v>
          </cell>
          <cell r="G15">
            <v>0</v>
          </cell>
          <cell r="H15">
            <v>0</v>
          </cell>
          <cell r="I15">
            <v>1.0309278350515464E-2</v>
          </cell>
        </row>
        <row r="16">
          <cell r="A16" t="str">
            <v>significantly less aggressive in discounting</v>
          </cell>
          <cell r="B16">
            <v>1</v>
          </cell>
        </row>
        <row r="17">
          <cell r="A17" t="str">
            <v>Grand Total</v>
          </cell>
          <cell r="B17">
            <v>97</v>
          </cell>
        </row>
      </sheetData>
      <sheetData sheetId="9">
        <row r="1">
          <cell r="A1" t="str">
            <v>Morgan Stanley CIO Survey - November 2011</v>
          </cell>
        </row>
        <row r="3">
          <cell r="A3" t="str">
            <v>10.  During the past 3 months, has your organization taken a longer or shorter time on average to</v>
          </cell>
        </row>
        <row r="4">
          <cell r="A4" t="str">
            <v xml:space="preserve"> make large purchasing decisions compared to the prior 3 months (i.e. Q3 versus Q2)?</v>
          </cell>
        </row>
        <row r="6">
          <cell r="A6" t="str">
            <v>US / EU</v>
          </cell>
          <cell r="B6" t="str">
            <v>US</v>
          </cell>
        </row>
        <row r="7">
          <cell r="A7" t="str">
            <v>Industry</v>
          </cell>
          <cell r="B7" t="str">
            <v>(All)</v>
          </cell>
        </row>
        <row r="8">
          <cell r="A8" t="str">
            <v>Revenue</v>
          </cell>
          <cell r="B8" t="str">
            <v>(All)</v>
          </cell>
        </row>
        <row r="10">
          <cell r="A10" t="str">
            <v>Count of 10 Time to make purchasing decisions</v>
          </cell>
          <cell r="E10" t="str">
            <v>US</v>
          </cell>
          <cell r="F10" t="str">
            <v>Jan 11 Survey</v>
          </cell>
          <cell r="G10" t="str">
            <v>Apr 11 Survey</v>
          </cell>
          <cell r="H10" t="str">
            <v>Jul 11 Survey</v>
          </cell>
          <cell r="I10" t="str">
            <v>Oct 11 Survey</v>
          </cell>
        </row>
        <row r="11">
          <cell r="A11" t="str">
            <v>10 Time to make purchasing decisions</v>
          </cell>
          <cell r="B11" t="str">
            <v>Total</v>
          </cell>
          <cell r="E11" t="str">
            <v>Taken significantly longer</v>
          </cell>
          <cell r="F11">
            <v>0.11</v>
          </cell>
          <cell r="G11">
            <v>0.05</v>
          </cell>
          <cell r="H11">
            <v>0.02</v>
          </cell>
          <cell r="I11">
            <v>6.1855670103092786E-2</v>
          </cell>
        </row>
        <row r="12">
          <cell r="A12" t="str">
            <v>taken significantly longer on average to make purchasing decisions</v>
          </cell>
          <cell r="B12">
            <v>6</v>
          </cell>
          <cell r="E12" t="str">
            <v>Taken somewhat longer</v>
          </cell>
          <cell r="F12">
            <v>0.28999999999999998</v>
          </cell>
          <cell r="G12">
            <v>0.36</v>
          </cell>
          <cell r="H12">
            <v>0.31</v>
          </cell>
          <cell r="I12">
            <v>0.31958762886597936</v>
          </cell>
        </row>
        <row r="13">
          <cell r="A13" t="str">
            <v>taken somewhat longer on average to make purchasing decisions</v>
          </cell>
          <cell r="B13">
            <v>31</v>
          </cell>
          <cell r="E13" t="str">
            <v>No change</v>
          </cell>
          <cell r="F13">
            <v>0.49</v>
          </cell>
          <cell r="G13">
            <v>0.48</v>
          </cell>
          <cell r="H13">
            <v>0.57999999999999996</v>
          </cell>
          <cell r="I13">
            <v>0.4845360824742268</v>
          </cell>
        </row>
        <row r="14">
          <cell r="A14" t="str">
            <v>no change in speed of making purchasing decisions</v>
          </cell>
          <cell r="B14">
            <v>47</v>
          </cell>
          <cell r="E14" t="str">
            <v>Somewhat quicker</v>
          </cell>
          <cell r="F14">
            <v>0.11</v>
          </cell>
          <cell r="G14">
            <v>0.11</v>
          </cell>
          <cell r="H14">
            <v>0.09</v>
          </cell>
          <cell r="I14">
            <v>0.13402061855670103</v>
          </cell>
        </row>
        <row r="15">
          <cell r="A15" t="str">
            <v>somewhat quicker on average to make purchasing decisions</v>
          </cell>
          <cell r="B15">
            <v>13</v>
          </cell>
        </row>
        <row r="16">
          <cell r="A16" t="str">
            <v>Grand Total</v>
          </cell>
          <cell r="B16">
            <v>97</v>
          </cell>
        </row>
      </sheetData>
      <sheetData sheetId="10"/>
      <sheetData sheetId="11">
        <row r="1">
          <cell r="A1" t="str">
            <v>Morgan Stanley CIO Survey - November 2011</v>
          </cell>
        </row>
        <row r="3">
          <cell r="A3" t="str">
            <v>5.  Which three External IT Spending projects will see the largest percentage</v>
          </cell>
        </row>
        <row r="4">
          <cell r="A4" t="str">
            <v xml:space="preserve"> increase in spending in 2011?</v>
          </cell>
        </row>
        <row r="6">
          <cell r="A6" t="str">
            <v>US+EU</v>
          </cell>
          <cell r="B6" t="str">
            <v>Largest incremental increase</v>
          </cell>
          <cell r="C6" t="str">
            <v>Largest incremental decrease</v>
          </cell>
          <cell r="F6" t="str">
            <v>Largest incremental increase</v>
          </cell>
          <cell r="G6" t="str">
            <v>Largest incremental decrease</v>
          </cell>
          <cell r="H6" t="str">
            <v>Delta</v>
          </cell>
          <cell r="I6" t="str">
            <v>Up vs. Down Ratio</v>
          </cell>
          <cell r="AF6" t="str">
            <v>Up vs. Down Ratio</v>
          </cell>
        </row>
        <row r="7">
          <cell r="A7" t="str">
            <v>Infrastructure Software</v>
          </cell>
          <cell r="B7">
            <v>0.49</v>
          </cell>
          <cell r="C7">
            <v>0.26</v>
          </cell>
          <cell r="E7" t="str">
            <v>Applications Software</v>
          </cell>
          <cell r="F7">
            <v>0.84</v>
          </cell>
          <cell r="G7">
            <v>0.21</v>
          </cell>
          <cell r="H7">
            <v>0.63</v>
          </cell>
          <cell r="I7">
            <v>4</v>
          </cell>
          <cell r="AE7" t="str">
            <v>VPN &amp; Remote Access</v>
          </cell>
          <cell r="AF7">
            <v>12</v>
          </cell>
        </row>
        <row r="8">
          <cell r="A8" t="str">
            <v>Applications Software</v>
          </cell>
          <cell r="B8">
            <v>0.84</v>
          </cell>
          <cell r="C8">
            <v>0.21</v>
          </cell>
          <cell r="E8" t="str">
            <v>Systems Mgmt Software</v>
          </cell>
          <cell r="F8">
            <v>0.28000000000000003</v>
          </cell>
          <cell r="G8">
            <v>0.03</v>
          </cell>
          <cell r="H8">
            <v>0.25</v>
          </cell>
          <cell r="I8">
            <v>9.3333333333333339</v>
          </cell>
          <cell r="AE8" t="str">
            <v>Systems Mgmt Software</v>
          </cell>
          <cell r="AF8">
            <v>9.3333333333333339</v>
          </cell>
        </row>
        <row r="9">
          <cell r="A9" t="str">
            <v>BI/Analytics Software</v>
          </cell>
          <cell r="B9">
            <v>0.12</v>
          </cell>
          <cell r="C9">
            <v>0.03</v>
          </cell>
          <cell r="E9" t="str">
            <v>Infrastructure Software</v>
          </cell>
          <cell r="F9">
            <v>0.49</v>
          </cell>
          <cell r="G9">
            <v>0.26</v>
          </cell>
          <cell r="H9">
            <v>0.22999999999999998</v>
          </cell>
          <cell r="I9">
            <v>1.8846153846153846</v>
          </cell>
          <cell r="AE9" t="str">
            <v>Applications Software</v>
          </cell>
          <cell r="AF9">
            <v>4</v>
          </cell>
        </row>
        <row r="10">
          <cell r="A10" t="str">
            <v>Systems Mgmt Software</v>
          </cell>
          <cell r="B10">
            <v>0.28000000000000003</v>
          </cell>
          <cell r="C10">
            <v>0.03</v>
          </cell>
          <cell r="E10" t="str">
            <v>VPN &amp; Remote Access</v>
          </cell>
          <cell r="F10">
            <v>0.12</v>
          </cell>
          <cell r="G10">
            <v>0.01</v>
          </cell>
          <cell r="H10">
            <v>0.11</v>
          </cell>
          <cell r="I10">
            <v>12</v>
          </cell>
          <cell r="AE10" t="str">
            <v>BI/Analytics Software</v>
          </cell>
          <cell r="AF10">
            <v>4</v>
          </cell>
        </row>
        <row r="11">
          <cell r="A11" t="str">
            <v>General Software</v>
          </cell>
          <cell r="B11">
            <v>0</v>
          </cell>
          <cell r="C11">
            <v>0</v>
          </cell>
          <cell r="E11" t="str">
            <v>BI/Analytics Software</v>
          </cell>
          <cell r="F11">
            <v>0.12</v>
          </cell>
          <cell r="G11">
            <v>0.03</v>
          </cell>
          <cell r="H11">
            <v>0.09</v>
          </cell>
          <cell r="I11">
            <v>4</v>
          </cell>
          <cell r="AE11" t="str">
            <v>Handheld Devices</v>
          </cell>
          <cell r="AF11">
            <v>2.6</v>
          </cell>
        </row>
        <row r="12">
          <cell r="A12" t="str">
            <v>Desktops/ Laptops</v>
          </cell>
          <cell r="B12">
            <v>0.18</v>
          </cell>
          <cell r="C12">
            <v>0.16</v>
          </cell>
          <cell r="E12" t="str">
            <v>Handheld Devices</v>
          </cell>
          <cell r="F12">
            <v>0.13</v>
          </cell>
          <cell r="G12">
            <v>0.05</v>
          </cell>
          <cell r="H12">
            <v>0.08</v>
          </cell>
          <cell r="I12">
            <v>2.6</v>
          </cell>
          <cell r="AE12" t="str">
            <v>Storage</v>
          </cell>
          <cell r="AF12">
            <v>2.5</v>
          </cell>
        </row>
        <row r="13">
          <cell r="A13" t="str">
            <v>Broad Hardware</v>
          </cell>
          <cell r="B13">
            <v>0</v>
          </cell>
          <cell r="C13">
            <v>0.09</v>
          </cell>
          <cell r="E13" t="str">
            <v>Mobile Applications</v>
          </cell>
          <cell r="F13">
            <v>7.0000000000000007E-2</v>
          </cell>
          <cell r="G13">
            <v>0</v>
          </cell>
          <cell r="H13">
            <v>7.0000000000000007E-2</v>
          </cell>
          <cell r="I13" t="str">
            <v>NM</v>
          </cell>
          <cell r="AE13" t="str">
            <v>VoIP</v>
          </cell>
          <cell r="AF13">
            <v>2</v>
          </cell>
        </row>
        <row r="14">
          <cell r="A14" t="str">
            <v>Servers / Mainframe</v>
          </cell>
          <cell r="B14">
            <v>0.03</v>
          </cell>
          <cell r="C14">
            <v>0.16</v>
          </cell>
          <cell r="E14" t="str">
            <v>Switching</v>
          </cell>
          <cell r="F14">
            <v>0.16</v>
          </cell>
          <cell r="G14">
            <v>0.09</v>
          </cell>
          <cell r="H14">
            <v>7.0000000000000007E-2</v>
          </cell>
          <cell r="I14">
            <v>1.7777777777777779</v>
          </cell>
          <cell r="AE14" t="str">
            <v>Infrastructure Software</v>
          </cell>
          <cell r="AF14">
            <v>1.8846153846153846</v>
          </cell>
        </row>
        <row r="15">
          <cell r="A15" t="str">
            <v>Data Center</v>
          </cell>
          <cell r="B15">
            <v>0</v>
          </cell>
          <cell r="C15">
            <v>0</v>
          </cell>
          <cell r="E15" t="str">
            <v>Storage</v>
          </cell>
          <cell r="F15">
            <v>0.1</v>
          </cell>
          <cell r="G15">
            <v>0.04</v>
          </cell>
          <cell r="H15">
            <v>6.0000000000000005E-2</v>
          </cell>
          <cell r="I15">
            <v>2.5</v>
          </cell>
          <cell r="AE15" t="str">
            <v>Switching</v>
          </cell>
          <cell r="AF15">
            <v>1.7777777777777779</v>
          </cell>
        </row>
        <row r="16">
          <cell r="A16" t="str">
            <v>Storage</v>
          </cell>
          <cell r="B16">
            <v>0.1</v>
          </cell>
          <cell r="C16">
            <v>0.04</v>
          </cell>
          <cell r="E16" t="str">
            <v>VoIP</v>
          </cell>
          <cell r="F16">
            <v>0.06</v>
          </cell>
          <cell r="G16">
            <v>0.03</v>
          </cell>
          <cell r="H16">
            <v>0.03</v>
          </cell>
          <cell r="I16">
            <v>2</v>
          </cell>
          <cell r="AE16" t="str">
            <v>IT Outsourcing</v>
          </cell>
          <cell r="AF16">
            <v>1.2</v>
          </cell>
        </row>
        <row r="17">
          <cell r="A17" t="str">
            <v>Switching</v>
          </cell>
          <cell r="B17">
            <v>0.16</v>
          </cell>
          <cell r="C17">
            <v>0.09</v>
          </cell>
          <cell r="E17" t="str">
            <v>Desktops/ Laptops</v>
          </cell>
          <cell r="F17">
            <v>0.18</v>
          </cell>
          <cell r="G17">
            <v>0.16</v>
          </cell>
          <cell r="H17">
            <v>1.999999999999999E-2</v>
          </cell>
          <cell r="I17">
            <v>1.125</v>
          </cell>
          <cell r="AE17" t="str">
            <v>Desktops/ Laptops</v>
          </cell>
          <cell r="AF17">
            <v>1.125</v>
          </cell>
        </row>
        <row r="18">
          <cell r="A18" t="str">
            <v>WLAN</v>
          </cell>
          <cell r="B18">
            <v>0</v>
          </cell>
          <cell r="C18">
            <v>0.02</v>
          </cell>
          <cell r="E18" t="str">
            <v>Video</v>
          </cell>
          <cell r="F18">
            <v>0.01</v>
          </cell>
          <cell r="G18">
            <v>0</v>
          </cell>
          <cell r="H18">
            <v>0.01</v>
          </cell>
          <cell r="I18" t="str">
            <v>NM</v>
          </cell>
          <cell r="AE18" t="str">
            <v>PBX</v>
          </cell>
          <cell r="AF18">
            <v>0.2857142857142857</v>
          </cell>
        </row>
        <row r="19">
          <cell r="A19" t="str">
            <v>PBX</v>
          </cell>
          <cell r="B19">
            <v>0.02</v>
          </cell>
          <cell r="C19">
            <v>7.0000000000000007E-2</v>
          </cell>
          <cell r="E19" t="str">
            <v>IT Outsourcing</v>
          </cell>
          <cell r="F19">
            <v>0.06</v>
          </cell>
          <cell r="G19">
            <v>0.05</v>
          </cell>
          <cell r="H19">
            <v>9.999999999999995E-3</v>
          </cell>
          <cell r="I19">
            <v>1.2</v>
          </cell>
          <cell r="AE19" t="str">
            <v>Consulting</v>
          </cell>
          <cell r="AF19">
            <v>0.2857142857142857</v>
          </cell>
        </row>
        <row r="20">
          <cell r="A20" t="str">
            <v>Video</v>
          </cell>
          <cell r="B20">
            <v>0.01</v>
          </cell>
          <cell r="C20">
            <v>0</v>
          </cell>
          <cell r="E20" t="str">
            <v>WLAN</v>
          </cell>
          <cell r="F20">
            <v>0</v>
          </cell>
          <cell r="G20">
            <v>0.02</v>
          </cell>
          <cell r="H20">
            <v>-0.02</v>
          </cell>
          <cell r="I20">
            <v>0</v>
          </cell>
          <cell r="AE20" t="str">
            <v>Servers / Mainframe</v>
          </cell>
          <cell r="AF20">
            <v>0.1875</v>
          </cell>
        </row>
        <row r="21">
          <cell r="A21" t="str">
            <v>VoIP</v>
          </cell>
          <cell r="B21">
            <v>0.06</v>
          </cell>
          <cell r="C21">
            <v>0.03</v>
          </cell>
          <cell r="E21" t="str">
            <v>PBX</v>
          </cell>
          <cell r="F21">
            <v>0.02</v>
          </cell>
          <cell r="G21">
            <v>7.0000000000000007E-2</v>
          </cell>
          <cell r="H21">
            <v>-0.05</v>
          </cell>
          <cell r="I21">
            <v>0.2857142857142857</v>
          </cell>
          <cell r="AE21" t="str">
            <v>WLAN</v>
          </cell>
          <cell r="AF21">
            <v>0</v>
          </cell>
        </row>
        <row r="22">
          <cell r="A22" t="str">
            <v>VPN &amp; Remote Access</v>
          </cell>
          <cell r="B22">
            <v>0.12</v>
          </cell>
          <cell r="C22">
            <v>0.01</v>
          </cell>
          <cell r="E22" t="str">
            <v>Consulting</v>
          </cell>
          <cell r="F22">
            <v>0.02</v>
          </cell>
          <cell r="G22">
            <v>7.0000000000000007E-2</v>
          </cell>
          <cell r="H22">
            <v>-0.05</v>
          </cell>
          <cell r="I22">
            <v>0.2857142857142857</v>
          </cell>
          <cell r="AE22" t="str">
            <v>Broad Hardware</v>
          </cell>
          <cell r="AF22">
            <v>0</v>
          </cell>
        </row>
        <row r="23">
          <cell r="A23" t="str">
            <v>Handheld Devices</v>
          </cell>
          <cell r="B23">
            <v>0.13</v>
          </cell>
          <cell r="C23">
            <v>0.05</v>
          </cell>
          <cell r="E23" t="str">
            <v>Broad Hardware</v>
          </cell>
          <cell r="F23">
            <v>0</v>
          </cell>
          <cell r="G23">
            <v>0.09</v>
          </cell>
          <cell r="H23">
            <v>-0.09</v>
          </cell>
          <cell r="I23">
            <v>0</v>
          </cell>
        </row>
        <row r="24">
          <cell r="A24" t="str">
            <v>Mobile Applications</v>
          </cell>
          <cell r="B24">
            <v>7.0000000000000007E-2</v>
          </cell>
          <cell r="C24">
            <v>0</v>
          </cell>
          <cell r="E24" t="str">
            <v>Servers / Mainframe</v>
          </cell>
          <cell r="F24">
            <v>0.03</v>
          </cell>
          <cell r="G24">
            <v>0.16</v>
          </cell>
          <cell r="H24">
            <v>-0.13</v>
          </cell>
          <cell r="I24">
            <v>0.1875</v>
          </cell>
        </row>
        <row r="25">
          <cell r="A25" t="str">
            <v>Consulting</v>
          </cell>
          <cell r="B25">
            <v>0.02</v>
          </cell>
          <cell r="C25">
            <v>7.0000000000000007E-2</v>
          </cell>
        </row>
        <row r="26">
          <cell r="A26" t="str">
            <v>Application outsourcing</v>
          </cell>
          <cell r="B26">
            <v>0</v>
          </cell>
          <cell r="C26">
            <v>0</v>
          </cell>
        </row>
        <row r="27">
          <cell r="A27" t="str">
            <v>IT Outsourcing</v>
          </cell>
          <cell r="B27">
            <v>0.06</v>
          </cell>
          <cell r="C27">
            <v>0.05</v>
          </cell>
        </row>
        <row r="28">
          <cell r="A28" t="str">
            <v>Offshore</v>
          </cell>
          <cell r="B28">
            <v>0</v>
          </cell>
          <cell r="C28">
            <v>0</v>
          </cell>
        </row>
        <row r="29">
          <cell r="A29" t="str">
            <v>BPO</v>
          </cell>
          <cell r="B29">
            <v>0.02</v>
          </cell>
          <cell r="C29">
            <v>0</v>
          </cell>
        </row>
        <row r="30">
          <cell r="A30" t="str">
            <v>Training</v>
          </cell>
          <cell r="B30">
            <v>0</v>
          </cell>
          <cell r="C30">
            <v>0.02</v>
          </cell>
        </row>
        <row r="32">
          <cell r="A32" t="str">
            <v>Software only</v>
          </cell>
          <cell r="B32" t="str">
            <v>Largest incremental increase</v>
          </cell>
          <cell r="C32" t="str">
            <v>Largest incremental decrease</v>
          </cell>
          <cell r="E32" t="str">
            <v>Software only</v>
          </cell>
          <cell r="F32" t="str">
            <v>Largest incremental increase</v>
          </cell>
          <cell r="G32" t="str">
            <v>Largest incremental decrease</v>
          </cell>
          <cell r="H32" t="str">
            <v>Delta</v>
          </cell>
        </row>
        <row r="33">
          <cell r="A33" t="str">
            <v>App Development</v>
          </cell>
          <cell r="B33">
            <v>0.01</v>
          </cell>
          <cell r="C33">
            <v>0.06</v>
          </cell>
          <cell r="E33" t="str">
            <v>ERP</v>
          </cell>
          <cell r="F33">
            <v>0.37</v>
          </cell>
          <cell r="G33">
            <v>0.11</v>
          </cell>
          <cell r="H33">
            <v>0.26</v>
          </cell>
        </row>
        <row r="34">
          <cell r="A34" t="str">
            <v>Cloud Applications</v>
          </cell>
          <cell r="B34">
            <v>0.13</v>
          </cell>
          <cell r="C34">
            <v>0.02</v>
          </cell>
          <cell r="E34" t="str">
            <v>Security</v>
          </cell>
          <cell r="F34">
            <v>0.23</v>
          </cell>
          <cell r="G34">
            <v>0.03</v>
          </cell>
          <cell r="H34">
            <v>0.2</v>
          </cell>
        </row>
        <row r="35">
          <cell r="A35" t="str">
            <v>Cloud Computing</v>
          </cell>
          <cell r="B35">
            <v>0.09</v>
          </cell>
          <cell r="C35">
            <v>0</v>
          </cell>
          <cell r="E35" t="str">
            <v>Database</v>
          </cell>
          <cell r="F35">
            <v>0.16</v>
          </cell>
          <cell r="G35">
            <v>0.03</v>
          </cell>
          <cell r="H35">
            <v>0.13</v>
          </cell>
        </row>
        <row r="36">
          <cell r="A36" t="str">
            <v>Operating System</v>
          </cell>
          <cell r="B36">
            <v>7.0000000000000007E-2</v>
          </cell>
          <cell r="C36">
            <v>0.08</v>
          </cell>
          <cell r="E36" t="str">
            <v>Cloud Applications</v>
          </cell>
          <cell r="F36">
            <v>0.13</v>
          </cell>
          <cell r="G36">
            <v>0.02</v>
          </cell>
          <cell r="H36">
            <v>0.11</v>
          </cell>
        </row>
        <row r="37">
          <cell r="A37" t="str">
            <v>Portal</v>
          </cell>
          <cell r="B37">
            <v>0.03</v>
          </cell>
          <cell r="C37">
            <v>0.01</v>
          </cell>
          <cell r="E37" t="str">
            <v>BI/Analytics</v>
          </cell>
          <cell r="F37">
            <v>0.12</v>
          </cell>
          <cell r="G37">
            <v>0.03</v>
          </cell>
          <cell r="H37">
            <v>0.09</v>
          </cell>
        </row>
        <row r="38">
          <cell r="A38" t="str">
            <v>Virtualization</v>
          </cell>
          <cell r="B38">
            <v>0.16</v>
          </cell>
          <cell r="C38">
            <v>0.08</v>
          </cell>
          <cell r="E38" t="str">
            <v>Cloud Computing</v>
          </cell>
          <cell r="F38">
            <v>0.09</v>
          </cell>
          <cell r="G38">
            <v>0</v>
          </cell>
          <cell r="H38">
            <v>0.09</v>
          </cell>
        </row>
        <row r="39">
          <cell r="A39" t="str">
            <v>Integration</v>
          </cell>
          <cell r="B39">
            <v>0.02</v>
          </cell>
          <cell r="C39">
            <v>0</v>
          </cell>
          <cell r="E39" t="str">
            <v>Virtualization</v>
          </cell>
          <cell r="F39">
            <v>0.16</v>
          </cell>
          <cell r="G39">
            <v>0.08</v>
          </cell>
          <cell r="H39">
            <v>0.08</v>
          </cell>
        </row>
        <row r="40">
          <cell r="A40" t="str">
            <v>Database</v>
          </cell>
          <cell r="B40">
            <v>0.16</v>
          </cell>
          <cell r="C40">
            <v>0.03</v>
          </cell>
          <cell r="E40" t="str">
            <v>Backup and Recovery</v>
          </cell>
          <cell r="F40">
            <v>0.05</v>
          </cell>
          <cell r="G40">
            <v>0</v>
          </cell>
          <cell r="H40">
            <v>0.05</v>
          </cell>
        </row>
        <row r="41">
          <cell r="A41" t="str">
            <v>ERP</v>
          </cell>
          <cell r="B41">
            <v>0.37</v>
          </cell>
          <cell r="C41">
            <v>0.11</v>
          </cell>
          <cell r="E41" t="str">
            <v>HR</v>
          </cell>
          <cell r="F41">
            <v>0.05</v>
          </cell>
          <cell r="G41">
            <v>0.01</v>
          </cell>
          <cell r="H41">
            <v>0.04</v>
          </cell>
        </row>
        <row r="42">
          <cell r="A42" t="str">
            <v>HR</v>
          </cell>
          <cell r="B42">
            <v>0.05</v>
          </cell>
          <cell r="C42">
            <v>0.01</v>
          </cell>
          <cell r="E42" t="str">
            <v>Integration</v>
          </cell>
          <cell r="F42">
            <v>0.02</v>
          </cell>
          <cell r="G42">
            <v>0</v>
          </cell>
          <cell r="H42">
            <v>0.02</v>
          </cell>
        </row>
        <row r="43">
          <cell r="A43" t="str">
            <v>CRM</v>
          </cell>
          <cell r="B43">
            <v>0.01</v>
          </cell>
          <cell r="C43">
            <v>0.01</v>
          </cell>
          <cell r="E43" t="str">
            <v>Portal</v>
          </cell>
          <cell r="F43">
            <v>0.03</v>
          </cell>
          <cell r="G43">
            <v>0.01</v>
          </cell>
          <cell r="H43">
            <v>1.9999999999999997E-2</v>
          </cell>
        </row>
        <row r="44">
          <cell r="A44" t="str">
            <v>SCM</v>
          </cell>
          <cell r="B44">
            <v>0.01</v>
          </cell>
          <cell r="C44">
            <v>0</v>
          </cell>
          <cell r="E44" t="str">
            <v>SCM</v>
          </cell>
          <cell r="F44">
            <v>0.01</v>
          </cell>
          <cell r="G44">
            <v>0</v>
          </cell>
          <cell r="H44">
            <v>0.01</v>
          </cell>
        </row>
        <row r="45">
          <cell r="A45" t="str">
            <v>Compliance</v>
          </cell>
          <cell r="B45">
            <v>0</v>
          </cell>
          <cell r="C45">
            <v>0</v>
          </cell>
          <cell r="E45" t="str">
            <v>CRM</v>
          </cell>
          <cell r="F45">
            <v>0.01</v>
          </cell>
          <cell r="G45">
            <v>0.01</v>
          </cell>
          <cell r="H45">
            <v>0</v>
          </cell>
        </row>
        <row r="46">
          <cell r="A46" t="str">
            <v>BI/Analytics</v>
          </cell>
          <cell r="B46">
            <v>0.12</v>
          </cell>
          <cell r="C46">
            <v>0.03</v>
          </cell>
          <cell r="E46" t="str">
            <v>Operating System</v>
          </cell>
          <cell r="F46">
            <v>7.0000000000000007E-2</v>
          </cell>
          <cell r="G46">
            <v>0.08</v>
          </cell>
          <cell r="H46">
            <v>-9.999999999999995E-3</v>
          </cell>
        </row>
        <row r="47">
          <cell r="A47" t="str">
            <v>Security</v>
          </cell>
          <cell r="B47">
            <v>0.23</v>
          </cell>
          <cell r="C47">
            <v>0.03</v>
          </cell>
          <cell r="E47" t="str">
            <v>App Development</v>
          </cell>
          <cell r="F47">
            <v>0.01</v>
          </cell>
          <cell r="G47">
            <v>0.06</v>
          </cell>
          <cell r="H47">
            <v>-4.9999999999999996E-2</v>
          </cell>
        </row>
        <row r="48">
          <cell r="A48" t="str">
            <v>Backup and Recovery</v>
          </cell>
          <cell r="B48">
            <v>0.05</v>
          </cell>
          <cell r="C48">
            <v>0</v>
          </cell>
        </row>
        <row r="50">
          <cell r="B50">
            <v>2</v>
          </cell>
          <cell r="C50">
            <v>3</v>
          </cell>
          <cell r="D50">
            <v>4</v>
          </cell>
          <cell r="E50">
            <v>5</v>
          </cell>
          <cell r="F50">
            <v>6</v>
          </cell>
        </row>
        <row r="51">
          <cell r="B51" t="str">
            <v>Broad Software Categories</v>
          </cell>
          <cell r="C51" t="str">
            <v>Hardware Categories</v>
          </cell>
          <cell r="D51" t="str">
            <v>Comm. Equip. Categories</v>
          </cell>
          <cell r="E51" t="str">
            <v>IT Services Categories</v>
          </cell>
          <cell r="F51" t="str">
            <v>Narrow Software Categories</v>
          </cell>
        </row>
        <row r="52">
          <cell r="A52" t="str">
            <v>Cloud Applications</v>
          </cell>
          <cell r="B52" t="str">
            <v>Applications Software</v>
          </cell>
          <cell r="F52" t="str">
            <v>Cloud Applications</v>
          </cell>
        </row>
        <row r="53">
          <cell r="A53" t="str">
            <v>Cloud apps</v>
          </cell>
          <cell r="B53" t="str">
            <v>Applications Software</v>
          </cell>
          <cell r="F53" t="str">
            <v>Cloud Applications</v>
          </cell>
        </row>
        <row r="54">
          <cell r="A54" t="str">
            <v>Cloud apps</v>
          </cell>
          <cell r="B54" t="str">
            <v>Applications Software</v>
          </cell>
          <cell r="F54" t="str">
            <v>Cloud Applications</v>
          </cell>
        </row>
        <row r="55">
          <cell r="A55" t="str">
            <v>Implementing cloud based applications</v>
          </cell>
          <cell r="B55" t="str">
            <v>Applications Software</v>
          </cell>
          <cell r="F55" t="str">
            <v>Cloud Applications</v>
          </cell>
        </row>
        <row r="56">
          <cell r="A56" t="str">
            <v>New SaaS initiatives</v>
          </cell>
          <cell r="B56" t="str">
            <v>Applications Software</v>
          </cell>
          <cell r="F56" t="str">
            <v>Cloud Applications</v>
          </cell>
        </row>
        <row r="57">
          <cell r="A57" t="str">
            <v>Online applications</v>
          </cell>
          <cell r="B57" t="str">
            <v>Applications Software</v>
          </cell>
          <cell r="F57" t="str">
            <v>Cloud Applications</v>
          </cell>
        </row>
        <row r="58">
          <cell r="A58" t="str">
            <v>SaaS</v>
          </cell>
          <cell r="B58" t="str">
            <v>Applications Software</v>
          </cell>
          <cell r="F58" t="str">
            <v>Cloud Applications</v>
          </cell>
        </row>
        <row r="59">
          <cell r="A59" t="str">
            <v>SaaS</v>
          </cell>
          <cell r="B59" t="str">
            <v>Applications Software</v>
          </cell>
          <cell r="F59" t="str">
            <v>Cloud Applications</v>
          </cell>
        </row>
        <row r="60">
          <cell r="A60" t="str">
            <v>SaaS</v>
          </cell>
          <cell r="B60" t="str">
            <v>Applications Software</v>
          </cell>
          <cell r="F60" t="str">
            <v>Cloud Applications</v>
          </cell>
        </row>
        <row r="61">
          <cell r="A61" t="str">
            <v>SaaS</v>
          </cell>
          <cell r="B61" t="str">
            <v>Applications Software</v>
          </cell>
          <cell r="F61" t="str">
            <v>Cloud Applications</v>
          </cell>
        </row>
        <row r="62">
          <cell r="A62" t="str">
            <v>Web based applications</v>
          </cell>
          <cell r="B62" t="str">
            <v>Applications Software</v>
          </cell>
          <cell r="F62" t="str">
            <v>Cloud Applications</v>
          </cell>
        </row>
        <row r="63">
          <cell r="A63" t="str">
            <v>Web based applications</v>
          </cell>
          <cell r="B63" t="str">
            <v>Applications Software</v>
          </cell>
          <cell r="F63" t="str">
            <v>Cloud Applications</v>
          </cell>
        </row>
        <row r="64">
          <cell r="A64" t="str">
            <v>Web-based apps</v>
          </cell>
          <cell r="B64" t="str">
            <v>Applications Software</v>
          </cell>
          <cell r="F64" t="str">
            <v>Cloud Applications</v>
          </cell>
        </row>
        <row r="65">
          <cell r="A65" t="str">
            <v>Cloud</v>
          </cell>
          <cell r="B65" t="str">
            <v>Applications Software</v>
          </cell>
          <cell r="F65" t="str">
            <v>Cloud Computing</v>
          </cell>
        </row>
        <row r="66">
          <cell r="A66" t="str">
            <v>Cloud</v>
          </cell>
          <cell r="B66" t="str">
            <v>Applications Software</v>
          </cell>
          <cell r="F66" t="str">
            <v>Cloud Computing</v>
          </cell>
        </row>
        <row r="67">
          <cell r="A67" t="str">
            <v>Cloud Initiatives</v>
          </cell>
          <cell r="B67" t="str">
            <v>Applications Software</v>
          </cell>
          <cell r="F67" t="str">
            <v>Cloud Computing</v>
          </cell>
        </row>
        <row r="68">
          <cell r="A68" t="str">
            <v>Cloud Initiatives</v>
          </cell>
          <cell r="B68" t="str">
            <v>Applications Software</v>
          </cell>
          <cell r="F68" t="str">
            <v>Cloud Computing</v>
          </cell>
        </row>
        <row r="69">
          <cell r="A69" t="str">
            <v>Cloud Initiatives</v>
          </cell>
          <cell r="B69" t="str">
            <v>Applications Software</v>
          </cell>
          <cell r="F69" t="str">
            <v>Cloud Computing</v>
          </cell>
        </row>
        <row r="70">
          <cell r="A70" t="str">
            <v>Cloud Initiatives</v>
          </cell>
          <cell r="B70" t="str">
            <v>Applications Software</v>
          </cell>
          <cell r="F70" t="str">
            <v>Cloud Computing</v>
          </cell>
        </row>
        <row r="71">
          <cell r="A71" t="str">
            <v>Cloud initiatives</v>
          </cell>
          <cell r="B71" t="str">
            <v>Applications Software</v>
          </cell>
          <cell r="F71" t="str">
            <v>Cloud Computing</v>
          </cell>
        </row>
        <row r="72">
          <cell r="A72" t="str">
            <v>Cloud initiatives</v>
          </cell>
          <cell r="B72" t="str">
            <v>Applications Software</v>
          </cell>
          <cell r="F72" t="str">
            <v>Cloud Computing</v>
          </cell>
        </row>
        <row r="73">
          <cell r="A73" t="str">
            <v>Cloud projects</v>
          </cell>
          <cell r="B73" t="str">
            <v>Applications Software</v>
          </cell>
          <cell r="F73" t="str">
            <v>Cloud Computing</v>
          </cell>
        </row>
        <row r="74">
          <cell r="A74" t="str">
            <v>CRM</v>
          </cell>
          <cell r="B74" t="str">
            <v>Applications Software</v>
          </cell>
          <cell r="F74" t="str">
            <v>CRM</v>
          </cell>
        </row>
        <row r="75">
          <cell r="A75" t="str">
            <v>Business Process Management</v>
          </cell>
          <cell r="B75" t="str">
            <v>Applications Software</v>
          </cell>
          <cell r="F75" t="str">
            <v>ERP</v>
          </cell>
        </row>
        <row r="76">
          <cell r="A76" t="str">
            <v>ERP</v>
          </cell>
          <cell r="B76" t="str">
            <v>Applications Software</v>
          </cell>
          <cell r="F76" t="str">
            <v>ERP</v>
          </cell>
        </row>
        <row r="77">
          <cell r="A77" t="str">
            <v>ERP</v>
          </cell>
          <cell r="B77" t="str">
            <v>Applications Software</v>
          </cell>
          <cell r="F77" t="str">
            <v>ERP</v>
          </cell>
        </row>
        <row r="78">
          <cell r="A78" t="str">
            <v>ERP</v>
          </cell>
          <cell r="B78" t="str">
            <v>Applications Software</v>
          </cell>
          <cell r="F78" t="str">
            <v>ERP</v>
          </cell>
        </row>
        <row r="79">
          <cell r="A79" t="str">
            <v>ERP</v>
          </cell>
          <cell r="B79" t="str">
            <v>Applications Software</v>
          </cell>
          <cell r="F79" t="str">
            <v>ERP</v>
          </cell>
        </row>
        <row r="80">
          <cell r="A80" t="str">
            <v>ERP</v>
          </cell>
          <cell r="B80" t="str">
            <v>Applications Software</v>
          </cell>
          <cell r="F80" t="str">
            <v>ERP</v>
          </cell>
        </row>
        <row r="81">
          <cell r="A81" t="str">
            <v>ERP</v>
          </cell>
          <cell r="B81" t="str">
            <v>Applications Software</v>
          </cell>
          <cell r="F81" t="str">
            <v>ERP</v>
          </cell>
        </row>
        <row r="82">
          <cell r="A82" t="str">
            <v>ERP</v>
          </cell>
          <cell r="B82" t="str">
            <v>Applications Software</v>
          </cell>
          <cell r="F82" t="str">
            <v>ERP</v>
          </cell>
        </row>
        <row r="83">
          <cell r="A83" t="str">
            <v>ERP</v>
          </cell>
          <cell r="B83" t="str">
            <v>Applications Software</v>
          </cell>
          <cell r="F83" t="str">
            <v>ERP</v>
          </cell>
        </row>
        <row r="84">
          <cell r="A84" t="str">
            <v>ERP</v>
          </cell>
          <cell r="B84" t="str">
            <v>Applications Software</v>
          </cell>
          <cell r="F84" t="str">
            <v>ERP</v>
          </cell>
        </row>
        <row r="85">
          <cell r="A85" t="str">
            <v>ERP</v>
          </cell>
          <cell r="B85" t="str">
            <v>Applications Software</v>
          </cell>
          <cell r="F85" t="str">
            <v>ERP</v>
          </cell>
        </row>
        <row r="86">
          <cell r="A86" t="str">
            <v>ERP</v>
          </cell>
          <cell r="B86" t="str">
            <v>Applications Software</v>
          </cell>
          <cell r="F86" t="str">
            <v>ERP</v>
          </cell>
        </row>
        <row r="87">
          <cell r="A87" t="str">
            <v>ERP</v>
          </cell>
          <cell r="B87" t="str">
            <v>Applications Software</v>
          </cell>
          <cell r="F87" t="str">
            <v>ERP</v>
          </cell>
        </row>
        <row r="88">
          <cell r="A88" t="str">
            <v>ERP</v>
          </cell>
          <cell r="B88" t="str">
            <v>Applications Software</v>
          </cell>
          <cell r="F88" t="str">
            <v>ERP</v>
          </cell>
        </row>
        <row r="89">
          <cell r="A89" t="str">
            <v>ERP</v>
          </cell>
          <cell r="B89" t="str">
            <v>Applications Software</v>
          </cell>
          <cell r="F89" t="str">
            <v>ERP</v>
          </cell>
        </row>
        <row r="90">
          <cell r="A90" t="str">
            <v>ERP</v>
          </cell>
          <cell r="B90" t="str">
            <v>Applications Software</v>
          </cell>
          <cell r="F90" t="str">
            <v>ERP</v>
          </cell>
        </row>
        <row r="91">
          <cell r="A91" t="str">
            <v>ERP</v>
          </cell>
          <cell r="B91" t="str">
            <v>Applications Software</v>
          </cell>
          <cell r="F91" t="str">
            <v>ERP</v>
          </cell>
        </row>
        <row r="92">
          <cell r="A92" t="str">
            <v>ERP</v>
          </cell>
          <cell r="B92" t="str">
            <v>Applications Software</v>
          </cell>
          <cell r="F92" t="str">
            <v>ERP</v>
          </cell>
        </row>
        <row r="93">
          <cell r="A93" t="str">
            <v>ERP</v>
          </cell>
          <cell r="B93" t="str">
            <v>Applications Software</v>
          </cell>
          <cell r="F93" t="str">
            <v>ERP</v>
          </cell>
        </row>
        <row r="94">
          <cell r="A94" t="str">
            <v>ERP</v>
          </cell>
          <cell r="B94" t="str">
            <v>Applications Software</v>
          </cell>
          <cell r="F94" t="str">
            <v>ERP</v>
          </cell>
        </row>
        <row r="95">
          <cell r="A95" t="str">
            <v>ERP</v>
          </cell>
          <cell r="B95" t="str">
            <v>Applications Software</v>
          </cell>
          <cell r="F95" t="str">
            <v>ERP</v>
          </cell>
        </row>
        <row r="96">
          <cell r="A96" t="str">
            <v>ERP</v>
          </cell>
          <cell r="B96" t="str">
            <v>Applications Software</v>
          </cell>
          <cell r="F96" t="str">
            <v>ERP</v>
          </cell>
        </row>
        <row r="97">
          <cell r="A97" t="str">
            <v>ERP</v>
          </cell>
          <cell r="B97" t="str">
            <v>Applications Software</v>
          </cell>
          <cell r="F97" t="str">
            <v>ERP</v>
          </cell>
        </row>
        <row r="98">
          <cell r="A98" t="str">
            <v>ERP</v>
          </cell>
          <cell r="B98" t="str">
            <v>Applications Software</v>
          </cell>
          <cell r="F98" t="str">
            <v>ERP</v>
          </cell>
        </row>
        <row r="99">
          <cell r="A99" t="str">
            <v>ERP</v>
          </cell>
          <cell r="B99" t="str">
            <v>Applications Software</v>
          </cell>
          <cell r="F99" t="str">
            <v>ERP</v>
          </cell>
        </row>
        <row r="100">
          <cell r="A100" t="str">
            <v>ERP</v>
          </cell>
          <cell r="B100" t="str">
            <v>Applications Software</v>
          </cell>
          <cell r="F100" t="str">
            <v>ERP</v>
          </cell>
        </row>
        <row r="101">
          <cell r="A101" t="str">
            <v>ERP development</v>
          </cell>
          <cell r="B101" t="str">
            <v>Applications Software</v>
          </cell>
          <cell r="F101" t="str">
            <v>ERP</v>
          </cell>
        </row>
        <row r="102">
          <cell r="A102" t="str">
            <v>ERP Infrastructure</v>
          </cell>
          <cell r="B102" t="str">
            <v>Applications Software</v>
          </cell>
          <cell r="F102" t="str">
            <v>ERP</v>
          </cell>
        </row>
        <row r="103">
          <cell r="A103" t="str">
            <v>Oracle</v>
          </cell>
          <cell r="B103" t="str">
            <v>Applications Software</v>
          </cell>
          <cell r="F103" t="str">
            <v>ERP</v>
          </cell>
        </row>
        <row r="104">
          <cell r="A104" t="str">
            <v>Oracle ERP upgrade</v>
          </cell>
          <cell r="B104" t="str">
            <v>Applications Software</v>
          </cell>
          <cell r="F104" t="str">
            <v>ERP</v>
          </cell>
        </row>
        <row r="105">
          <cell r="A105" t="str">
            <v>Oracle R12 upgrade</v>
          </cell>
          <cell r="B105" t="str">
            <v>Applications Software</v>
          </cell>
          <cell r="F105" t="str">
            <v>ERP</v>
          </cell>
        </row>
        <row r="106">
          <cell r="A106" t="str">
            <v>Oracle upgrades</v>
          </cell>
          <cell r="B106" t="str">
            <v>Applications Software</v>
          </cell>
          <cell r="F106" t="str">
            <v>ERP</v>
          </cell>
        </row>
        <row r="107">
          <cell r="A107" t="str">
            <v>PLM</v>
          </cell>
          <cell r="B107" t="str">
            <v>Applications Software</v>
          </cell>
          <cell r="F107" t="str">
            <v>ERP</v>
          </cell>
        </row>
        <row r="108">
          <cell r="A108" t="str">
            <v>Revamp A/P systems</v>
          </cell>
          <cell r="B108" t="str">
            <v>Applications Software</v>
          </cell>
          <cell r="F108" t="str">
            <v>ERP</v>
          </cell>
        </row>
        <row r="109">
          <cell r="A109" t="str">
            <v>SAP deployement</v>
          </cell>
          <cell r="B109" t="str">
            <v>Applications Software</v>
          </cell>
          <cell r="F109" t="str">
            <v>ERP</v>
          </cell>
        </row>
        <row r="110">
          <cell r="A110" t="str">
            <v>SAP ECC</v>
          </cell>
          <cell r="B110" t="str">
            <v>Applications Software</v>
          </cell>
          <cell r="F110" t="str">
            <v>ERP</v>
          </cell>
        </row>
        <row r="111">
          <cell r="A111" t="str">
            <v>SAP GTS Deployment Services</v>
          </cell>
          <cell r="B111" t="str">
            <v>Applications Software</v>
          </cell>
          <cell r="F111" t="str">
            <v>ERP</v>
          </cell>
        </row>
        <row r="112">
          <cell r="A112" t="str">
            <v>Employee portal</v>
          </cell>
          <cell r="B112" t="str">
            <v>Applications Software</v>
          </cell>
          <cell r="F112" t="str">
            <v>HR</v>
          </cell>
        </row>
        <row r="113">
          <cell r="A113" t="str">
            <v>HR</v>
          </cell>
          <cell r="B113" t="str">
            <v>Applications Software</v>
          </cell>
          <cell r="F113" t="str">
            <v>HR</v>
          </cell>
        </row>
        <row r="114">
          <cell r="A114" t="str">
            <v>HR applications</v>
          </cell>
          <cell r="B114" t="str">
            <v>Applications Software</v>
          </cell>
          <cell r="F114" t="str">
            <v>HR</v>
          </cell>
        </row>
        <row r="115">
          <cell r="A115" t="str">
            <v>HR apps</v>
          </cell>
          <cell r="B115" t="str">
            <v>Applications Software</v>
          </cell>
          <cell r="F115" t="str">
            <v>HR</v>
          </cell>
        </row>
        <row r="116">
          <cell r="A116" t="str">
            <v>HR apps</v>
          </cell>
          <cell r="B116" t="str">
            <v>Applications Software</v>
          </cell>
          <cell r="F116" t="str">
            <v>HR</v>
          </cell>
        </row>
        <row r="117">
          <cell r="A117" t="str">
            <v xml:space="preserve">Customer portal </v>
          </cell>
          <cell r="B117" t="str">
            <v>Applications Software</v>
          </cell>
          <cell r="F117" t="str">
            <v>Portal</v>
          </cell>
        </row>
        <row r="118">
          <cell r="A118" t="str">
            <v>Portal development</v>
          </cell>
          <cell r="B118" t="str">
            <v>Applications Software</v>
          </cell>
          <cell r="F118" t="str">
            <v>Portal</v>
          </cell>
        </row>
        <row r="119">
          <cell r="A119" t="str">
            <v>Web portal</v>
          </cell>
          <cell r="B119" t="str">
            <v>Applications Software</v>
          </cell>
          <cell r="F119" t="str">
            <v>Portal</v>
          </cell>
        </row>
        <row r="120">
          <cell r="A120" t="str">
            <v>SCM</v>
          </cell>
          <cell r="B120" t="str">
            <v>Applications Software</v>
          </cell>
          <cell r="F120" t="str">
            <v>SCM</v>
          </cell>
        </row>
        <row r="121">
          <cell r="A121" t="str">
            <v>Collaboration tools</v>
          </cell>
          <cell r="B121" t="str">
            <v>Applications Software</v>
          </cell>
          <cell r="F121" t="str">
            <v>Social/ Collaboration</v>
          </cell>
        </row>
        <row r="122">
          <cell r="A122" t="str">
            <v>Collaboration tools</v>
          </cell>
          <cell r="B122" t="str">
            <v>Applications Software</v>
          </cell>
          <cell r="F122" t="str">
            <v>Social/ Collaboration</v>
          </cell>
        </row>
        <row r="123">
          <cell r="A123" t="str">
            <v>Collaboration tools</v>
          </cell>
          <cell r="B123" t="str">
            <v>Applications Software</v>
          </cell>
          <cell r="F123" t="str">
            <v>Social/ Collaboration</v>
          </cell>
        </row>
        <row r="124">
          <cell r="A124" t="str">
            <v>Collaboration tools</v>
          </cell>
          <cell r="B124" t="str">
            <v>Applications Software</v>
          </cell>
          <cell r="F124" t="str">
            <v>Social/ Collaboration</v>
          </cell>
        </row>
        <row r="125">
          <cell r="A125" t="str">
            <v>Collaboration tools</v>
          </cell>
          <cell r="B125" t="str">
            <v>Applications Software</v>
          </cell>
          <cell r="F125" t="str">
            <v>Social/ Collaboration</v>
          </cell>
        </row>
        <row r="126">
          <cell r="A126" t="str">
            <v>Social networking apps</v>
          </cell>
          <cell r="B126" t="str">
            <v>Applications Software</v>
          </cell>
          <cell r="F126" t="str">
            <v>Social/ Collaboration</v>
          </cell>
        </row>
        <row r="127">
          <cell r="A127" t="str">
            <v>Social Service application</v>
          </cell>
          <cell r="B127" t="str">
            <v>Applications Software</v>
          </cell>
          <cell r="F127" t="str">
            <v>Social/ Collaboration</v>
          </cell>
        </row>
        <row r="128">
          <cell r="A128" t="str">
            <v>Application reporting</v>
          </cell>
          <cell r="B128" t="str">
            <v>Applications Software</v>
          </cell>
        </row>
        <row r="129">
          <cell r="A129" t="str">
            <v>Applications for new plants</v>
          </cell>
          <cell r="B129" t="str">
            <v>Applications Software</v>
          </cell>
        </row>
        <row r="130">
          <cell r="A130" t="str">
            <v>Departmental Applications</v>
          </cell>
          <cell r="B130" t="str">
            <v>Applications Software</v>
          </cell>
        </row>
        <row r="131">
          <cell r="A131" t="str">
            <v>Out of the box enterprise applications</v>
          </cell>
          <cell r="B131" t="str">
            <v>Applications Software</v>
          </cell>
        </row>
        <row r="132">
          <cell r="A132" t="str">
            <v>Productivity applications</v>
          </cell>
          <cell r="B132" t="str">
            <v>Applications Software</v>
          </cell>
        </row>
        <row r="133">
          <cell r="A133" t="str">
            <v>Productivity tools</v>
          </cell>
          <cell r="B133" t="str">
            <v>Applications Software</v>
          </cell>
        </row>
        <row r="134">
          <cell r="A134" t="str">
            <v>Software maintenence</v>
          </cell>
          <cell r="B134" t="str">
            <v>Applications Software</v>
          </cell>
        </row>
        <row r="135">
          <cell r="A135" t="str">
            <v>Spending towards maintenance</v>
          </cell>
          <cell r="B135" t="str">
            <v>Applications Software</v>
          </cell>
        </row>
        <row r="136">
          <cell r="A136" t="str">
            <v>Analytics software</v>
          </cell>
          <cell r="B136" t="str">
            <v>BI/Analytics Software</v>
          </cell>
          <cell r="F136" t="str">
            <v>BI/Analytics</v>
          </cell>
        </row>
        <row r="137">
          <cell r="A137" t="str">
            <v>BI applications</v>
          </cell>
          <cell r="B137" t="str">
            <v>BI/Analytics Software</v>
          </cell>
          <cell r="F137" t="str">
            <v>BI/Analytics</v>
          </cell>
        </row>
        <row r="138">
          <cell r="A138" t="str">
            <v>BI tools</v>
          </cell>
          <cell r="B138" t="str">
            <v>BI/Analytics Software</v>
          </cell>
          <cell r="F138" t="str">
            <v>BI/Analytics</v>
          </cell>
        </row>
        <row r="139">
          <cell r="A139" t="str">
            <v>BI Tools</v>
          </cell>
          <cell r="B139" t="str">
            <v>BI/Analytics Software</v>
          </cell>
          <cell r="F139" t="str">
            <v>BI/Analytics</v>
          </cell>
        </row>
        <row r="140">
          <cell r="A140" t="str">
            <v>Business analytics</v>
          </cell>
          <cell r="B140" t="str">
            <v>BI/Analytics Software</v>
          </cell>
          <cell r="F140" t="str">
            <v>BI/Analytics</v>
          </cell>
        </row>
        <row r="141">
          <cell r="A141" t="str">
            <v>Business analytics</v>
          </cell>
          <cell r="B141" t="str">
            <v>BI/Analytics Software</v>
          </cell>
          <cell r="F141" t="str">
            <v>BI/Analytics</v>
          </cell>
        </row>
        <row r="142">
          <cell r="A142" t="str">
            <v>Business Intelligence</v>
          </cell>
          <cell r="B142" t="str">
            <v>BI/Analytics Software</v>
          </cell>
          <cell r="F142" t="str">
            <v>BI/Analytics</v>
          </cell>
        </row>
        <row r="143">
          <cell r="A143" t="str">
            <v>Business Intelligence</v>
          </cell>
          <cell r="B143" t="str">
            <v>BI/Analytics Software</v>
          </cell>
          <cell r="F143" t="str">
            <v>BI/Analytics</v>
          </cell>
        </row>
        <row r="144">
          <cell r="A144" t="str">
            <v>Business Intelligence</v>
          </cell>
          <cell r="B144" t="str">
            <v>BI/Analytics Software</v>
          </cell>
          <cell r="F144" t="str">
            <v>BI/Analytics</v>
          </cell>
        </row>
        <row r="145">
          <cell r="A145" t="str">
            <v>Business Intelligence</v>
          </cell>
          <cell r="B145" t="str">
            <v>BI/Analytics Software</v>
          </cell>
          <cell r="F145" t="str">
            <v>BI/Analytics</v>
          </cell>
        </row>
        <row r="146">
          <cell r="A146" t="str">
            <v>Business intelligence tool</v>
          </cell>
          <cell r="B146" t="str">
            <v>BI/Analytics Software</v>
          </cell>
          <cell r="F146" t="str">
            <v>BI/Analytics</v>
          </cell>
        </row>
        <row r="147">
          <cell r="A147" t="str">
            <v>Data Warehouse / BI</v>
          </cell>
          <cell r="B147" t="str">
            <v>BI/Analytics Software</v>
          </cell>
          <cell r="F147" t="str">
            <v>BI/Analytics</v>
          </cell>
        </row>
        <row r="148">
          <cell r="A148" t="str">
            <v>Application development</v>
          </cell>
          <cell r="B148" t="str">
            <v>Infrastructure Software</v>
          </cell>
          <cell r="F148" t="str">
            <v>App Development</v>
          </cell>
        </row>
        <row r="149">
          <cell r="A149" t="str">
            <v>Data consolidation</v>
          </cell>
          <cell r="B149" t="str">
            <v>Infrastructure Software</v>
          </cell>
          <cell r="F149" t="str">
            <v>Database</v>
          </cell>
        </row>
        <row r="150">
          <cell r="A150" t="str">
            <v>Data Deduplication</v>
          </cell>
          <cell r="B150" t="str">
            <v>Infrastructure Software</v>
          </cell>
          <cell r="F150" t="str">
            <v>Database</v>
          </cell>
        </row>
        <row r="151">
          <cell r="A151" t="str">
            <v>Data Deduplication</v>
          </cell>
          <cell r="B151" t="str">
            <v>Infrastructure Software</v>
          </cell>
          <cell r="F151" t="str">
            <v>Database</v>
          </cell>
        </row>
        <row r="152">
          <cell r="A152" t="str">
            <v>Data Deduplication</v>
          </cell>
          <cell r="B152" t="str">
            <v>Infrastructure Software</v>
          </cell>
          <cell r="F152" t="str">
            <v>Database</v>
          </cell>
        </row>
        <row r="153">
          <cell r="A153" t="str">
            <v>Data Deduplication</v>
          </cell>
          <cell r="B153" t="str">
            <v>Infrastructure Software</v>
          </cell>
          <cell r="F153" t="str">
            <v>Database</v>
          </cell>
        </row>
        <row r="154">
          <cell r="A154" t="str">
            <v>Data deduplication</v>
          </cell>
          <cell r="B154" t="str">
            <v>Infrastructure Software</v>
          </cell>
          <cell r="F154" t="str">
            <v>Database</v>
          </cell>
        </row>
        <row r="155">
          <cell r="A155" t="str">
            <v>Data utilization rates</v>
          </cell>
          <cell r="B155" t="str">
            <v>Infrastructure Software</v>
          </cell>
          <cell r="F155" t="str">
            <v>Database</v>
          </cell>
        </row>
        <row r="156">
          <cell r="A156" t="str">
            <v>Data Warehousing</v>
          </cell>
          <cell r="B156" t="str">
            <v>Infrastructure Software</v>
          </cell>
          <cell r="F156" t="str">
            <v>Database</v>
          </cell>
        </row>
        <row r="157">
          <cell r="A157" t="str">
            <v>Database applcations</v>
          </cell>
          <cell r="B157" t="str">
            <v>Infrastructure Software</v>
          </cell>
          <cell r="F157" t="str">
            <v>Database</v>
          </cell>
        </row>
        <row r="158">
          <cell r="A158" t="str">
            <v>Database software</v>
          </cell>
          <cell r="B158" t="str">
            <v>Infrastructure Software</v>
          </cell>
          <cell r="F158" t="str">
            <v>Database</v>
          </cell>
        </row>
        <row r="159">
          <cell r="A159" t="str">
            <v>EHR (Electronic Health Records) systems</v>
          </cell>
          <cell r="B159" t="str">
            <v>Infrastructure Software</v>
          </cell>
          <cell r="F159" t="str">
            <v>Database</v>
          </cell>
        </row>
        <row r="160">
          <cell r="A160" t="str">
            <v>EHR (Electronic Health Records) systems</v>
          </cell>
          <cell r="B160" t="str">
            <v>Infrastructure Software</v>
          </cell>
          <cell r="F160" t="str">
            <v>Database</v>
          </cell>
        </row>
        <row r="161">
          <cell r="A161" t="str">
            <v>EHR (Electronic Health Records) systems</v>
          </cell>
          <cell r="B161" t="str">
            <v>Infrastructure Software</v>
          </cell>
          <cell r="F161" t="str">
            <v>Database</v>
          </cell>
        </row>
        <row r="162">
          <cell r="A162" t="str">
            <v>Electronic records</v>
          </cell>
          <cell r="B162" t="str">
            <v>Infrastructure Software</v>
          </cell>
          <cell r="F162" t="str">
            <v>Database</v>
          </cell>
        </row>
        <row r="163">
          <cell r="A163" t="str">
            <v>Electronic records</v>
          </cell>
          <cell r="B163" t="str">
            <v>Infrastructure Software</v>
          </cell>
          <cell r="F163" t="str">
            <v>Database</v>
          </cell>
        </row>
        <row r="164">
          <cell r="A164" t="str">
            <v>Health information exchanges</v>
          </cell>
          <cell r="B164" t="str">
            <v>Infrastructure Software</v>
          </cell>
          <cell r="F164" t="str">
            <v>Database</v>
          </cell>
        </row>
        <row r="165">
          <cell r="A165" t="str">
            <v>Application integration</v>
          </cell>
          <cell r="B165" t="str">
            <v>Infrastructure Software</v>
          </cell>
          <cell r="F165" t="str">
            <v>Integration</v>
          </cell>
        </row>
        <row r="166">
          <cell r="A166" t="str">
            <v>Better application intigration</v>
          </cell>
          <cell r="B166" t="str">
            <v>Infrastructure Software</v>
          </cell>
          <cell r="F166" t="str">
            <v>Integration</v>
          </cell>
        </row>
        <row r="167">
          <cell r="A167" t="str">
            <v>Microsoft</v>
          </cell>
          <cell r="B167" t="str">
            <v>Infrastructure Software</v>
          </cell>
          <cell r="F167" t="str">
            <v>Operating System</v>
          </cell>
        </row>
        <row r="168">
          <cell r="A168" t="str">
            <v>Windows 7</v>
          </cell>
          <cell r="B168" t="str">
            <v>Infrastructure Software</v>
          </cell>
          <cell r="F168" t="str">
            <v>Operating System</v>
          </cell>
        </row>
        <row r="169">
          <cell r="A169" t="str">
            <v>Windows 7</v>
          </cell>
          <cell r="B169" t="str">
            <v>Infrastructure Software</v>
          </cell>
          <cell r="F169" t="str">
            <v>Operating System</v>
          </cell>
        </row>
        <row r="170">
          <cell r="A170" t="str">
            <v>Windows 7</v>
          </cell>
          <cell r="B170" t="str">
            <v>Infrastructure Software</v>
          </cell>
          <cell r="F170" t="str">
            <v>Operating System</v>
          </cell>
        </row>
        <row r="171">
          <cell r="A171" t="str">
            <v>Windows 7</v>
          </cell>
          <cell r="B171" t="str">
            <v>Infrastructure Software</v>
          </cell>
          <cell r="F171" t="str">
            <v>Operating System</v>
          </cell>
        </row>
        <row r="172">
          <cell r="A172" t="str">
            <v>Windows 7</v>
          </cell>
          <cell r="B172" t="str">
            <v>Infrastructure Software</v>
          </cell>
          <cell r="F172" t="str">
            <v>Operating System</v>
          </cell>
        </row>
        <row r="173">
          <cell r="A173" t="str">
            <v>Windows 7</v>
          </cell>
          <cell r="B173" t="str">
            <v>Infrastructure Software</v>
          </cell>
          <cell r="F173" t="str">
            <v>Operating System</v>
          </cell>
        </row>
        <row r="174">
          <cell r="A174" t="str">
            <v>Desktop virtualization</v>
          </cell>
          <cell r="B174" t="str">
            <v>Infrastructure Software</v>
          </cell>
          <cell r="F174" t="str">
            <v>Virtualization</v>
          </cell>
        </row>
        <row r="175">
          <cell r="A175" t="str">
            <v>Desktop virtualization</v>
          </cell>
          <cell r="B175" t="str">
            <v>Infrastructure Software</v>
          </cell>
          <cell r="F175" t="str">
            <v>Virtualization</v>
          </cell>
        </row>
        <row r="176">
          <cell r="A176" t="str">
            <v>Integrating existing systems with new virtual projects</v>
          </cell>
          <cell r="B176" t="str">
            <v>Infrastructure Software</v>
          </cell>
          <cell r="F176" t="str">
            <v>Virtualization</v>
          </cell>
        </row>
        <row r="177">
          <cell r="A177" t="str">
            <v xml:space="preserve">Server/Host virtualization  </v>
          </cell>
          <cell r="B177" t="str">
            <v>Infrastructure Software</v>
          </cell>
          <cell r="F177" t="str">
            <v>Virtualization</v>
          </cell>
        </row>
        <row r="178">
          <cell r="A178" t="str">
            <v>VD initiatives</v>
          </cell>
          <cell r="B178" t="str">
            <v>Infrastructure Software</v>
          </cell>
          <cell r="F178" t="str">
            <v>Virtualization</v>
          </cell>
        </row>
        <row r="179">
          <cell r="A179" t="str">
            <v>VD initiatives</v>
          </cell>
          <cell r="B179" t="str">
            <v>Infrastructure Software</v>
          </cell>
          <cell r="F179" t="str">
            <v>Virtualization</v>
          </cell>
        </row>
        <row r="180">
          <cell r="A180" t="str">
            <v>Virtualization</v>
          </cell>
          <cell r="B180" t="str">
            <v>Infrastructure Software</v>
          </cell>
          <cell r="F180" t="str">
            <v>Virtualization</v>
          </cell>
        </row>
        <row r="181">
          <cell r="A181" t="str">
            <v>Virtualization</v>
          </cell>
          <cell r="B181" t="str">
            <v>Infrastructure Software</v>
          </cell>
          <cell r="F181" t="str">
            <v>Virtualization</v>
          </cell>
        </row>
        <row r="182">
          <cell r="A182" t="str">
            <v>Virtualization</v>
          </cell>
          <cell r="B182" t="str">
            <v>Infrastructure Software</v>
          </cell>
          <cell r="F182" t="str">
            <v>Virtualization</v>
          </cell>
        </row>
        <row r="183">
          <cell r="A183" t="str">
            <v>Virtualization</v>
          </cell>
          <cell r="B183" t="str">
            <v>Infrastructure Software</v>
          </cell>
          <cell r="F183" t="str">
            <v>Virtualization</v>
          </cell>
        </row>
        <row r="184">
          <cell r="A184" t="str">
            <v>Virtualization</v>
          </cell>
          <cell r="B184" t="str">
            <v>Infrastructure Software</v>
          </cell>
          <cell r="F184" t="str">
            <v>Virtualization</v>
          </cell>
        </row>
        <row r="185">
          <cell r="A185" t="str">
            <v>Virtualization</v>
          </cell>
          <cell r="B185" t="str">
            <v>Infrastructure Software</v>
          </cell>
          <cell r="F185" t="str">
            <v>Virtualization</v>
          </cell>
        </row>
        <row r="186">
          <cell r="A186" t="str">
            <v>Virtualization</v>
          </cell>
          <cell r="B186" t="str">
            <v>Infrastructure Software</v>
          </cell>
          <cell r="F186" t="str">
            <v>Virtualization</v>
          </cell>
        </row>
        <row r="187">
          <cell r="A187" t="str">
            <v>Virtualization</v>
          </cell>
          <cell r="B187" t="str">
            <v>Infrastructure Software</v>
          </cell>
          <cell r="F187" t="str">
            <v>Virtualization</v>
          </cell>
        </row>
        <row r="188">
          <cell r="A188" t="str">
            <v>Virtualization</v>
          </cell>
          <cell r="B188" t="str">
            <v>Infrastructure Software</v>
          </cell>
          <cell r="F188" t="str">
            <v>Virtualization</v>
          </cell>
        </row>
        <row r="189">
          <cell r="A189" t="str">
            <v>Virtualization</v>
          </cell>
          <cell r="B189" t="str">
            <v>Infrastructure Software</v>
          </cell>
          <cell r="F189" t="str">
            <v>Virtualization</v>
          </cell>
        </row>
        <row r="190">
          <cell r="A190" t="str">
            <v>Integration of new applications</v>
          </cell>
          <cell r="B190" t="str">
            <v>Infrastructure Software</v>
          </cell>
        </row>
        <row r="191">
          <cell r="A191" t="str">
            <v xml:space="preserve">Internal Cloud </v>
          </cell>
          <cell r="B191" t="str">
            <v>Infrastructure Software</v>
          </cell>
        </row>
        <row r="192">
          <cell r="A192" t="str">
            <v xml:space="preserve">Internal Cloud </v>
          </cell>
          <cell r="B192" t="str">
            <v>Infrastructure Software</v>
          </cell>
        </row>
        <row r="193">
          <cell r="A193" t="str">
            <v xml:space="preserve">Internal Cloud </v>
          </cell>
          <cell r="B193" t="str">
            <v>Infrastructure Software</v>
          </cell>
        </row>
        <row r="194">
          <cell r="A194" t="str">
            <v xml:space="preserve">Internal Cloud </v>
          </cell>
          <cell r="B194" t="str">
            <v>Infrastructure Software</v>
          </cell>
        </row>
        <row r="195">
          <cell r="A195" t="str">
            <v>Internal clous</v>
          </cell>
          <cell r="B195" t="str">
            <v>Infrastructure Software</v>
          </cell>
        </row>
        <row r="196">
          <cell r="A196" t="str">
            <v>Linux</v>
          </cell>
          <cell r="B196" t="str">
            <v>Infrastructure Software</v>
          </cell>
        </row>
        <row r="197">
          <cell r="A197" t="str">
            <v>Backup &amp; Recovery</v>
          </cell>
          <cell r="B197" t="str">
            <v>Systems Mgmt Software</v>
          </cell>
          <cell r="F197" t="str">
            <v>Backup and Recovery</v>
          </cell>
        </row>
        <row r="198">
          <cell r="A198" t="str">
            <v>Backup and Recovery</v>
          </cell>
          <cell r="B198" t="str">
            <v>Systems Mgmt Software</v>
          </cell>
          <cell r="F198" t="str">
            <v>Backup and Recovery</v>
          </cell>
        </row>
        <row r="199">
          <cell r="A199" t="str">
            <v>Backup and Recovery</v>
          </cell>
          <cell r="B199" t="str">
            <v>Systems Mgmt Software</v>
          </cell>
          <cell r="F199" t="str">
            <v>Backup and Recovery</v>
          </cell>
        </row>
        <row r="200">
          <cell r="A200" t="str">
            <v>Backup and Recovery</v>
          </cell>
          <cell r="B200" t="str">
            <v>Systems Mgmt Software</v>
          </cell>
          <cell r="F200" t="str">
            <v>Backup and Recovery</v>
          </cell>
        </row>
        <row r="201">
          <cell r="A201" t="str">
            <v>BC/DR  initiative</v>
          </cell>
          <cell r="B201" t="str">
            <v>Systems Mgmt Software</v>
          </cell>
          <cell r="F201" t="str">
            <v>Backup and Recovery</v>
          </cell>
        </row>
        <row r="202">
          <cell r="A202" t="str">
            <v>Compliance</v>
          </cell>
          <cell r="B202" t="str">
            <v>Systems Mgmt Software</v>
          </cell>
          <cell r="F202" t="str">
            <v>Security</v>
          </cell>
        </row>
        <row r="203">
          <cell r="A203" t="str">
            <v>Data protection</v>
          </cell>
          <cell r="B203" t="str">
            <v>Systems Mgmt Software</v>
          </cell>
          <cell r="F203" t="str">
            <v>Security</v>
          </cell>
        </row>
        <row r="204">
          <cell r="A204" t="str">
            <v>Data retention</v>
          </cell>
          <cell r="B204" t="str">
            <v>Systems Mgmt Software</v>
          </cell>
          <cell r="F204" t="str">
            <v>Security</v>
          </cell>
        </row>
        <row r="205">
          <cell r="A205" t="str">
            <v>Data security</v>
          </cell>
          <cell r="B205" t="str">
            <v>Systems Mgmt Software</v>
          </cell>
          <cell r="F205" t="str">
            <v>Security</v>
          </cell>
        </row>
        <row r="206">
          <cell r="A206" t="str">
            <v>Data security</v>
          </cell>
          <cell r="B206" t="str">
            <v>Systems Mgmt Software</v>
          </cell>
          <cell r="F206" t="str">
            <v>Security</v>
          </cell>
        </row>
        <row r="207">
          <cell r="A207" t="str">
            <v>Data security</v>
          </cell>
          <cell r="B207" t="str">
            <v>Systems Mgmt Software</v>
          </cell>
          <cell r="F207" t="str">
            <v>Security</v>
          </cell>
        </row>
        <row r="208">
          <cell r="A208" t="str">
            <v>E-Discovery</v>
          </cell>
          <cell r="B208" t="str">
            <v>Systems Mgmt Software</v>
          </cell>
          <cell r="F208" t="str">
            <v>Security</v>
          </cell>
        </row>
        <row r="209">
          <cell r="A209" t="str">
            <v>E-Discovery</v>
          </cell>
          <cell r="B209" t="str">
            <v>Systems Mgmt Software</v>
          </cell>
          <cell r="F209" t="str">
            <v>Security</v>
          </cell>
        </row>
        <row r="210">
          <cell r="A210" t="str">
            <v>Enterprise Content Management</v>
          </cell>
          <cell r="B210" t="str">
            <v>Systems Mgmt Software</v>
          </cell>
          <cell r="F210" t="str">
            <v>Security</v>
          </cell>
        </row>
        <row r="211">
          <cell r="A211" t="str">
            <v>Improve data protection</v>
          </cell>
          <cell r="B211" t="str">
            <v>Systems Mgmt Software</v>
          </cell>
          <cell r="F211" t="str">
            <v>Security</v>
          </cell>
        </row>
        <row r="212">
          <cell r="A212" t="str">
            <v>Improve data security</v>
          </cell>
          <cell r="B212" t="str">
            <v>Systems Mgmt Software</v>
          </cell>
          <cell r="F212" t="str">
            <v>Security</v>
          </cell>
        </row>
        <row r="213">
          <cell r="A213" t="str">
            <v>Improved authentication</v>
          </cell>
          <cell r="B213" t="str">
            <v>Systems Mgmt Software</v>
          </cell>
          <cell r="F213" t="str">
            <v>Security</v>
          </cell>
        </row>
        <row r="214">
          <cell r="A214" t="str">
            <v>Network security</v>
          </cell>
          <cell r="B214" t="str">
            <v>Systems Mgmt Software</v>
          </cell>
          <cell r="F214" t="str">
            <v>Security</v>
          </cell>
        </row>
        <row r="215">
          <cell r="A215" t="str">
            <v>Network security and data security</v>
          </cell>
          <cell r="B215" t="str">
            <v>Systems Mgmt Software</v>
          </cell>
          <cell r="F215" t="str">
            <v>Security</v>
          </cell>
        </row>
        <row r="216">
          <cell r="A216" t="str">
            <v>Regulatory compliance</v>
          </cell>
          <cell r="B216" t="str">
            <v>Systems Mgmt Software</v>
          </cell>
          <cell r="F216" t="str">
            <v>Security</v>
          </cell>
        </row>
        <row r="217">
          <cell r="A217" t="str">
            <v>Regulatory compliance</v>
          </cell>
          <cell r="B217" t="str">
            <v>Systems Mgmt Software</v>
          </cell>
          <cell r="F217" t="str">
            <v>Security</v>
          </cell>
        </row>
        <row r="218">
          <cell r="A218" t="str">
            <v>Security</v>
          </cell>
          <cell r="B218" t="str">
            <v>Systems Mgmt Software</v>
          </cell>
          <cell r="F218" t="str">
            <v>Security</v>
          </cell>
        </row>
        <row r="219">
          <cell r="A219" t="str">
            <v>Security &amp; system monitoring</v>
          </cell>
          <cell r="B219" t="str">
            <v>Systems Mgmt Software</v>
          </cell>
          <cell r="F219" t="str">
            <v>Security</v>
          </cell>
        </row>
        <row r="220">
          <cell r="A220" t="str">
            <v>Security Architecture</v>
          </cell>
          <cell r="B220" t="str">
            <v>Systems Mgmt Software</v>
          </cell>
          <cell r="F220" t="str">
            <v>Security</v>
          </cell>
        </row>
        <row r="221">
          <cell r="A221" t="str">
            <v>Security measures</v>
          </cell>
          <cell r="B221" t="str">
            <v>Systems Mgmt Software</v>
          </cell>
          <cell r="F221" t="str">
            <v>Security</v>
          </cell>
        </row>
        <row r="222">
          <cell r="A222" t="str">
            <v>Security projects</v>
          </cell>
          <cell r="B222" t="str">
            <v>Systems Mgmt Software</v>
          </cell>
          <cell r="F222" t="str">
            <v>Security</v>
          </cell>
        </row>
        <row r="223">
          <cell r="A223" t="str">
            <v>Server consolidation</v>
          </cell>
          <cell r="B223" t="str">
            <v>Systems Mgmt Software</v>
          </cell>
          <cell r="F223" t="str">
            <v>Security</v>
          </cell>
        </row>
        <row r="224">
          <cell r="A224" t="str">
            <v>Virtualization security</v>
          </cell>
          <cell r="B224" t="str">
            <v>Systems Mgmt Software</v>
          </cell>
          <cell r="F224" t="str">
            <v>Security</v>
          </cell>
        </row>
        <row r="225">
          <cell r="A225" t="str">
            <v>Hardware upgrades</v>
          </cell>
          <cell r="C225" t="str">
            <v>Desktops / Laptops</v>
          </cell>
        </row>
        <row r="226">
          <cell r="A226" t="str">
            <v>Hardware upgrades</v>
          </cell>
          <cell r="C226" t="str">
            <v>Desktops / Laptops</v>
          </cell>
        </row>
        <row r="227">
          <cell r="A227" t="str">
            <v>Desktop strategy hardware/VDI mix</v>
          </cell>
          <cell r="C227" t="str">
            <v>Desktops/ Laptops</v>
          </cell>
        </row>
        <row r="228">
          <cell r="A228" t="str">
            <v>Notebooks &amp; Tablets</v>
          </cell>
          <cell r="C228" t="str">
            <v>Desktops/ Laptops</v>
          </cell>
        </row>
        <row r="229">
          <cell r="A229" t="str">
            <v>PC Refresh</v>
          </cell>
          <cell r="C229" t="str">
            <v>Desktops/ Laptops</v>
          </cell>
        </row>
        <row r="230">
          <cell r="A230" t="str">
            <v>PC Refresh</v>
          </cell>
          <cell r="C230" t="str">
            <v>Desktops/ Laptops</v>
          </cell>
        </row>
        <row r="231">
          <cell r="A231" t="str">
            <v>PC Refresh</v>
          </cell>
          <cell r="C231" t="str">
            <v>Desktops/ Laptops</v>
          </cell>
        </row>
        <row r="232">
          <cell r="A232" t="str">
            <v>PC Refresh</v>
          </cell>
          <cell r="C232" t="str">
            <v>Desktops/ Laptops</v>
          </cell>
        </row>
        <row r="233">
          <cell r="A233" t="str">
            <v>PC Refresh</v>
          </cell>
          <cell r="C233" t="str">
            <v>Desktops/ Laptops</v>
          </cell>
        </row>
        <row r="234">
          <cell r="A234" t="str">
            <v>PC replacements</v>
          </cell>
          <cell r="C234" t="str">
            <v>Desktops/ Laptops</v>
          </cell>
        </row>
        <row r="235">
          <cell r="A235" t="str">
            <v>PCs</v>
          </cell>
          <cell r="C235" t="str">
            <v>Desktops/ Laptops</v>
          </cell>
        </row>
        <row r="236">
          <cell r="A236" t="str">
            <v>PCs</v>
          </cell>
          <cell r="C236" t="str">
            <v>Desktops/ Laptops</v>
          </cell>
        </row>
        <row r="237">
          <cell r="A237" t="str">
            <v>PCs, Notebooks</v>
          </cell>
          <cell r="C237" t="str">
            <v>Desktops/ Laptops</v>
          </cell>
        </row>
        <row r="238">
          <cell r="A238" t="str">
            <v>Some PC refreshing</v>
          </cell>
          <cell r="C238" t="str">
            <v>Desktops/ Laptops</v>
          </cell>
        </row>
        <row r="239">
          <cell r="A239" t="str">
            <v>Some PC updates</v>
          </cell>
          <cell r="C239" t="str">
            <v>Desktops/ Laptops</v>
          </cell>
        </row>
        <row r="240">
          <cell r="A240" t="str">
            <v>Some PC upgrades</v>
          </cell>
          <cell r="C240" t="str">
            <v>Desktops/ Laptops</v>
          </cell>
        </row>
        <row r="241">
          <cell r="A241" t="str">
            <v>Tablet integration</v>
          </cell>
          <cell r="C241" t="str">
            <v>Desktops/ Laptops</v>
          </cell>
        </row>
        <row r="242">
          <cell r="A242" t="str">
            <v>Tablet integration</v>
          </cell>
          <cell r="C242" t="str">
            <v>Desktops/ Laptops</v>
          </cell>
        </row>
        <row r="243">
          <cell r="A243" t="str">
            <v>Thinner clients</v>
          </cell>
          <cell r="C243" t="str">
            <v>Desktops/ Laptops</v>
          </cell>
        </row>
        <row r="244">
          <cell r="A244" t="str">
            <v>Workstation refresh</v>
          </cell>
          <cell r="C244" t="str">
            <v>Desktops/ Laptops</v>
          </cell>
        </row>
        <row r="245">
          <cell r="A245" t="str">
            <v>SAP Re-platform (HP Unix to Linux)</v>
          </cell>
          <cell r="C245" t="str">
            <v>Servers / Mainframe</v>
          </cell>
        </row>
        <row r="246">
          <cell r="A246" t="str">
            <v>Server updates</v>
          </cell>
          <cell r="C246" t="str">
            <v>Servers / Mainframe</v>
          </cell>
        </row>
        <row r="247">
          <cell r="A247" t="str">
            <v>Server upgrades</v>
          </cell>
          <cell r="C247" t="str">
            <v>Servers / Mainframe</v>
          </cell>
        </row>
        <row r="248">
          <cell r="A248" t="str">
            <v>Centralized disk based backup</v>
          </cell>
          <cell r="C248" t="str">
            <v>Storage</v>
          </cell>
        </row>
        <row r="249">
          <cell r="A249" t="str">
            <v>Increase to storage capacity</v>
          </cell>
          <cell r="C249" t="str">
            <v>Storage</v>
          </cell>
        </row>
        <row r="250">
          <cell r="A250" t="str">
            <v>In-House DR Infrastructure</v>
          </cell>
          <cell r="C250" t="str">
            <v>Storage</v>
          </cell>
        </row>
        <row r="251">
          <cell r="A251" t="str">
            <v>NAS</v>
          </cell>
          <cell r="C251" t="str">
            <v>Storage</v>
          </cell>
        </row>
        <row r="252">
          <cell r="A252" t="str">
            <v>Storage</v>
          </cell>
          <cell r="C252" t="str">
            <v>Storage</v>
          </cell>
        </row>
        <row r="253">
          <cell r="A253" t="str">
            <v>Storage</v>
          </cell>
          <cell r="C253" t="str">
            <v>Storage</v>
          </cell>
        </row>
        <row r="254">
          <cell r="A254" t="str">
            <v>Storage</v>
          </cell>
          <cell r="C254" t="str">
            <v>Storage</v>
          </cell>
        </row>
        <row r="255">
          <cell r="A255" t="str">
            <v>Storage</v>
          </cell>
          <cell r="C255" t="str">
            <v>Storage</v>
          </cell>
        </row>
        <row r="256">
          <cell r="A256" t="str">
            <v>Storage growth</v>
          </cell>
          <cell r="C256" t="str">
            <v>Storage</v>
          </cell>
        </row>
        <row r="257">
          <cell r="A257" t="str">
            <v>Storage products</v>
          </cell>
          <cell r="C257" t="str">
            <v>Storage</v>
          </cell>
        </row>
        <row r="258">
          <cell r="A258" t="str">
            <v>Device interfaces</v>
          </cell>
          <cell r="D258" t="str">
            <v>Handheld Devices</v>
          </cell>
        </row>
        <row r="259">
          <cell r="A259" t="str">
            <v>Handhelds, tablets</v>
          </cell>
          <cell r="D259" t="str">
            <v>Handheld Devices</v>
          </cell>
        </row>
        <row r="260">
          <cell r="A260" t="str">
            <v>Integration of employee owned devices</v>
          </cell>
          <cell r="D260" t="str">
            <v>Handheld Devices</v>
          </cell>
        </row>
        <row r="261">
          <cell r="A261" t="str">
            <v>Mobile devices</v>
          </cell>
          <cell r="D261" t="str">
            <v>Handheld Devices</v>
          </cell>
        </row>
        <row r="262">
          <cell r="A262" t="str">
            <v>Tablets</v>
          </cell>
          <cell r="D262" t="str">
            <v>Handheld Devices</v>
          </cell>
        </row>
        <row r="263">
          <cell r="A263" t="str">
            <v>Tablets</v>
          </cell>
          <cell r="D263" t="str">
            <v>Handheld Devices</v>
          </cell>
        </row>
        <row r="264">
          <cell r="A264" t="str">
            <v>Tablets</v>
          </cell>
          <cell r="D264" t="str">
            <v>Handheld Devices</v>
          </cell>
        </row>
        <row r="265">
          <cell r="A265" t="str">
            <v>Tablets</v>
          </cell>
          <cell r="D265" t="str">
            <v>Handheld Devices</v>
          </cell>
        </row>
        <row r="266">
          <cell r="A266" t="str">
            <v>Tablets</v>
          </cell>
          <cell r="D266" t="str">
            <v>Handheld Devices</v>
          </cell>
        </row>
        <row r="267">
          <cell r="A267" t="str">
            <v>Tablets</v>
          </cell>
          <cell r="D267" t="str">
            <v>Handheld Devices</v>
          </cell>
        </row>
        <row r="268">
          <cell r="A268" t="str">
            <v>Tablets</v>
          </cell>
          <cell r="D268" t="str">
            <v>Handheld Devices</v>
          </cell>
        </row>
        <row r="269">
          <cell r="A269" t="str">
            <v xml:space="preserve">Tablets </v>
          </cell>
          <cell r="D269" t="str">
            <v>Handheld Devices</v>
          </cell>
        </row>
        <row r="270">
          <cell r="A270" t="str">
            <v xml:space="preserve">Tablets  </v>
          </cell>
          <cell r="D270" t="str">
            <v>Handheld Devices</v>
          </cell>
        </row>
        <row r="271">
          <cell r="A271" t="str">
            <v>iPAD App</v>
          </cell>
          <cell r="D271" t="str">
            <v>Mobile Applications</v>
          </cell>
        </row>
        <row r="272">
          <cell r="A272" t="str">
            <v>Mobile application</v>
          </cell>
          <cell r="D272" t="str">
            <v>Mobile Applications</v>
          </cell>
        </row>
        <row r="273">
          <cell r="A273" t="str">
            <v>Mobile applications</v>
          </cell>
          <cell r="D273" t="str">
            <v>Mobile Applications</v>
          </cell>
        </row>
        <row r="274">
          <cell r="A274" t="str">
            <v>Mobile apps</v>
          </cell>
          <cell r="D274" t="str">
            <v>Mobile Applications</v>
          </cell>
        </row>
        <row r="275">
          <cell r="A275" t="str">
            <v>Mobile apps</v>
          </cell>
          <cell r="D275" t="str">
            <v>Mobile Applications</v>
          </cell>
        </row>
        <row r="276">
          <cell r="A276" t="str">
            <v>Mobile apps</v>
          </cell>
          <cell r="D276" t="str">
            <v>Mobile Applications</v>
          </cell>
        </row>
        <row r="277">
          <cell r="A277" t="str">
            <v>Mobile apps</v>
          </cell>
          <cell r="D277" t="str">
            <v>Mobile Applications</v>
          </cell>
        </row>
        <row r="278">
          <cell r="A278" t="str">
            <v>Improve voice systems</v>
          </cell>
          <cell r="D278" t="str">
            <v>PBX</v>
          </cell>
        </row>
        <row r="279">
          <cell r="A279" t="str">
            <v>Outbound Dialing</v>
          </cell>
          <cell r="D279" t="str">
            <v>PBX</v>
          </cell>
        </row>
        <row r="280">
          <cell r="A280" t="str">
            <v>Bandwidth</v>
          </cell>
          <cell r="D280" t="str">
            <v>Switching</v>
          </cell>
        </row>
        <row r="281">
          <cell r="A281" t="str">
            <v>Connectivity</v>
          </cell>
          <cell r="D281" t="str">
            <v>Switching</v>
          </cell>
        </row>
        <row r="282">
          <cell r="A282" t="str">
            <v>Increasing access speeds</v>
          </cell>
          <cell r="D282" t="str">
            <v>Switching</v>
          </cell>
        </row>
        <row r="283">
          <cell r="A283" t="str">
            <v>Network bandwidth</v>
          </cell>
          <cell r="D283" t="str">
            <v>Switching</v>
          </cell>
        </row>
        <row r="284">
          <cell r="A284" t="str">
            <v>Network capacity</v>
          </cell>
          <cell r="D284" t="str">
            <v>Switching</v>
          </cell>
        </row>
        <row r="285">
          <cell r="A285" t="str">
            <v>Network filtering</v>
          </cell>
          <cell r="D285" t="str">
            <v>Switching</v>
          </cell>
        </row>
        <row r="286">
          <cell r="A286" t="str">
            <v>Network updates</v>
          </cell>
          <cell r="D286" t="str">
            <v>Switching</v>
          </cell>
        </row>
        <row r="287">
          <cell r="A287" t="str">
            <v>Network upgrades</v>
          </cell>
          <cell r="D287" t="str">
            <v>Switching</v>
          </cell>
        </row>
        <row r="288">
          <cell r="A288" t="str">
            <v>Network upgrades</v>
          </cell>
          <cell r="D288" t="str">
            <v>Switching</v>
          </cell>
        </row>
        <row r="289">
          <cell r="A289" t="str">
            <v>Network upgrades</v>
          </cell>
          <cell r="D289" t="str">
            <v>Switching</v>
          </cell>
        </row>
        <row r="290">
          <cell r="A290" t="str">
            <v>Network upgrades</v>
          </cell>
          <cell r="D290" t="str">
            <v>Switching</v>
          </cell>
        </row>
        <row r="291">
          <cell r="A291" t="str">
            <v>Network upgrades</v>
          </cell>
          <cell r="D291" t="str">
            <v>Switching</v>
          </cell>
        </row>
        <row r="292">
          <cell r="A292" t="str">
            <v>Network upgrades</v>
          </cell>
          <cell r="D292" t="str">
            <v>Switching</v>
          </cell>
        </row>
        <row r="293">
          <cell r="A293" t="str">
            <v>Network upgrades</v>
          </cell>
          <cell r="D293" t="str">
            <v>Switching</v>
          </cell>
        </row>
        <row r="294">
          <cell r="A294" t="str">
            <v>Telecommunications/networking</v>
          </cell>
          <cell r="D294" t="str">
            <v>Switching</v>
          </cell>
        </row>
        <row r="295">
          <cell r="A295" t="str">
            <v>WAN capacity</v>
          </cell>
          <cell r="D295" t="str">
            <v>Switching</v>
          </cell>
        </row>
        <row r="296">
          <cell r="A296" t="str">
            <v>Video conferencing</v>
          </cell>
          <cell r="D296" t="str">
            <v>Video</v>
          </cell>
        </row>
        <row r="297">
          <cell r="A297" t="str">
            <v>VoIP</v>
          </cell>
          <cell r="D297" t="str">
            <v>VoIP</v>
          </cell>
        </row>
        <row r="298">
          <cell r="A298" t="str">
            <v>VoIP</v>
          </cell>
          <cell r="D298" t="str">
            <v>VoIP</v>
          </cell>
        </row>
        <row r="299">
          <cell r="A299" t="str">
            <v>VoIP</v>
          </cell>
          <cell r="D299" t="str">
            <v>VoIP</v>
          </cell>
        </row>
        <row r="300">
          <cell r="A300" t="str">
            <v>VoIP</v>
          </cell>
          <cell r="D300" t="str">
            <v>VoIP</v>
          </cell>
        </row>
        <row r="301">
          <cell r="A301" t="str">
            <v>VoIP</v>
          </cell>
          <cell r="D301" t="str">
            <v>VoIP</v>
          </cell>
        </row>
        <row r="302">
          <cell r="A302" t="str">
            <v xml:space="preserve">VoIP  </v>
          </cell>
          <cell r="D302" t="str">
            <v>VoIP</v>
          </cell>
        </row>
        <row r="303">
          <cell r="A303" t="str">
            <v>Access for people in the field</v>
          </cell>
          <cell r="D303" t="str">
            <v>VPN &amp; Remote Access</v>
          </cell>
        </row>
        <row r="304">
          <cell r="A304" t="str">
            <v>Better intigration with remote email access</v>
          </cell>
          <cell r="D304" t="str">
            <v>VPN &amp; Remote Access</v>
          </cell>
        </row>
        <row r="305">
          <cell r="A305" t="str">
            <v>Getting data available remotely</v>
          </cell>
          <cell r="D305" t="str">
            <v>VPN &amp; Remote Access</v>
          </cell>
        </row>
        <row r="306">
          <cell r="A306" t="str">
            <v>Improving access for new devices</v>
          </cell>
          <cell r="D306" t="str">
            <v>VPN &amp; Remote Access</v>
          </cell>
        </row>
        <row r="307">
          <cell r="A307" t="str">
            <v>Mobility</v>
          </cell>
          <cell r="D307" t="str">
            <v>VPN &amp; Remote Access</v>
          </cell>
        </row>
        <row r="308">
          <cell r="A308" t="str">
            <v>Mobility initiatives</v>
          </cell>
          <cell r="D308" t="str">
            <v>VPN &amp; Remote Access</v>
          </cell>
        </row>
        <row r="309">
          <cell r="A309" t="str">
            <v>Remote access</v>
          </cell>
          <cell r="D309" t="str">
            <v>VPN &amp; Remote Access</v>
          </cell>
        </row>
        <row r="310">
          <cell r="A310" t="str">
            <v>Remote access</v>
          </cell>
          <cell r="D310" t="str">
            <v>VPN &amp; Remote Access</v>
          </cell>
        </row>
        <row r="311">
          <cell r="A311" t="str">
            <v>Remote access</v>
          </cell>
          <cell r="D311" t="str">
            <v>VPN &amp; Remote Access</v>
          </cell>
        </row>
        <row r="312">
          <cell r="A312" t="str">
            <v>Remote access</v>
          </cell>
          <cell r="D312" t="str">
            <v>VPN &amp; Remote Access</v>
          </cell>
        </row>
        <row r="313">
          <cell r="A313" t="str">
            <v>Remote access</v>
          </cell>
          <cell r="D313" t="str">
            <v>VPN &amp; Remote Access</v>
          </cell>
        </row>
        <row r="314">
          <cell r="A314" t="str">
            <v>Remote access</v>
          </cell>
          <cell r="D314" t="str">
            <v>VPN &amp; Remote Access</v>
          </cell>
        </row>
        <row r="315">
          <cell r="A315" t="str">
            <v>Automation to enable BPO</v>
          </cell>
          <cell r="E315" t="str">
            <v>BPO</v>
          </cell>
        </row>
        <row r="316">
          <cell r="A316" t="str">
            <v>Remote call center</v>
          </cell>
          <cell r="E316" t="str">
            <v>BPO</v>
          </cell>
        </row>
        <row r="317">
          <cell r="A317" t="str">
            <v>Consulting</v>
          </cell>
          <cell r="E317" t="str">
            <v>Consulting</v>
          </cell>
        </row>
        <row r="318">
          <cell r="A318" t="str">
            <v>Services</v>
          </cell>
          <cell r="E318" t="str">
            <v>Consulting</v>
          </cell>
        </row>
        <row r="319">
          <cell r="A319" t="str">
            <v>Expanded Outsourcing Scope</v>
          </cell>
          <cell r="E319" t="str">
            <v>IT Outsourcing</v>
          </cell>
        </row>
        <row r="320">
          <cell r="A320" t="str">
            <v>Increasing use of outside data centers</v>
          </cell>
          <cell r="E320" t="str">
            <v>IT Outsourcing</v>
          </cell>
        </row>
        <row r="321">
          <cell r="A321" t="str">
            <v>More use of offshore app development</v>
          </cell>
          <cell r="E321" t="str">
            <v>IT Outsourcing</v>
          </cell>
        </row>
        <row r="322">
          <cell r="A322" t="str">
            <v>Moving some data to third party servers</v>
          </cell>
          <cell r="E322" t="str">
            <v>IT Outsourcing</v>
          </cell>
        </row>
        <row r="323">
          <cell r="A323" t="str">
            <v>Third party hosting</v>
          </cell>
          <cell r="E323" t="str">
            <v>IT Outsourcing</v>
          </cell>
        </row>
        <row r="324">
          <cell r="A324" t="str">
            <v>Use of offshore services</v>
          </cell>
          <cell r="E324" t="str">
            <v>IT Outsourcing</v>
          </cell>
        </row>
        <row r="328">
          <cell r="A328" t="str">
            <v>Back office machines</v>
          </cell>
        </row>
        <row r="329">
          <cell r="A329" t="str">
            <v>Backlogged projects</v>
          </cell>
        </row>
        <row r="330">
          <cell r="A330" t="str">
            <v>Becoming ever more digital</v>
          </cell>
        </row>
        <row r="331">
          <cell r="A331" t="str">
            <v>Becoming more efficient</v>
          </cell>
        </row>
        <row r="332">
          <cell r="A332" t="str">
            <v>NA / No Increase</v>
          </cell>
        </row>
        <row r="333">
          <cell r="A333" t="str">
            <v>NA / No Increase</v>
          </cell>
        </row>
        <row r="334">
          <cell r="A334" t="str">
            <v>NA / No Increase</v>
          </cell>
        </row>
        <row r="335">
          <cell r="A335" t="str">
            <v>NA / No Increase</v>
          </cell>
        </row>
        <row r="336">
          <cell r="A336" t="str">
            <v>NA / No Increase</v>
          </cell>
        </row>
        <row r="337">
          <cell r="A337" t="str">
            <v>NA / No Increase</v>
          </cell>
        </row>
        <row r="338">
          <cell r="A338" t="str">
            <v>NA / No Increase</v>
          </cell>
        </row>
        <row r="339">
          <cell r="A339" t="str">
            <v>NA / No Increase</v>
          </cell>
        </row>
        <row r="340">
          <cell r="A340" t="str">
            <v>NA / No Increase</v>
          </cell>
        </row>
        <row r="341">
          <cell r="A341" t="str">
            <v>NA / No Increase</v>
          </cell>
        </row>
        <row r="342">
          <cell r="A342" t="str">
            <v>NA / No Increase</v>
          </cell>
        </row>
        <row r="343">
          <cell r="A343" t="str">
            <v>NA / No Increase</v>
          </cell>
        </row>
        <row r="344">
          <cell r="A344" t="str">
            <v>NA / No Increase</v>
          </cell>
        </row>
        <row r="345">
          <cell r="A345" t="str">
            <v>NA / No Increase</v>
          </cell>
        </row>
        <row r="346">
          <cell r="A346" t="str">
            <v>NA / No Increase</v>
          </cell>
        </row>
        <row r="347">
          <cell r="A347" t="str">
            <v>NA / No Increase</v>
          </cell>
        </row>
        <row r="348">
          <cell r="A348" t="str">
            <v>NA / No Increase</v>
          </cell>
        </row>
        <row r="349">
          <cell r="A349" t="str">
            <v>NA / No Increase</v>
          </cell>
        </row>
        <row r="350">
          <cell r="A350" t="str">
            <v>NA / No Increase</v>
          </cell>
        </row>
        <row r="351">
          <cell r="A351" t="str">
            <v>NA / No Increase</v>
          </cell>
        </row>
        <row r="352">
          <cell r="A352" t="str">
            <v>NA / No Increase</v>
          </cell>
        </row>
        <row r="353">
          <cell r="A353" t="str">
            <v>NA / No Increase</v>
          </cell>
        </row>
        <row r="354">
          <cell r="A354" t="str">
            <v>NA / No Increase</v>
          </cell>
        </row>
        <row r="355">
          <cell r="A355" t="str">
            <v>NA / No Increase</v>
          </cell>
        </row>
        <row r="356">
          <cell r="A356" t="str">
            <v>Creating more user access</v>
          </cell>
        </row>
        <row r="357">
          <cell r="A357" t="str">
            <v>Infrastructure</v>
          </cell>
        </row>
        <row r="358">
          <cell r="A358" t="str">
            <v>Improve efficiencies</v>
          </cell>
        </row>
        <row r="359">
          <cell r="A359" t="str">
            <v>Improve user access</v>
          </cell>
        </row>
        <row r="360">
          <cell r="A360" t="str">
            <v>Improving departmental efficiency</v>
          </cell>
        </row>
        <row r="361">
          <cell r="A361" t="str">
            <v>Improving utilization rates</v>
          </cell>
        </row>
        <row r="362">
          <cell r="A362" t="str">
            <v>Increasing data speeds</v>
          </cell>
        </row>
        <row r="363">
          <cell r="A363" t="str">
            <v>Infrastructure for new plants</v>
          </cell>
        </row>
        <row r="364">
          <cell r="A364" t="str">
            <v>Less footprint</v>
          </cell>
        </row>
        <row r="365">
          <cell r="A365" t="str">
            <v>Less footprint</v>
          </cell>
        </row>
        <row r="366">
          <cell r="A366" t="str">
            <v>Mostly cost cutting</v>
          </cell>
        </row>
        <row r="367">
          <cell r="A367" t="str">
            <v>Mostly cutting costs</v>
          </cell>
        </row>
        <row r="368">
          <cell r="A368" t="str">
            <v>New acquistions</v>
          </cell>
        </row>
        <row r="369">
          <cell r="A369" t="str">
            <v xml:space="preserve">Process Review </v>
          </cell>
        </row>
        <row r="370">
          <cell r="A370" t="str">
            <v>Reducing data center power consumption</v>
          </cell>
        </row>
      </sheetData>
      <sheetData sheetId="1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Multiples"/>
      <sheetName val="Valuation Charts"/>
      <sheetName val="MWare_Cached"/>
      <sheetName val="__FDSCACHE__"/>
      <sheetName val="Financials"/>
      <sheetName val="Performance"/>
      <sheetName val="Performance Chart"/>
      <sheetName val="Quarterly Consensus"/>
      <sheetName val="Annual Consensus"/>
      <sheetName val="NetCash"/>
      <sheetName val="Disclaimers"/>
      <sheetName val="PrintInstructions"/>
      <sheetName val="PT Chart"/>
    </sheetNames>
    <sheetDataSet>
      <sheetData sheetId="0" refreshError="1">
        <row r="1">
          <cell r="A1" t="str">
            <v>E</v>
          </cell>
        </row>
        <row r="2">
          <cell r="A2" t="str">
            <v>US Enterprise Hardware Industry</v>
          </cell>
        </row>
        <row r="3">
          <cell r="A3" t="str">
            <v>Peer Group Valuation and Estimates</v>
          </cell>
          <cell r="H3" t="str">
            <v>All data as of 3/27/2007</v>
          </cell>
        </row>
        <row r="6">
          <cell r="A6" t="str">
            <v>Table of Contents</v>
          </cell>
          <cell r="F6" t="str">
            <v>Contacts</v>
          </cell>
          <cell r="G6" t="str">
            <v>Phone</v>
          </cell>
          <cell r="H6" t="str">
            <v>Email</v>
          </cell>
        </row>
        <row r="7">
          <cell r="A7">
            <v>1</v>
          </cell>
          <cell r="B7" t="str">
            <v>Cover Page</v>
          </cell>
          <cell r="F7" t="str">
            <v>Enterprise Hardware Team</v>
          </cell>
        </row>
        <row r="8">
          <cell r="A8" t="str">
            <v>2-4</v>
          </cell>
          <cell r="B8" t="str">
            <v>Multiples</v>
          </cell>
          <cell r="F8" t="str">
            <v>Kathryn Huberty</v>
          </cell>
          <cell r="G8" t="str">
            <v>212-761-6249</v>
          </cell>
          <cell r="H8" t="str">
            <v>kathryn.huberty@morganstanley.com</v>
          </cell>
        </row>
        <row r="9">
          <cell r="A9">
            <v>5</v>
          </cell>
          <cell r="B9" t="str">
            <v>Valuation Charts</v>
          </cell>
          <cell r="F9" t="str">
            <v>Alice Hur</v>
          </cell>
          <cell r="G9" t="str">
            <v>212-761-3735</v>
          </cell>
          <cell r="H9" t="str">
            <v>alice.hur@morganstanley.com</v>
          </cell>
        </row>
        <row r="10">
          <cell r="A10">
            <v>6</v>
          </cell>
          <cell r="B10" t="str">
            <v>Revenue and Earnings Estimates</v>
          </cell>
          <cell r="F10" t="str">
            <v>Scott Schmitz</v>
          </cell>
          <cell r="G10" t="str">
            <v>212-761-3735</v>
          </cell>
          <cell r="H10" t="str">
            <v>scott.schmitz@morganstanley.com</v>
          </cell>
        </row>
        <row r="11">
          <cell r="A11">
            <v>7</v>
          </cell>
          <cell r="B11" t="str">
            <v>Revenue and Earnings Growth</v>
          </cell>
          <cell r="F11" t="str">
            <v>Mark Snyder</v>
          </cell>
          <cell r="G11" t="str">
            <v>212-761-6435</v>
          </cell>
          <cell r="H11" t="str">
            <v>mark.snyder@morganstanley.com</v>
          </cell>
        </row>
        <row r="12">
          <cell r="A12">
            <v>8</v>
          </cell>
          <cell r="B12" t="str">
            <v>Performance History</v>
          </cell>
        </row>
        <row r="13">
          <cell r="A13">
            <v>9</v>
          </cell>
          <cell r="B13" t="str">
            <v>Performance Charts</v>
          </cell>
        </row>
        <row r="14">
          <cell r="A14">
            <v>10</v>
          </cell>
          <cell r="B14" t="str">
            <v>Annual Consensus vs. Morgan Stanley Estimates</v>
          </cell>
        </row>
        <row r="15">
          <cell r="A15">
            <v>11</v>
          </cell>
          <cell r="B15" t="str">
            <v>Quarterly Consensus vs. Morgan Stanley Estimates</v>
          </cell>
        </row>
        <row r="19">
          <cell r="A19" t="str">
            <v>Coverage Universe</v>
          </cell>
        </row>
        <row r="21">
          <cell r="A21" t="str">
            <v>Enterprise and PC Hardware:</v>
          </cell>
        </row>
        <row r="44">
          <cell r="A44" t="str">
            <v>Enterprise Storage:</v>
          </cell>
        </row>
        <row r="53">
          <cell r="A53" t="str">
            <v xml:space="preserve">Additional information on securities recommended in the attached valuation tables is available on request. </v>
          </cell>
        </row>
        <row r="54">
          <cell r="A54" t="str">
            <v>Please refer to the relevant equity research reports and the important disclosures within before forming any investment opinion whatsoever.</v>
          </cell>
        </row>
        <row r="55">
          <cell r="A55" t="str">
            <v>To receive the firm's equity research reports contact your Morgan Stanley representative or see https://secure.ms.com/servlet/cls.</v>
          </cell>
        </row>
      </sheetData>
      <sheetData sheetId="1" refreshError="1">
        <row r="1">
          <cell r="AJ1" t="str">
            <v>US Enterprise Hardware Team</v>
          </cell>
        </row>
        <row r="2">
          <cell r="AI2" t="str">
            <v>Last Updated:</v>
          </cell>
          <cell r="AJ2">
            <v>39168</v>
          </cell>
        </row>
        <row r="3">
          <cell r="A3" t="str">
            <v>Comparables</v>
          </cell>
        </row>
        <row r="5">
          <cell r="N5" t="str">
            <v>EV/Sales</v>
          </cell>
          <cell r="T5" t="str">
            <v>P/E Ratio</v>
          </cell>
          <cell r="Z5" t="str">
            <v>Rel P/E</v>
          </cell>
          <cell r="AE5" t="str">
            <v>PEG</v>
          </cell>
          <cell r="AI5" t="str">
            <v>Net Cash</v>
          </cell>
          <cell r="AM5" t="str">
            <v>SPX</v>
          </cell>
        </row>
        <row r="6">
          <cell r="F6" t="str">
            <v>Price</v>
          </cell>
          <cell r="H6" t="str">
            <v>Shares</v>
          </cell>
          <cell r="J6" t="str">
            <v>Market</v>
          </cell>
          <cell r="K6" t="str">
            <v>Enterprise</v>
          </cell>
          <cell r="L6" t="str">
            <v>EV as</v>
          </cell>
          <cell r="AJ6" t="str">
            <v>Per Shs</v>
          </cell>
          <cell r="AM6" t="str">
            <v>Price</v>
          </cell>
          <cell r="AO6" t="str">
            <v>EPS</v>
          </cell>
          <cell r="AT6" t="str">
            <v>P/E</v>
          </cell>
        </row>
        <row r="7">
          <cell r="A7" t="str">
            <v>Ticker</v>
          </cell>
          <cell r="C7" t="str">
            <v>Company</v>
          </cell>
          <cell r="D7" t="str">
            <v>FY</v>
          </cell>
          <cell r="E7" t="str">
            <v>Price</v>
          </cell>
          <cell r="F7" t="str">
            <v>Target</v>
          </cell>
          <cell r="G7" t="str">
            <v>Rating</v>
          </cell>
          <cell r="H7" t="str">
            <v>Out.</v>
          </cell>
          <cell r="J7" t="str">
            <v>Cap.</v>
          </cell>
          <cell r="K7" t="str">
            <v>Value</v>
          </cell>
          <cell r="L7" t="str">
            <v>% of MC</v>
          </cell>
          <cell r="M7">
            <v>2004</v>
          </cell>
          <cell r="N7">
            <v>2005</v>
          </cell>
          <cell r="O7" t="str">
            <v>2006E</v>
          </cell>
          <cell r="P7" t="str">
            <v>2007E</v>
          </cell>
          <cell r="Q7" t="str">
            <v>2008E</v>
          </cell>
          <cell r="S7">
            <v>2004</v>
          </cell>
          <cell r="T7">
            <v>2005</v>
          </cell>
          <cell r="U7" t="str">
            <v>2006E</v>
          </cell>
          <cell r="V7" t="str">
            <v>2007E</v>
          </cell>
          <cell r="W7" t="str">
            <v>2008E</v>
          </cell>
          <cell r="Y7" t="str">
            <v>2005E</v>
          </cell>
          <cell r="Z7" t="str">
            <v>2006E</v>
          </cell>
          <cell r="AA7" t="str">
            <v>2007E</v>
          </cell>
          <cell r="AB7" t="str">
            <v>2008E</v>
          </cell>
          <cell r="AD7">
            <v>2005</v>
          </cell>
          <cell r="AE7" t="str">
            <v>2006E</v>
          </cell>
          <cell r="AF7" t="str">
            <v>2007E</v>
          </cell>
          <cell r="AG7" t="str">
            <v>2008E</v>
          </cell>
          <cell r="AI7" t="str">
            <v>Current</v>
          </cell>
          <cell r="AJ7" t="str">
            <v>Current</v>
          </cell>
          <cell r="AM7">
            <v>39168.765763194446</v>
          </cell>
          <cell r="AN7">
            <v>2003</v>
          </cell>
          <cell r="AO7">
            <v>2004</v>
          </cell>
          <cell r="AP7">
            <v>2005</v>
          </cell>
          <cell r="AQ7" t="str">
            <v>2006E</v>
          </cell>
          <cell r="AR7" t="str">
            <v>2007E</v>
          </cell>
          <cell r="AS7" t="str">
            <v>2008E</v>
          </cell>
          <cell r="AT7" t="str">
            <v>2004E</v>
          </cell>
          <cell r="AU7" t="str">
            <v>2005E</v>
          </cell>
          <cell r="AV7" t="str">
            <v>2006E</v>
          </cell>
          <cell r="AW7" t="str">
            <v>2007E</v>
          </cell>
          <cell r="AX7" t="str">
            <v>2008E</v>
          </cell>
        </row>
        <row r="8">
          <cell r="A8" t="str">
            <v>Systems Hardware</v>
          </cell>
        </row>
        <row r="9">
          <cell r="A9" t="str">
            <v>DELL</v>
          </cell>
          <cell r="B9" t="str">
            <v>DELL.O</v>
          </cell>
          <cell r="C9" t="str">
            <v>Dell Computer Corp.</v>
          </cell>
          <cell r="D9" t="str">
            <v>01/07</v>
          </cell>
          <cell r="E9">
            <v>22.53</v>
          </cell>
          <cell r="F9">
            <v>30</v>
          </cell>
          <cell r="G9" t="str">
            <v>Overweight</v>
          </cell>
          <cell r="H9">
            <v>2280</v>
          </cell>
          <cell r="J9">
            <v>51368.4</v>
          </cell>
          <cell r="K9">
            <v>48813.672812920595</v>
          </cell>
          <cell r="L9">
            <v>0.95026656101651197</v>
          </cell>
          <cell r="M9">
            <v>0.9920437789923473</v>
          </cell>
          <cell r="N9">
            <v>0.87311178279583823</v>
          </cell>
          <cell r="O9">
            <v>0.85497131287410255</v>
          </cell>
          <cell r="P9">
            <v>0.83330122910694415</v>
          </cell>
          <cell r="Q9">
            <v>0.77319392147105814</v>
          </cell>
          <cell r="S9">
            <v>17.413912091594721</v>
          </cell>
          <cell r="T9">
            <v>14.510063387002294</v>
          </cell>
          <cell r="U9">
            <v>20.37803615600205</v>
          </cell>
          <cell r="V9">
            <v>16.491984906520468</v>
          </cell>
          <cell r="W9">
            <v>13.577285975569277</v>
          </cell>
          <cell r="Y9">
            <v>0.78446116430219215</v>
          </cell>
          <cell r="Z9">
            <v>1.245698341853783</v>
          </cell>
          <cell r="AA9">
            <v>1.0636672193667784</v>
          </cell>
          <cell r="AB9" t="e">
            <v>#DIV/0!</v>
          </cell>
          <cell r="AD9" t="str">
            <v>NM</v>
          </cell>
          <cell r="AE9" t="str">
            <v>NM</v>
          </cell>
          <cell r="AF9" t="str">
            <v>NM</v>
          </cell>
          <cell r="AG9" t="str">
            <v>NM</v>
          </cell>
          <cell r="AI9">
            <v>14717.262922820901</v>
          </cell>
          <cell r="AJ9">
            <v>6.4549398784302197</v>
          </cell>
          <cell r="AK9">
            <v>0.28650421120418196</v>
          </cell>
          <cell r="AM9">
            <v>1410.94</v>
          </cell>
          <cell r="AN9" t="str">
            <v/>
          </cell>
          <cell r="AO9">
            <v>67.099999999999994</v>
          </cell>
          <cell r="AP9">
            <v>76.28</v>
          </cell>
          <cell r="AQ9">
            <v>86.25</v>
          </cell>
          <cell r="AR9">
            <v>91</v>
          </cell>
          <cell r="AT9">
            <v>21.027421758569304</v>
          </cell>
          <cell r="AU9">
            <v>18.496853696906136</v>
          </cell>
          <cell r="AV9">
            <v>16.35872463768116</v>
          </cell>
          <cell r="AW9">
            <v>15.504835164835166</v>
          </cell>
        </row>
        <row r="10">
          <cell r="A10" t="str">
            <v>HPQ</v>
          </cell>
          <cell r="B10" t="str">
            <v>HPQ.N</v>
          </cell>
          <cell r="C10" t="str">
            <v>Hewlett-Packard Co.</v>
          </cell>
          <cell r="D10" t="str">
            <v>10/06</v>
          </cell>
          <cell r="E10">
            <v>39.61</v>
          </cell>
          <cell r="F10" t="str">
            <v>NA</v>
          </cell>
          <cell r="G10" t="str">
            <v>Equal-Weight</v>
          </cell>
          <cell r="H10">
            <v>2692</v>
          </cell>
          <cell r="J10">
            <v>106630.12</v>
          </cell>
          <cell r="K10">
            <v>98832.475219963046</v>
          </cell>
          <cell r="L10">
            <v>0.92687202471462149</v>
          </cell>
          <cell r="M10">
            <v>1.2075553926185971</v>
          </cell>
          <cell r="N10">
            <v>1.1243582505492269</v>
          </cell>
          <cell r="O10">
            <v>1.0505043418324924</v>
          </cell>
          <cell r="P10">
            <v>0.9961159059296083</v>
          </cell>
          <cell r="Q10">
            <v>0.95189195845423746</v>
          </cell>
          <cell r="S10">
            <v>29.326467121109218</v>
          </cell>
          <cell r="T10">
            <v>23.983989273292444</v>
          </cell>
          <cell r="U10">
            <v>17.200565993035568</v>
          </cell>
          <cell r="V10">
            <v>14.932767916781</v>
          </cell>
          <cell r="W10">
            <v>13.216567134577078</v>
          </cell>
          <cell r="Y10">
            <v>1.296652374847086</v>
          </cell>
          <cell r="Z10">
            <v>1.0514613072840218</v>
          </cell>
          <cell r="AA10">
            <v>0.9631039451904907</v>
          </cell>
          <cell r="AB10" t="e">
            <v>#DIV/0!</v>
          </cell>
          <cell r="AD10">
            <v>0.89715969167362741</v>
          </cell>
          <cell r="AE10">
            <v>0.64341483424976798</v>
          </cell>
          <cell r="AF10">
            <v>0.55858419995924091</v>
          </cell>
          <cell r="AG10">
            <v>0.49438694957409923</v>
          </cell>
          <cell r="AI10">
            <v>5006</v>
          </cell>
          <cell r="AJ10">
            <v>1.8595839524517088</v>
          </cell>
          <cell r="AK10">
            <v>4.6947335330767705E-2</v>
          </cell>
        </row>
        <row r="11">
          <cell r="A11" t="str">
            <v>IBM</v>
          </cell>
          <cell r="B11" t="str">
            <v>IBM.N</v>
          </cell>
          <cell r="C11" t="str">
            <v>International Business Machines Corp.</v>
          </cell>
          <cell r="D11" t="str">
            <v>12/06</v>
          </cell>
          <cell r="E11">
            <v>94.5</v>
          </cell>
          <cell r="F11">
            <v>105</v>
          </cell>
          <cell r="G11" t="str">
            <v>Overweight</v>
          </cell>
          <cell r="H11">
            <v>1506.4829999999999</v>
          </cell>
          <cell r="J11">
            <v>142362.64350000001</v>
          </cell>
          <cell r="K11">
            <v>138875.5106989762</v>
          </cell>
          <cell r="L11">
            <v>0.97550528203683007</v>
          </cell>
          <cell r="M11">
            <v>1.4422121873374609</v>
          </cell>
          <cell r="N11">
            <v>1.5238629398249928</v>
          </cell>
          <cell r="O11">
            <v>1.5189935109154404</v>
          </cell>
          <cell r="P11">
            <v>1.4830225013581697</v>
          </cell>
          <cell r="Q11">
            <v>1.4336057614126112</v>
          </cell>
          <cell r="S11">
            <v>20.971222682553023</v>
          </cell>
          <cell r="T11">
            <v>18.046063232712818</v>
          </cell>
          <cell r="U11">
            <v>15.743346189582278</v>
          </cell>
          <cell r="V11">
            <v>14.07162677461123</v>
          </cell>
          <cell r="W11">
            <v>12.83963192710946</v>
          </cell>
          <cell r="Y11">
            <v>0.97562880306131639</v>
          </cell>
          <cell r="Z11">
            <v>0.96238224789960691</v>
          </cell>
          <cell r="AA11">
            <v>0.90756377768694763</v>
          </cell>
          <cell r="AB11" t="e">
            <v>#DIV/0!</v>
          </cell>
          <cell r="AD11">
            <v>1.3624799079957586</v>
          </cell>
          <cell r="AE11">
            <v>1.1886244989457966</v>
          </cell>
          <cell r="AF11">
            <v>1.0624094854366104</v>
          </cell>
          <cell r="AG11">
            <v>0.96939372876827234</v>
          </cell>
          <cell r="AI11">
            <v>9694.5261622252583</v>
          </cell>
          <cell r="AJ11">
            <v>6.4352044876877192</v>
          </cell>
          <cell r="AK11">
            <v>6.8097401986113429E-2</v>
          </cell>
          <cell r="AP11" t="str">
            <v>Update above with MS Strategy Estimates (in Usstrategy, data &amp; charts)</v>
          </cell>
        </row>
        <row r="12">
          <cell r="A12" t="str">
            <v>LXK</v>
          </cell>
          <cell r="B12" t="str">
            <v>LXK.N</v>
          </cell>
          <cell r="C12" t="str">
            <v>Lexmark International Inc.</v>
          </cell>
          <cell r="D12" t="str">
            <v>12/06</v>
          </cell>
          <cell r="E12">
            <v>57.81</v>
          </cell>
          <cell r="F12" t="str">
            <v>NA</v>
          </cell>
          <cell r="G12" t="str">
            <v>Underweight</v>
          </cell>
          <cell r="H12">
            <v>97</v>
          </cell>
          <cell r="J12">
            <v>5607.5700000000006</v>
          </cell>
          <cell r="K12">
            <v>5091.6543653368071</v>
          </cell>
          <cell r="L12">
            <v>0.90799657700872327</v>
          </cell>
          <cell r="M12">
            <v>0.95832220819160729</v>
          </cell>
          <cell r="N12">
            <v>0.97515248302996393</v>
          </cell>
          <cell r="O12">
            <v>0.9969415134997679</v>
          </cell>
          <cell r="P12">
            <v>1.0247936425959325</v>
          </cell>
          <cell r="Q12">
            <v>1.0104403596738341</v>
          </cell>
          <cell r="S12">
            <v>14.02186445252466</v>
          </cell>
          <cell r="T12">
            <v>17.097786670853548</v>
          </cell>
          <cell r="U12">
            <v>14.538010599713269</v>
          </cell>
          <cell r="V12">
            <v>15.002028186270248</v>
          </cell>
          <cell r="W12">
            <v>13.13848473689027</v>
          </cell>
          <cell r="Y12">
            <v>0.92436189154231119</v>
          </cell>
          <cell r="Z12">
            <v>0.88870073442192399</v>
          </cell>
          <cell r="AA12">
            <v>0.96757095620692057</v>
          </cell>
          <cell r="AB12" t="e">
            <v>#DIV/0!</v>
          </cell>
          <cell r="AD12">
            <v>2.5305104547564254</v>
          </cell>
          <cell r="AE12">
            <v>2.1516579029873704</v>
          </cell>
          <cell r="AF12">
            <v>2.2203335378269915</v>
          </cell>
          <cell r="AG12">
            <v>1.9445249625809493</v>
          </cell>
          <cell r="AI12">
            <v>401.1</v>
          </cell>
          <cell r="AJ12">
            <v>4.135051546391753</v>
          </cell>
          <cell r="AK12">
            <v>7.152830905365426E-2</v>
          </cell>
        </row>
        <row r="13">
          <cell r="A13" t="str">
            <v>NCR</v>
          </cell>
          <cell r="B13" t="str">
            <v>NCR.N</v>
          </cell>
          <cell r="C13" t="str">
            <v>NCR Corp.</v>
          </cell>
          <cell r="D13" t="str">
            <v>12/06</v>
          </cell>
          <cell r="E13">
            <v>47.79</v>
          </cell>
          <cell r="F13" t="str">
            <v>NA</v>
          </cell>
          <cell r="G13" t="str">
            <v>Equal-Weight</v>
          </cell>
          <cell r="H13">
            <v>178.9</v>
          </cell>
          <cell r="J13">
            <v>8549.6309999999994</v>
          </cell>
          <cell r="K13">
            <v>8482.2377008403364</v>
          </cell>
          <cell r="L13">
            <v>0.99211740259203429</v>
          </cell>
          <cell r="M13">
            <v>1.4174862467981846</v>
          </cell>
          <cell r="N13">
            <v>1.4071396318580518</v>
          </cell>
          <cell r="O13">
            <v>1.3810220939173457</v>
          </cell>
          <cell r="P13">
            <v>1.3367648174348143</v>
          </cell>
          <cell r="Q13">
            <v>1.2887814046738553</v>
          </cell>
          <cell r="S13">
            <v>50.36432320441989</v>
          </cell>
          <cell r="T13">
            <v>28.242072202007126</v>
          </cell>
          <cell r="U13">
            <v>22.492580071301756</v>
          </cell>
          <cell r="V13">
            <v>19.161808647218127</v>
          </cell>
          <cell r="W13">
            <v>16.478679915057771</v>
          </cell>
          <cell r="Y13">
            <v>1.5268581708429156</v>
          </cell>
          <cell r="Z13">
            <v>1.3749592691041266</v>
          </cell>
          <cell r="AA13">
            <v>1.2358601973839067</v>
          </cell>
          <cell r="AB13" t="e">
            <v>#DIV/0!</v>
          </cell>
          <cell r="AD13">
            <v>1.319527483400017</v>
          </cell>
          <cell r="AE13">
            <v>1.0508994299132517</v>
          </cell>
          <cell r="AF13">
            <v>0.89527896397982731</v>
          </cell>
          <cell r="AG13">
            <v>0.76991769168146473</v>
          </cell>
          <cell r="AI13">
            <v>640</v>
          </cell>
          <cell r="AJ13">
            <v>3.5774175517048628</v>
          </cell>
          <cell r="AK13">
            <v>7.4857031841491159E-2</v>
          </cell>
        </row>
        <row r="14">
          <cell r="A14" t="str">
            <v>SUNW</v>
          </cell>
          <cell r="B14" t="str">
            <v>SUNW.O</v>
          </cell>
          <cell r="C14" t="str">
            <v>Sun Microsystems Inc.</v>
          </cell>
          <cell r="D14" t="str">
            <v>06/06</v>
          </cell>
          <cell r="E14">
            <v>6.2</v>
          </cell>
          <cell r="F14" t="str">
            <v>NA</v>
          </cell>
          <cell r="G14" t="str">
            <v>Equal-Weight</v>
          </cell>
          <cell r="H14">
            <v>3600.7530000000002</v>
          </cell>
          <cell r="J14">
            <v>22324.668600000001</v>
          </cell>
          <cell r="K14">
            <v>18230.864680851068</v>
          </cell>
          <cell r="L14">
            <v>0.81662420202067709</v>
          </cell>
          <cell r="M14">
            <v>1.6234896332515349</v>
          </cell>
          <cell r="N14">
            <v>1.5629544623271852</v>
          </cell>
          <cell r="O14">
            <v>1.324915659836349</v>
          </cell>
          <cell r="P14">
            <v>1.286706789042295</v>
          </cell>
          <cell r="Q14">
            <v>1.2608035618397271</v>
          </cell>
          <cell r="S14" t="str">
            <v>-</v>
          </cell>
          <cell r="T14" t="str">
            <v>-</v>
          </cell>
          <cell r="U14" t="str">
            <v>-</v>
          </cell>
          <cell r="V14">
            <v>37.714140836449396</v>
          </cell>
          <cell r="W14">
            <v>22.665253513331692</v>
          </cell>
          <cell r="Y14" t="str">
            <v>-</v>
          </cell>
          <cell r="Z14" t="str">
            <v>-</v>
          </cell>
          <cell r="AA14">
            <v>2.3054450558803068</v>
          </cell>
          <cell r="AB14">
            <v>1.3855147033359734</v>
          </cell>
          <cell r="AD14" t="str">
            <v>NM</v>
          </cell>
          <cell r="AE14" t="str">
            <v>NM</v>
          </cell>
          <cell r="AF14" t="str">
            <v>NM</v>
          </cell>
          <cell r="AG14" t="str">
            <v>NM</v>
          </cell>
          <cell r="AI14">
            <v>4269</v>
          </cell>
          <cell r="AJ14">
            <v>1.1855853483979601</v>
          </cell>
          <cell r="AK14">
            <v>0.19122344328999358</v>
          </cell>
        </row>
        <row r="15">
          <cell r="A15" t="str">
            <v>Systems HW Coverage Universe Average</v>
          </cell>
          <cell r="H15">
            <v>1725.856</v>
          </cell>
          <cell r="J15">
            <v>56140.505516666664</v>
          </cell>
          <cell r="K15">
            <v>53054.402579814683</v>
          </cell>
          <cell r="L15">
            <v>0.94502894285595995</v>
          </cell>
          <cell r="M15">
            <v>1.2735182411982886</v>
          </cell>
          <cell r="N15">
            <v>1.2444299250642097</v>
          </cell>
          <cell r="O15">
            <v>1.1878914054792495</v>
          </cell>
          <cell r="P15">
            <v>1.1601174809112942</v>
          </cell>
          <cell r="Q15">
            <v>1.1197861612542206</v>
          </cell>
          <cell r="S15">
            <v>26.4195579104403</v>
          </cell>
          <cell r="T15">
            <v>20.375994953173645</v>
          </cell>
          <cell r="U15">
            <v>18.070507801926986</v>
          </cell>
          <cell r="V15">
            <v>19.562392877975075</v>
          </cell>
          <cell r="W15">
            <v>15.31931720042259</v>
          </cell>
          <cell r="Y15">
            <v>1.1015924809191644</v>
          </cell>
          <cell r="Z15">
            <v>1.1046403801126925</v>
          </cell>
          <cell r="AA15">
            <v>1.2405351919525585</v>
          </cell>
          <cell r="AB15" t="e">
            <v>#DIV/0!</v>
          </cell>
          <cell r="AD15">
            <v>1.5274193844564572</v>
          </cell>
          <cell r="AE15">
            <v>1.2586491665240467</v>
          </cell>
          <cell r="AF15">
            <v>1.1841515468006674</v>
          </cell>
          <cell r="AG15">
            <v>1.0445558331511964</v>
          </cell>
          <cell r="AI15">
            <v>5787.9815141743602</v>
          </cell>
          <cell r="AJ15">
            <v>3.9412971275107043</v>
          </cell>
        </row>
        <row r="16">
          <cell r="A16" t="str">
            <v>Systems HW Coverage Universe Median</v>
          </cell>
          <cell r="H16">
            <v>1893.2415000000001</v>
          </cell>
          <cell r="J16">
            <v>36846.534299999999</v>
          </cell>
          <cell r="K16">
            <v>33522.268746885835</v>
          </cell>
          <cell r="L16">
            <v>0.90978078084499348</v>
          </cell>
          <cell r="M16">
            <v>1.3125208197083909</v>
          </cell>
          <cell r="N16">
            <v>1.2657489412036393</v>
          </cell>
          <cell r="O16">
            <v>1.1877100008344206</v>
          </cell>
          <cell r="P16">
            <v>1.1557502158191137</v>
          </cell>
          <cell r="Q16">
            <v>1.1356219607567806</v>
          </cell>
          <cell r="S16">
            <v>20.971222682553023</v>
          </cell>
          <cell r="T16">
            <v>18.046063232712818</v>
          </cell>
          <cell r="U16">
            <v>17.200565993035568</v>
          </cell>
          <cell r="V16">
            <v>15.747006546395358</v>
          </cell>
          <cell r="W16">
            <v>13.396926555073177</v>
          </cell>
          <cell r="Y16">
            <v>0.97562880306131639</v>
          </cell>
          <cell r="Z16">
            <v>1.0514613072840218</v>
          </cell>
          <cell r="AA16">
            <v>1.0156190877868494</v>
          </cell>
          <cell r="AB16" t="e">
            <v>#DIV/0!</v>
          </cell>
          <cell r="AD16">
            <v>1.3410036956978879</v>
          </cell>
          <cell r="AE16">
            <v>1.1197619644295242</v>
          </cell>
          <cell r="AF16">
            <v>0.97884422470821886</v>
          </cell>
          <cell r="AG16">
            <v>0.86965571022486854</v>
          </cell>
          <cell r="AI16">
            <v>4637.5</v>
          </cell>
          <cell r="AJ16">
            <v>3.8562345490483079</v>
          </cell>
        </row>
        <row r="18">
          <cell r="A18" t="str">
            <v>PC Hardware</v>
          </cell>
        </row>
        <row r="19">
          <cell r="A19" t="str">
            <v>AAPL</v>
          </cell>
          <cell r="B19" t="str">
            <v>AAPL.O</v>
          </cell>
          <cell r="C19" t="str">
            <v>Apple Computer Inc.</v>
          </cell>
          <cell r="D19" t="str">
            <v>09/06</v>
          </cell>
          <cell r="E19">
            <v>91.48</v>
          </cell>
          <cell r="F19">
            <v>110</v>
          </cell>
          <cell r="G19" t="str">
            <v>Overweight</v>
          </cell>
          <cell r="H19">
            <v>860.22</v>
          </cell>
          <cell r="J19">
            <v>78692.925600000002</v>
          </cell>
          <cell r="K19">
            <v>70917.43758168169</v>
          </cell>
          <cell r="L19">
            <v>0.90119203271407777</v>
          </cell>
          <cell r="M19">
            <v>7.2638981441853625</v>
          </cell>
          <cell r="N19">
            <v>4.3804130328329238</v>
          </cell>
          <cell r="O19">
            <v>3.4292298492402917</v>
          </cell>
          <cell r="P19">
            <v>2.7583232838003764</v>
          </cell>
          <cell r="Q19">
            <v>2.5162780570668533</v>
          </cell>
          <cell r="S19">
            <v>140.81208449173138</v>
          </cell>
          <cell r="T19">
            <v>52.914996032464259</v>
          </cell>
          <cell r="U19">
            <v>34.234508859722034</v>
          </cell>
          <cell r="V19">
            <v>25.240200386234221</v>
          </cell>
          <cell r="W19">
            <v>22.538607297114936</v>
          </cell>
          <cell r="Y19">
            <v>2.8607565859330473</v>
          </cell>
          <cell r="Z19">
            <v>2.0927370328653416</v>
          </cell>
          <cell r="AA19">
            <v>1.6278922102621756</v>
          </cell>
          <cell r="AB19" t="e">
            <v>#DIV/0!</v>
          </cell>
          <cell r="AD19">
            <v>1.1813631732083631</v>
          </cell>
          <cell r="AE19">
            <v>0.76430862802934596</v>
          </cell>
          <cell r="AF19">
            <v>0.56350459144706067</v>
          </cell>
          <cell r="AG19">
            <v>0.5031896935205511</v>
          </cell>
          <cell r="AI19">
            <v>11869</v>
          </cell>
          <cell r="AJ19">
            <v>13.797633163609309</v>
          </cell>
          <cell r="AK19">
            <v>0.15082677266735142</v>
          </cell>
        </row>
        <row r="20">
          <cell r="A20" t="str">
            <v>DELL</v>
          </cell>
          <cell r="B20" t="str">
            <v>DELL.O</v>
          </cell>
          <cell r="C20" t="str">
            <v>Dell Computer Corp.</v>
          </cell>
          <cell r="D20" t="str">
            <v>01/07</v>
          </cell>
          <cell r="E20">
            <v>22.53</v>
          </cell>
          <cell r="F20">
            <v>30</v>
          </cell>
          <cell r="G20" t="str">
            <v>Overweight</v>
          </cell>
          <cell r="H20">
            <v>2280</v>
          </cell>
          <cell r="J20">
            <v>51368.4</v>
          </cell>
          <cell r="K20">
            <v>48813.672812920595</v>
          </cell>
          <cell r="L20">
            <v>0.95026656101651197</v>
          </cell>
          <cell r="M20">
            <v>0.9920437789923473</v>
          </cell>
          <cell r="N20">
            <v>0.87311178279583823</v>
          </cell>
          <cell r="O20">
            <v>0.85497131287410255</v>
          </cell>
          <cell r="P20">
            <v>0.83330122910694415</v>
          </cell>
          <cell r="Q20">
            <v>0.77319392147105814</v>
          </cell>
          <cell r="S20">
            <v>17.413912091594721</v>
          </cell>
          <cell r="T20">
            <v>14.510063387002294</v>
          </cell>
          <cell r="U20">
            <v>20.37803615600205</v>
          </cell>
          <cell r="V20">
            <v>16.491984906520468</v>
          </cell>
          <cell r="W20">
            <v>13.577285975569277</v>
          </cell>
          <cell r="Y20">
            <v>0.78446116430219215</v>
          </cell>
          <cell r="Z20">
            <v>1.245698341853783</v>
          </cell>
          <cell r="AA20">
            <v>1.0636672193667784</v>
          </cell>
          <cell r="AB20" t="e">
            <v>#DIV/0!</v>
          </cell>
          <cell r="AD20" t="str">
            <v>NM</v>
          </cell>
          <cell r="AE20" t="str">
            <v>NM</v>
          </cell>
          <cell r="AF20" t="str">
            <v>NM</v>
          </cell>
          <cell r="AG20" t="str">
            <v>NM</v>
          </cell>
          <cell r="AI20">
            <v>14717.262922820901</v>
          </cell>
          <cell r="AJ20">
            <v>6.4549398784302197</v>
          </cell>
          <cell r="AK20">
            <v>0.28650421120418196</v>
          </cell>
        </row>
        <row r="21">
          <cell r="A21" t="str">
            <v>GTW</v>
          </cell>
          <cell r="B21" t="str">
            <v>GTW.N</v>
          </cell>
          <cell r="C21" t="str">
            <v>Gateway Inc.</v>
          </cell>
          <cell r="D21" t="str">
            <v>12/06</v>
          </cell>
          <cell r="E21">
            <v>2.38</v>
          </cell>
          <cell r="F21" t="str">
            <v>NA</v>
          </cell>
          <cell r="G21" t="str">
            <v>Equal-Weight</v>
          </cell>
          <cell r="H21">
            <v>371.64180000000005</v>
          </cell>
          <cell r="J21">
            <v>884.50748400000009</v>
          </cell>
          <cell r="K21">
            <v>744.51986353447387</v>
          </cell>
          <cell r="L21">
            <v>0.84173382023579779</v>
          </cell>
          <cell r="M21">
            <v>0.20399291113666745</v>
          </cell>
          <cell r="N21">
            <v>0.19317801217685038</v>
          </cell>
          <cell r="O21">
            <v>0.18702321416046214</v>
          </cell>
          <cell r="P21">
            <v>0.1804211041082846</v>
          </cell>
          <cell r="Q21">
            <v>0.17106075764098105</v>
          </cell>
          <cell r="S21" t="str">
            <v>-</v>
          </cell>
          <cell r="T21">
            <v>18.925029002114673</v>
          </cell>
          <cell r="U21" t="str">
            <v>-</v>
          </cell>
          <cell r="V21">
            <v>30.668866626854964</v>
          </cell>
          <cell r="W21">
            <v>16.841058248189842</v>
          </cell>
          <cell r="Y21">
            <v>1.0231485479760354</v>
          </cell>
          <cell r="Z21" t="str">
            <v>-</v>
          </cell>
          <cell r="AA21">
            <v>1.9780195210595783</v>
          </cell>
          <cell r="AB21" t="e">
            <v>#DIV/0!</v>
          </cell>
          <cell r="AD21" t="str">
            <v>NM</v>
          </cell>
          <cell r="AE21" t="str">
            <v>NM</v>
          </cell>
          <cell r="AF21" t="str">
            <v>NM</v>
          </cell>
          <cell r="AG21" t="str">
            <v>NM</v>
          </cell>
          <cell r="AI21">
            <v>116.47318669605303</v>
          </cell>
          <cell r="AJ21">
            <v>0.31340173978291197</v>
          </cell>
          <cell r="AK21">
            <v>0.13168140327013109</v>
          </cell>
        </row>
        <row r="22">
          <cell r="A22" t="str">
            <v>HPQ</v>
          </cell>
          <cell r="B22" t="str">
            <v>HPQ.N</v>
          </cell>
          <cell r="C22" t="str">
            <v>Hewlett-Packard Co.</v>
          </cell>
          <cell r="D22" t="str">
            <v>10/06</v>
          </cell>
          <cell r="E22">
            <v>39.61</v>
          </cell>
          <cell r="F22" t="str">
            <v>NA</v>
          </cell>
          <cell r="G22" t="str">
            <v>Equal-Weight</v>
          </cell>
          <cell r="H22">
            <v>2692</v>
          </cell>
          <cell r="J22">
            <v>106630.12</v>
          </cell>
          <cell r="K22">
            <v>98832.475219963046</v>
          </cell>
          <cell r="L22">
            <v>0.92687202471462149</v>
          </cell>
          <cell r="M22">
            <v>1.2075553926185971</v>
          </cell>
          <cell r="N22">
            <v>1.1243582505492269</v>
          </cell>
          <cell r="O22">
            <v>1.0505043418324924</v>
          </cell>
          <cell r="P22">
            <v>0.9961159059296083</v>
          </cell>
          <cell r="Q22">
            <v>0.95189195845423746</v>
          </cell>
          <cell r="S22">
            <v>29.326467121109218</v>
          </cell>
          <cell r="T22">
            <v>23.983989273292444</v>
          </cell>
          <cell r="U22">
            <v>17.200565993035568</v>
          </cell>
          <cell r="V22">
            <v>14.932767916781</v>
          </cell>
          <cell r="W22">
            <v>13.216567134577078</v>
          </cell>
          <cell r="Y22">
            <v>1.296652374847086</v>
          </cell>
          <cell r="Z22">
            <v>1.0514613072840218</v>
          </cell>
          <cell r="AA22">
            <v>0.9631039451904907</v>
          </cell>
          <cell r="AB22" t="e">
            <v>#DIV/0!</v>
          </cell>
          <cell r="AD22">
            <v>0.89715969167362741</v>
          </cell>
          <cell r="AE22">
            <v>0.64341483424976798</v>
          </cell>
          <cell r="AF22">
            <v>0.55858419995924091</v>
          </cell>
          <cell r="AG22">
            <v>0.49438694957409923</v>
          </cell>
          <cell r="AI22">
            <v>5006</v>
          </cell>
          <cell r="AJ22">
            <v>1.8595839524517088</v>
          </cell>
          <cell r="AK22">
            <v>4.6947335330767705E-2</v>
          </cell>
        </row>
        <row r="23">
          <cell r="A23" t="str">
            <v>PC HW Coverage Universe Average</v>
          </cell>
          <cell r="H23">
            <v>1550.9654500000001</v>
          </cell>
          <cell r="J23">
            <v>59393.988271000002</v>
          </cell>
          <cell r="K23">
            <v>54827.026369524952</v>
          </cell>
          <cell r="L23">
            <v>0.92310733738510475</v>
          </cell>
          <cell r="M23">
            <v>2.4168725567332436</v>
          </cell>
          <cell r="N23">
            <v>1.6427652695887098</v>
          </cell>
          <cell r="O23">
            <v>1.3804321795268371</v>
          </cell>
          <cell r="P23">
            <v>1.1920403807363034</v>
          </cell>
          <cell r="Q23">
            <v>1.1031061736582826</v>
          </cell>
          <cell r="S23">
            <v>62.517487901478432</v>
          </cell>
          <cell r="T23">
            <v>27.583519423718414</v>
          </cell>
          <cell r="U23">
            <v>23.937703669586551</v>
          </cell>
          <cell r="V23">
            <v>21.833454959097665</v>
          </cell>
          <cell r="W23">
            <v>16.543379663862783</v>
          </cell>
          <cell r="Y23">
            <v>1.4912546682645902</v>
          </cell>
          <cell r="Z23">
            <v>1.463298894001049</v>
          </cell>
          <cell r="AA23">
            <v>1.4081707239697556</v>
          </cell>
          <cell r="AB23" t="e">
            <v>#DIV/0!</v>
          </cell>
          <cell r="AD23">
            <v>1.0392614324409952</v>
          </cell>
          <cell r="AE23">
            <v>0.70386173113955697</v>
          </cell>
          <cell r="AF23">
            <v>0.56104439570315079</v>
          </cell>
          <cell r="AG23">
            <v>0.49878832154732516</v>
          </cell>
          <cell r="AI23">
            <v>7927.1840273792386</v>
          </cell>
          <cell r="AJ23">
            <v>5.606389683568537</v>
          </cell>
        </row>
        <row r="24">
          <cell r="A24" t="str">
            <v>PC HW Coverage Universe Median</v>
          </cell>
          <cell r="H24">
            <v>1570.1100000000001</v>
          </cell>
          <cell r="J24">
            <v>65030.662800000006</v>
          </cell>
          <cell r="K24">
            <v>59865.555197301146</v>
          </cell>
          <cell r="L24">
            <v>0.92057427403771042</v>
          </cell>
          <cell r="M24">
            <v>1.0997995858054721</v>
          </cell>
          <cell r="N24">
            <v>0.99873501667253262</v>
          </cell>
          <cell r="O24">
            <v>0.95273782735329748</v>
          </cell>
          <cell r="P24">
            <v>0.91470856751827623</v>
          </cell>
          <cell r="Q24">
            <v>0.86254293996264786</v>
          </cell>
          <cell r="S24">
            <v>29.326467121109218</v>
          </cell>
          <cell r="T24">
            <v>21.45450913770356</v>
          </cell>
          <cell r="U24">
            <v>20.37803615600205</v>
          </cell>
          <cell r="V24">
            <v>20.866092646377346</v>
          </cell>
          <cell r="W24">
            <v>15.20917211187956</v>
          </cell>
          <cell r="Y24">
            <v>1.1599004614115607</v>
          </cell>
          <cell r="Z24">
            <v>1.245698341853783</v>
          </cell>
          <cell r="AA24">
            <v>1.345779714814477</v>
          </cell>
          <cell r="AB24" t="e">
            <v>#DIV/0!</v>
          </cell>
          <cell r="AD24">
            <v>1.0392614324409952</v>
          </cell>
          <cell r="AE24">
            <v>0.70386173113955697</v>
          </cell>
          <cell r="AF24">
            <v>0.56104439570315079</v>
          </cell>
          <cell r="AG24">
            <v>0.49878832154732516</v>
          </cell>
          <cell r="AI24">
            <v>8437.5</v>
          </cell>
          <cell r="AJ24">
            <v>4.157261915440964</v>
          </cell>
        </row>
        <row r="26">
          <cell r="A26" t="str">
            <v>Storage Hardware</v>
          </cell>
        </row>
        <row r="27">
          <cell r="A27" t="str">
            <v>EMC</v>
          </cell>
          <cell r="B27" t="str">
            <v>EMC.N</v>
          </cell>
          <cell r="C27" t="str">
            <v>EMC</v>
          </cell>
          <cell r="D27" t="str">
            <v>12/06</v>
          </cell>
          <cell r="E27">
            <v>13.02</v>
          </cell>
          <cell r="F27">
            <v>17</v>
          </cell>
          <cell r="G27" t="str">
            <v>Overweight</v>
          </cell>
          <cell r="H27">
            <v>2122.3389999999999</v>
          </cell>
          <cell r="J27">
            <v>27632.853779999998</v>
          </cell>
          <cell r="K27">
            <v>21686.230647902648</v>
          </cell>
          <cell r="L27">
            <v>0.78479880581855166</v>
          </cell>
          <cell r="M27">
            <v>2.6351806509830835</v>
          </cell>
          <cell r="N27">
            <v>2.2440437776241748</v>
          </cell>
          <cell r="O27">
            <v>1.9440659355018923</v>
          </cell>
          <cell r="P27">
            <v>1.7033062292223673</v>
          </cell>
          <cell r="Q27">
            <v>1.4629567942641639</v>
          </cell>
          <cell r="S27">
            <v>35.753478333088658</v>
          </cell>
          <cell r="T27">
            <v>24.506630926593203</v>
          </cell>
          <cell r="U27">
            <v>22.767641034087312</v>
          </cell>
          <cell r="V27">
            <v>18.455892694747771</v>
          </cell>
          <cell r="W27">
            <v>14.417107376572412</v>
          </cell>
          <cell r="Y27">
            <v>1.3249080804857254</v>
          </cell>
          <cell r="Z27">
            <v>1.3917735971692846</v>
          </cell>
          <cell r="AA27">
            <v>1.1903314352290295</v>
          </cell>
          <cell r="AB27" t="e">
            <v>#DIV/0!</v>
          </cell>
          <cell r="AD27">
            <v>1.6088582191089347</v>
          </cell>
          <cell r="AE27">
            <v>1.494693681768575</v>
          </cell>
          <cell r="AF27">
            <v>1.211627772984349</v>
          </cell>
          <cell r="AG27">
            <v>0.94648186313544191</v>
          </cell>
          <cell r="AI27">
            <v>5596.3209999999999</v>
          </cell>
          <cell r="AJ27">
            <v>2.6368647986961555</v>
          </cell>
          <cell r="AK27">
            <v>0.20252417808726234</v>
          </cell>
        </row>
        <row r="28">
          <cell r="A28" t="str">
            <v>ISLN</v>
          </cell>
          <cell r="B28" t="str">
            <v>ISLN.O</v>
          </cell>
          <cell r="C28" t="str">
            <v>Isilon Systems</v>
          </cell>
          <cell r="D28" t="str">
            <v>12/06</v>
          </cell>
          <cell r="E28">
            <v>18.04</v>
          </cell>
          <cell r="F28">
            <v>25</v>
          </cell>
          <cell r="G28" t="str">
            <v>Overweight</v>
          </cell>
          <cell r="H28">
            <v>60.493000000000002</v>
          </cell>
          <cell r="J28">
            <v>1091.2937199999999</v>
          </cell>
          <cell r="K28">
            <v>794.01842153999996</v>
          </cell>
          <cell r="L28">
            <v>13.125790116873025</v>
          </cell>
          <cell r="M28" t="str">
            <v>NA</v>
          </cell>
          <cell r="N28">
            <v>37.661548239814067</v>
          </cell>
          <cell r="O28">
            <v>12.749374244936222</v>
          </cell>
          <cell r="P28">
            <v>6.1333211112241059</v>
          </cell>
          <cell r="Q28">
            <v>3.0900436646113558</v>
          </cell>
          <cell r="S28" t="str">
            <v>NA</v>
          </cell>
          <cell r="T28" t="str">
            <v>-</v>
          </cell>
          <cell r="U28" t="str">
            <v>-</v>
          </cell>
          <cell r="V28" t="str">
            <v>-</v>
          </cell>
          <cell r="W28">
            <v>118.78509149369599</v>
          </cell>
          <cell r="Y28" t="str">
            <v>NM</v>
          </cell>
          <cell r="Z28" t="str">
            <v>NM</v>
          </cell>
          <cell r="AA28" t="str">
            <v>NM</v>
          </cell>
          <cell r="AB28" t="e">
            <v>#DIV/0!</v>
          </cell>
          <cell r="AD28" t="str">
            <v>NM</v>
          </cell>
          <cell r="AE28" t="str">
            <v>NM</v>
          </cell>
          <cell r="AF28" t="str">
            <v>NM</v>
          </cell>
          <cell r="AG28" t="str">
            <v>NM</v>
          </cell>
          <cell r="AI28">
            <v>99.899000000000001</v>
          </cell>
          <cell r="AJ28">
            <v>1.651414213214752</v>
          </cell>
          <cell r="AK28">
            <v>9.1541807827868735E-2</v>
          </cell>
        </row>
        <row r="29">
          <cell r="A29" t="str">
            <v>NTAP</v>
          </cell>
          <cell r="B29" t="str">
            <v>NTAP.O</v>
          </cell>
          <cell r="C29" t="str">
            <v>Network Appliance</v>
          </cell>
          <cell r="D29" t="str">
            <v>04/06</v>
          </cell>
          <cell r="E29">
            <v>36.82</v>
          </cell>
          <cell r="F29" t="str">
            <v>NA</v>
          </cell>
          <cell r="G29" t="str">
            <v>Underweight</v>
          </cell>
          <cell r="H29">
            <v>370.11400000000003</v>
          </cell>
          <cell r="J29">
            <v>13627.597480000002</v>
          </cell>
          <cell r="K29">
            <v>13027.133330646106</v>
          </cell>
          <cell r="L29">
            <v>0.95593763682592303</v>
          </cell>
          <cell r="M29">
            <v>8.7827309096670412</v>
          </cell>
          <cell r="N29">
            <v>6.7838133868872212</v>
          </cell>
          <cell r="O29">
            <v>5.0084156229166608</v>
          </cell>
          <cell r="P29">
            <v>3.8602428716747519</v>
          </cell>
          <cell r="Q29">
            <v>3.0487940368912336</v>
          </cell>
          <cell r="S29">
            <v>64.723288729979686</v>
          </cell>
          <cell r="T29">
            <v>48.722814228517549</v>
          </cell>
          <cell r="U29">
            <v>47.541665299365206</v>
          </cell>
          <cell r="V29">
            <v>40.988219168241251</v>
          </cell>
          <cell r="W29">
            <v>30.749881370753613</v>
          </cell>
          <cell r="Y29">
            <v>2.6341136188295167</v>
          </cell>
          <cell r="Z29">
            <v>2.9061963173985066</v>
          </cell>
          <cell r="AA29">
            <v>2.6435765832069071</v>
          </cell>
          <cell r="AB29" t="e">
            <v>#DIV/0!</v>
          </cell>
          <cell r="AD29">
            <v>5.3970640842299273</v>
          </cell>
          <cell r="AE29">
            <v>5.2662272973038622</v>
          </cell>
          <cell r="AF29">
            <v>4.5402969646195306</v>
          </cell>
          <cell r="AG29">
            <v>3.4061883117434761</v>
          </cell>
          <cell r="AI29">
            <v>1183.998</v>
          </cell>
          <cell r="AJ29">
            <v>3.1990089539979571</v>
          </cell>
          <cell r="AK29">
            <v>8.6882372460563739E-2</v>
          </cell>
        </row>
        <row r="30">
          <cell r="A30" t="str">
            <v>STX</v>
          </cell>
          <cell r="B30" t="str">
            <v>STX.N</v>
          </cell>
          <cell r="C30" t="str">
            <v>Seagate</v>
          </cell>
          <cell r="D30" t="str">
            <v>06/06</v>
          </cell>
          <cell r="E30">
            <v>24.62</v>
          </cell>
          <cell r="F30">
            <v>35</v>
          </cell>
          <cell r="G30" t="str">
            <v>Overweight</v>
          </cell>
          <cell r="H30">
            <v>555</v>
          </cell>
          <cell r="J30">
            <v>13664.1</v>
          </cell>
          <cell r="K30">
            <v>14438.876628511385</v>
          </cell>
          <cell r="L30">
            <v>1.056701621659047</v>
          </cell>
          <cell r="M30">
            <v>1.7909631704062772</v>
          </cell>
          <cell r="N30">
            <v>1.164338932601531</v>
          </cell>
          <cell r="O30">
            <v>1.2568123634499995</v>
          </cell>
          <cell r="P30">
            <v>1.1790788417919027</v>
          </cell>
          <cell r="Q30">
            <v>1.1047986286276783</v>
          </cell>
          <cell r="S30">
            <v>159.83255805802492</v>
          </cell>
          <cell r="T30">
            <v>14.448151761244826</v>
          </cell>
          <cell r="U30">
            <v>21.181740747183543</v>
          </cell>
          <cell r="V30">
            <v>9.9681547663605539</v>
          </cell>
          <cell r="W30">
            <v>8.3562417978968888</v>
          </cell>
          <cell r="Y30">
            <v>0.78111402068674451</v>
          </cell>
          <cell r="Z30">
            <v>1.2948283693456706</v>
          </cell>
          <cell r="AA30">
            <v>0.64290620702426071</v>
          </cell>
          <cell r="AB30" t="e">
            <v>#DIV/0!</v>
          </cell>
          <cell r="AD30">
            <v>0.70850968098780209</v>
          </cell>
          <cell r="AE30">
            <v>1.0387119838960168</v>
          </cell>
          <cell r="AF30">
            <v>0.48881921163753472</v>
          </cell>
          <cell r="AG30">
            <v>0.40977408794706383</v>
          </cell>
          <cell r="AI30">
            <v>-508</v>
          </cell>
          <cell r="AJ30">
            <v>-0.91531531531531529</v>
          </cell>
          <cell r="AK30">
            <v>-3.7177713863335307E-2</v>
          </cell>
        </row>
        <row r="31">
          <cell r="A31" t="str">
            <v>Storage HW Coverage Universe Average</v>
          </cell>
          <cell r="H31">
            <v>776.98649999999998</v>
          </cell>
          <cell r="J31">
            <v>14003.961245</v>
          </cell>
          <cell r="K31">
            <v>12486.564757150034</v>
          </cell>
          <cell r="L31">
            <v>0.89164519514849838</v>
          </cell>
          <cell r="M31">
            <v>4.4029582436854673</v>
          </cell>
          <cell r="N31">
            <v>11.96343608423175</v>
          </cell>
          <cell r="O31">
            <v>5.2396670417011935</v>
          </cell>
          <cell r="P31">
            <v>3.2189872634782817</v>
          </cell>
          <cell r="Q31">
            <v>2.1766482810986081</v>
          </cell>
          <cell r="S31">
            <v>86.769775040364422</v>
          </cell>
          <cell r="T31">
            <v>29.225865638785194</v>
          </cell>
          <cell r="U31">
            <v>30.497015693545354</v>
          </cell>
          <cell r="V31">
            <v>23.137422209783193</v>
          </cell>
          <cell r="W31">
            <v>43.077080509729733</v>
          </cell>
          <cell r="Y31">
            <v>1.5800452400006622</v>
          </cell>
          <cell r="Z31">
            <v>1.8642660946378207</v>
          </cell>
          <cell r="AA31">
            <v>1.4922714084867323</v>
          </cell>
          <cell r="AB31" t="e">
            <v>#DIV/0!</v>
          </cell>
          <cell r="AD31">
            <v>2.5714773281088878</v>
          </cell>
          <cell r="AE31">
            <v>2.5998776543228179</v>
          </cell>
          <cell r="AF31">
            <v>2.0802479830804712</v>
          </cell>
          <cell r="AG31">
            <v>1.5874814209419938</v>
          </cell>
          <cell r="AI31">
            <v>1593.0545000000002</v>
          </cell>
          <cell r="AJ31">
            <v>1.6429931626483874</v>
          </cell>
        </row>
        <row r="32">
          <cell r="A32" t="str">
            <v>Storage HW Coverage Universe Median</v>
          </cell>
          <cell r="H32">
            <v>462.55700000000002</v>
          </cell>
          <cell r="J32">
            <v>13645.848740000001</v>
          </cell>
          <cell r="K32">
            <v>13733.004979578745</v>
          </cell>
          <cell r="L32">
            <v>1.0063870149258847</v>
          </cell>
          <cell r="M32">
            <v>2.6351806509830835</v>
          </cell>
          <cell r="N32">
            <v>4.5139285822556978</v>
          </cell>
          <cell r="O32">
            <v>3.4762407792092764</v>
          </cell>
          <cell r="P32">
            <v>2.7817745504485596</v>
          </cell>
          <cell r="Q32">
            <v>2.255875415577699</v>
          </cell>
          <cell r="S32">
            <v>64.723288729979686</v>
          </cell>
          <cell r="T32">
            <v>24.506630926593203</v>
          </cell>
          <cell r="U32">
            <v>22.767641034087312</v>
          </cell>
          <cell r="V32">
            <v>18.455892694747771</v>
          </cell>
          <cell r="W32">
            <v>22.583494373663015</v>
          </cell>
          <cell r="Y32">
            <v>1.3249080804857254</v>
          </cell>
          <cell r="Z32">
            <v>1.3917735971692846</v>
          </cell>
          <cell r="AA32">
            <v>1.1903314352290295</v>
          </cell>
          <cell r="AB32" t="e">
            <v>#DIV/0!</v>
          </cell>
          <cell r="AD32">
            <v>1.6088582191089347</v>
          </cell>
          <cell r="AE32">
            <v>1.494693681768575</v>
          </cell>
          <cell r="AF32">
            <v>1.211627772984349</v>
          </cell>
          <cell r="AG32">
            <v>0.94648186313544191</v>
          </cell>
          <cell r="AI32">
            <v>641.94850000000008</v>
          </cell>
          <cell r="AJ32">
            <v>2.1441395059554536</v>
          </cell>
        </row>
        <row r="34">
          <cell r="A34" t="str">
            <v>Notes</v>
          </cell>
        </row>
        <row r="35">
          <cell r="A35" t="str">
            <v>(1) Source: US Hardware Coverage Universe sources are Company Data, Morgan Stanley Research Estimates.</v>
          </cell>
        </row>
        <row r="36">
          <cell r="A36" t="str">
            <v>(2) Source: US Hardware Companies that are not covered use Factset and First Call Consensus Estimates.</v>
          </cell>
        </row>
        <row r="37">
          <cell r="A37" t="str">
            <v>(3) PEG Ratio uses a trailing two year earnings growth rate.</v>
          </cell>
        </row>
        <row r="40">
          <cell r="A40" t="str">
            <v>Comparables - EV/NOPAT (Net Operating Profit After Taxes)</v>
          </cell>
        </row>
        <row r="42">
          <cell r="N42" t="str">
            <v>Operating Income</v>
          </cell>
          <cell r="T42" t="str">
            <v>Tax Rate</v>
          </cell>
          <cell r="Z42" t="str">
            <v>NOPAT</v>
          </cell>
          <cell r="AE42" t="str">
            <v>EV/NOPAT</v>
          </cell>
          <cell r="AI42" t="str">
            <v>Premium/Discount to Universe Median</v>
          </cell>
        </row>
        <row r="43">
          <cell r="F43" t="str">
            <v>Price</v>
          </cell>
          <cell r="H43" t="str">
            <v>Shares</v>
          </cell>
          <cell r="J43" t="str">
            <v>Market</v>
          </cell>
          <cell r="K43" t="str">
            <v>Enterprise</v>
          </cell>
          <cell r="L43" t="str">
            <v>EV as</v>
          </cell>
        </row>
        <row r="44">
          <cell r="A44" t="str">
            <v>Ticker</v>
          </cell>
          <cell r="C44" t="str">
            <v>Company</v>
          </cell>
          <cell r="D44" t="str">
            <v>FY</v>
          </cell>
          <cell r="E44" t="str">
            <v>Price</v>
          </cell>
          <cell r="F44" t="str">
            <v>Target</v>
          </cell>
          <cell r="G44" t="str">
            <v>Rating</v>
          </cell>
          <cell r="H44" t="str">
            <v>Out.</v>
          </cell>
          <cell r="J44" t="str">
            <v>Cap.</v>
          </cell>
          <cell r="K44" t="str">
            <v>Value</v>
          </cell>
          <cell r="L44" t="str">
            <v>% of MC</v>
          </cell>
          <cell r="M44">
            <v>2004</v>
          </cell>
          <cell r="N44">
            <v>2005</v>
          </cell>
          <cell r="O44" t="str">
            <v>2006E</v>
          </cell>
          <cell r="P44" t="str">
            <v>2007E</v>
          </cell>
          <cell r="Q44" t="str">
            <v>2008E</v>
          </cell>
          <cell r="S44">
            <v>2004</v>
          </cell>
          <cell r="T44">
            <v>2005</v>
          </cell>
          <cell r="U44" t="str">
            <v>2006E</v>
          </cell>
          <cell r="V44" t="str">
            <v>2007E</v>
          </cell>
          <cell r="W44" t="str">
            <v>2008E</v>
          </cell>
          <cell r="Y44">
            <v>2005</v>
          </cell>
          <cell r="Z44" t="str">
            <v>2006E</v>
          </cell>
          <cell r="AA44" t="str">
            <v>2007E</v>
          </cell>
          <cell r="AB44" t="str">
            <v>2008E</v>
          </cell>
          <cell r="AD44">
            <v>2005</v>
          </cell>
          <cell r="AE44" t="str">
            <v>2006E</v>
          </cell>
          <cell r="AF44" t="str">
            <v>2007E</v>
          </cell>
          <cell r="AI44" t="str">
            <v>2006E</v>
          </cell>
          <cell r="AJ44" t="str">
            <v>2007E</v>
          </cell>
        </row>
        <row r="45">
          <cell r="A45" t="str">
            <v>Systems Hardware</v>
          </cell>
        </row>
        <row r="46">
          <cell r="A46" t="str">
            <v>DELL</v>
          </cell>
          <cell r="C46" t="str">
            <v>Dell Computer Corp.</v>
          </cell>
          <cell r="D46" t="str">
            <v>01/07</v>
          </cell>
          <cell r="E46">
            <v>22.53</v>
          </cell>
          <cell r="F46">
            <v>30</v>
          </cell>
          <cell r="G46" t="str">
            <v>Overweight</v>
          </cell>
          <cell r="H46">
            <v>2280</v>
          </cell>
          <cell r="J46">
            <v>51368.4</v>
          </cell>
          <cell r="K46">
            <v>48813.672812920595</v>
          </cell>
          <cell r="L46">
            <v>0.95026656101651197</v>
          </cell>
          <cell r="M46">
            <v>3322.4607828315734</v>
          </cell>
          <cell r="N46">
            <v>3805.3174563979092</v>
          </cell>
          <cell r="O46">
            <v>2511.0988177792715</v>
          </cell>
          <cell r="P46">
            <v>3080.6850674270559</v>
          </cell>
          <cell r="Q46">
            <v>3522.9999906512571</v>
          </cell>
          <cell r="S46">
            <v>0.25242689767642579</v>
          </cell>
          <cell r="T46">
            <v>0.2412008376541237</v>
          </cell>
          <cell r="U46">
            <v>0.2420241931575832</v>
          </cell>
          <cell r="V46">
            <v>0.2273355210448286</v>
          </cell>
          <cell r="W46">
            <v>0.22000000000000369</v>
          </cell>
          <cell r="Y46">
            <v>2887.471698374874</v>
          </cell>
          <cell r="Z46">
            <v>1903.3521524672824</v>
          </cell>
          <cell r="AA46">
            <v>2380.3359224485034</v>
          </cell>
          <cell r="AB46">
            <v>2747.9399927079676</v>
          </cell>
          <cell r="AD46">
            <v>16.905333770160897</v>
          </cell>
          <cell r="AE46">
            <v>25.646159461161339</v>
          </cell>
          <cell r="AF46">
            <v>20.507052115026273</v>
          </cell>
          <cell r="AI46">
            <v>9.3189358398468203E-2</v>
          </cell>
          <cell r="AJ46">
            <v>2.3081665233100734E-2</v>
          </cell>
        </row>
        <row r="47">
          <cell r="A47" t="str">
            <v>HPQ</v>
          </cell>
          <cell r="C47" t="str">
            <v>Hewlett-Packard Co.</v>
          </cell>
          <cell r="D47" t="str">
            <v>10/06</v>
          </cell>
          <cell r="E47">
            <v>39.61</v>
          </cell>
          <cell r="F47" t="str">
            <v>NA</v>
          </cell>
          <cell r="G47" t="str">
            <v>Equal-Weight</v>
          </cell>
          <cell r="H47">
            <v>2692</v>
          </cell>
          <cell r="J47">
            <v>106630.12</v>
          </cell>
          <cell r="K47">
            <v>98832.475219963046</v>
          </cell>
          <cell r="L47">
            <v>0.92687202471462149</v>
          </cell>
          <cell r="M47">
            <v>4073.7505392869607</v>
          </cell>
          <cell r="N47">
            <v>4802.6155568817785</v>
          </cell>
          <cell r="O47">
            <v>6530.253571044087</v>
          </cell>
          <cell r="P47">
            <v>7241.8478541798686</v>
          </cell>
          <cell r="Q47">
            <v>7859.5563377631142</v>
          </cell>
          <cell r="S47">
            <v>0.20131712423207002</v>
          </cell>
          <cell r="T47">
            <v>0.20149632478113147</v>
          </cell>
          <cell r="U47">
            <v>0.22138305568409536</v>
          </cell>
          <cell r="V47">
            <v>0.21436276858421355</v>
          </cell>
          <cell r="W47">
            <v>0.22052623857939779</v>
          </cell>
          <cell r="Y47">
            <v>3834.9061728334132</v>
          </cell>
          <cell r="Z47">
            <v>5084.5660810943718</v>
          </cell>
          <cell r="AA47">
            <v>5689.4652984922259</v>
          </cell>
          <cell r="AB47">
            <v>6126.3179416933481</v>
          </cell>
          <cell r="AD47">
            <v>25.771810512626143</v>
          </cell>
          <cell r="AE47">
            <v>19.437740338835546</v>
          </cell>
          <cell r="AF47">
            <v>17.371135956511555</v>
          </cell>
          <cell r="AI47">
            <v>-0.17144978678357536</v>
          </cell>
          <cell r="AJ47">
            <v>-0.13336687293264504</v>
          </cell>
        </row>
        <row r="48">
          <cell r="A48" t="str">
            <v>IBM</v>
          </cell>
          <cell r="C48" t="str">
            <v>International Business Machines Corp.</v>
          </cell>
          <cell r="D48" t="str">
            <v>12/06</v>
          </cell>
          <cell r="E48">
            <v>94.5</v>
          </cell>
          <cell r="F48">
            <v>105</v>
          </cell>
          <cell r="G48" t="str">
            <v>Overweight</v>
          </cell>
          <cell r="H48">
            <v>1506.4829999999999</v>
          </cell>
          <cell r="J48">
            <v>142362.64350000001</v>
          </cell>
          <cell r="K48">
            <v>138875.5106989762</v>
          </cell>
          <cell r="L48">
            <v>0.97550528203683007</v>
          </cell>
          <cell r="M48">
            <v>7692.9420111598247</v>
          </cell>
          <cell r="N48">
            <v>8523.2197469629536</v>
          </cell>
          <cell r="O48">
            <v>9325.0895160487671</v>
          </cell>
          <cell r="P48">
            <v>10131.562668586192</v>
          </cell>
          <cell r="Q48">
            <v>10837.549582862464</v>
          </cell>
          <cell r="S48">
            <v>0.2999697342824495</v>
          </cell>
          <cell r="T48">
            <v>0.3001742120901898</v>
          </cell>
          <cell r="U48">
            <v>0.29994992148033772</v>
          </cell>
          <cell r="V48">
            <v>0.2999999999999986</v>
          </cell>
          <cell r="W48">
            <v>0.30002441981665878</v>
          </cell>
          <cell r="Y48">
            <v>5964.7689749468018</v>
          </cell>
          <cell r="Z48">
            <v>6528.0296479128192</v>
          </cell>
          <cell r="AA48">
            <v>7092.0938680103482</v>
          </cell>
          <cell r="AB48">
            <v>7586.0200570298803</v>
          </cell>
          <cell r="AD48">
            <v>23.282630271562997</v>
          </cell>
          <cell r="AE48">
            <v>21.273725486736769</v>
          </cell>
          <cell r="AF48">
            <v>19.581736125263248</v>
          </cell>
          <cell r="AI48">
            <v>-9.3189358398468314E-2</v>
          </cell>
          <cell r="AJ48">
            <v>-2.3081665233100512E-2</v>
          </cell>
        </row>
        <row r="49">
          <cell r="A49" t="str">
            <v>LXK</v>
          </cell>
          <cell r="C49" t="str">
            <v>Lexmark International Inc.</v>
          </cell>
          <cell r="D49" t="str">
            <v>12/06</v>
          </cell>
          <cell r="E49">
            <v>57.81</v>
          </cell>
          <cell r="F49" t="str">
            <v>NA</v>
          </cell>
          <cell r="G49" t="str">
            <v>Underweight</v>
          </cell>
          <cell r="H49">
            <v>97</v>
          </cell>
          <cell r="J49">
            <v>5607.5700000000006</v>
          </cell>
          <cell r="K49">
            <v>5091.6543653368071</v>
          </cell>
          <cell r="L49">
            <v>0.90799657700872327</v>
          </cell>
          <cell r="M49">
            <v>548.00880624804961</v>
          </cell>
          <cell r="N49">
            <v>413.59787592009855</v>
          </cell>
          <cell r="O49">
            <v>411.56490834571332</v>
          </cell>
          <cell r="P49">
            <v>371.08341682330524</v>
          </cell>
          <cell r="Q49">
            <v>400.2691287235732</v>
          </cell>
          <cell r="S49">
            <v>0.26514992613303129</v>
          </cell>
          <cell r="T49">
            <v>0.27705171275774199</v>
          </cell>
          <cell r="U49">
            <v>0.29487755334003224</v>
          </cell>
          <cell r="V49">
            <v>0.27000000000000057</v>
          </cell>
          <cell r="W49">
            <v>0.27000000000000307</v>
          </cell>
          <cell r="Y49">
            <v>299.00987600347122</v>
          </cell>
          <cell r="Z49">
            <v>290.20365513211476</v>
          </cell>
          <cell r="AA49">
            <v>270.89089428101261</v>
          </cell>
          <cell r="AB49">
            <v>292.19646396820718</v>
          </cell>
          <cell r="AD49">
            <v>17.028381916314022</v>
          </cell>
          <cell r="AE49">
            <v>17.545107634908454</v>
          </cell>
          <cell r="AF49">
            <v>18.795959823052986</v>
          </cell>
          <cell r="AI49">
            <v>-0.2521248654215027</v>
          </cell>
          <cell r="AJ49">
            <v>-6.2283463875672185E-2</v>
          </cell>
        </row>
        <row r="50">
          <cell r="A50" t="str">
            <v>NCR</v>
          </cell>
          <cell r="C50" t="str">
            <v>NCR Corp.</v>
          </cell>
          <cell r="D50" t="str">
            <v>12/06</v>
          </cell>
          <cell r="E50">
            <v>47.79</v>
          </cell>
          <cell r="F50" t="str">
            <v>NA</v>
          </cell>
          <cell r="G50" t="str">
            <v>Equal-Weight</v>
          </cell>
          <cell r="H50">
            <v>178.9</v>
          </cell>
          <cell r="J50">
            <v>8549.6309999999994</v>
          </cell>
          <cell r="K50">
            <v>8482.2377008403364</v>
          </cell>
          <cell r="L50">
            <v>0.99211740259203429</v>
          </cell>
          <cell r="M50">
            <v>181</v>
          </cell>
          <cell r="N50">
            <v>319.98675364046926</v>
          </cell>
          <cell r="O50">
            <v>388.7139880033331</v>
          </cell>
          <cell r="P50">
            <v>455.15164323794193</v>
          </cell>
          <cell r="Q50">
            <v>521.0375530524401</v>
          </cell>
          <cell r="S50">
            <v>0.19555555555555557</v>
          </cell>
          <cell r="T50">
            <v>0.22249806522771273</v>
          </cell>
          <cell r="U50">
            <v>0.20161499566015573</v>
          </cell>
          <cell r="V50">
            <v>0.23000000000000204</v>
          </cell>
          <cell r="W50">
            <v>0.22999999999999587</v>
          </cell>
          <cell r="Y50">
            <v>248.79032005696808</v>
          </cell>
          <cell r="Z50">
            <v>310.34341899899925</v>
          </cell>
          <cell r="AA50">
            <v>350.46676529321439</v>
          </cell>
          <cell r="AB50">
            <v>401.19891585038101</v>
          </cell>
          <cell r="AD50">
            <v>34.093921736577499</v>
          </cell>
          <cell r="AE50">
            <v>27.331778866777544</v>
          </cell>
          <cell r="AF50">
            <v>24.202687789079686</v>
          </cell>
          <cell r="AI50">
            <v>0.16504031913667072</v>
          </cell>
          <cell r="AJ50">
            <v>0.20745419612138893</v>
          </cell>
        </row>
        <row r="51">
          <cell r="A51" t="str">
            <v>SUNW</v>
          </cell>
          <cell r="C51" t="str">
            <v>Sun Microsystems Inc.</v>
          </cell>
          <cell r="D51" t="str">
            <v>06/06</v>
          </cell>
          <cell r="E51">
            <v>6.2</v>
          </cell>
          <cell r="F51" t="str">
            <v>NA</v>
          </cell>
          <cell r="G51" t="str">
            <v>Equal-Weight</v>
          </cell>
          <cell r="H51">
            <v>3600.7530000000002</v>
          </cell>
          <cell r="J51">
            <v>22324.668600000001</v>
          </cell>
          <cell r="K51">
            <v>18230.864680851068</v>
          </cell>
          <cell r="L51">
            <v>0.81662420202067709</v>
          </cell>
          <cell r="M51">
            <v>-396.37013613533213</v>
          </cell>
          <cell r="N51">
            <v>-504.23794865351488</v>
          </cell>
          <cell r="O51">
            <v>-95.589857347190872</v>
          </cell>
          <cell r="P51">
            <v>601.80280185687423</v>
          </cell>
          <cell r="Q51">
            <v>1026.5506455206576</v>
          </cell>
          <cell r="S51">
            <v>-0.98811187983679127</v>
          </cell>
          <cell r="T51">
            <v>-1.17495863633225</v>
          </cell>
          <cell r="U51">
            <v>5.3828166953726413</v>
          </cell>
          <cell r="V51">
            <v>0.31840799507911688</v>
          </cell>
          <cell r="W51">
            <v>0.30000000000000149</v>
          </cell>
          <cell r="Y51">
            <v>-1096.6966811904199</v>
          </cell>
          <cell r="Z51">
            <v>418.95282268955731</v>
          </cell>
          <cell r="AA51">
            <v>410.18397828463185</v>
          </cell>
          <cell r="AB51">
            <v>718.58545186445872</v>
          </cell>
          <cell r="AD51">
            <v>-16.623433802190593</v>
          </cell>
          <cell r="AE51">
            <v>43.515316507033248</v>
          </cell>
          <cell r="AF51">
            <v>44.445579656942229</v>
          </cell>
          <cell r="AI51">
            <v>0.85487737471456104</v>
          </cell>
          <cell r="AJ51">
            <v>1.2173571019676821</v>
          </cell>
        </row>
        <row r="52">
          <cell r="A52" t="str">
            <v>Systems HW Coverage Universe Average</v>
          </cell>
          <cell r="H52">
            <v>1725.856</v>
          </cell>
          <cell r="J52">
            <v>56140.505516666664</v>
          </cell>
          <cell r="K52">
            <v>53054.402579814683</v>
          </cell>
          <cell r="L52">
            <v>0.94502894285595995</v>
          </cell>
          <cell r="M52">
            <v>2570.2986672318461</v>
          </cell>
          <cell r="N52">
            <v>2893.4165735249499</v>
          </cell>
          <cell r="O52">
            <v>3178.521823978997</v>
          </cell>
          <cell r="P52">
            <v>3647.0222420185396</v>
          </cell>
          <cell r="Q52">
            <v>4027.9938730955837</v>
          </cell>
          <cell r="S52">
            <v>3.771789300712345E-2</v>
          </cell>
          <cell r="T52">
            <v>1.1243752696441586E-2</v>
          </cell>
          <cell r="U52">
            <v>1.1071110691158077</v>
          </cell>
          <cell r="V52">
            <v>0.26001771411802665</v>
          </cell>
          <cell r="W52">
            <v>0.25675844306601014</v>
          </cell>
          <cell r="Y52">
            <v>2023.0417268375179</v>
          </cell>
          <cell r="Z52">
            <v>2422.5746297158571</v>
          </cell>
          <cell r="AA52">
            <v>2698.9061211349895</v>
          </cell>
          <cell r="AB52">
            <v>2978.7098038523745</v>
          </cell>
          <cell r="AD52">
            <v>16.743107400841826</v>
          </cell>
          <cell r="AE52">
            <v>25.791638049242149</v>
          </cell>
          <cell r="AF52">
            <v>24.150691910979333</v>
          </cell>
        </row>
        <row r="53">
          <cell r="A53" t="str">
            <v>Systems HW Coverage Universe Median</v>
          </cell>
          <cell r="H53">
            <v>1893.2415000000001</v>
          </cell>
          <cell r="J53">
            <v>36846.534299999999</v>
          </cell>
          <cell r="K53">
            <v>33522.268746885835</v>
          </cell>
          <cell r="L53">
            <v>0.90978078084499348</v>
          </cell>
          <cell r="M53">
            <v>1935.2347945398114</v>
          </cell>
          <cell r="N53">
            <v>2109.457666159004</v>
          </cell>
          <cell r="O53">
            <v>1461.3318630624924</v>
          </cell>
          <cell r="P53">
            <v>1841.2439346419651</v>
          </cell>
          <cell r="Q53">
            <v>2274.7753180859572</v>
          </cell>
          <cell r="S53">
            <v>0.22687201095424792</v>
          </cell>
          <cell r="T53">
            <v>0.23184945144091823</v>
          </cell>
          <cell r="U53">
            <v>0.26845087324880773</v>
          </cell>
          <cell r="V53">
            <v>0.25000000000000133</v>
          </cell>
          <cell r="W53">
            <v>0.24999999999999947</v>
          </cell>
          <cell r="Y53">
            <v>1593.2407871891726</v>
          </cell>
          <cell r="Z53">
            <v>1161.1524875784198</v>
          </cell>
          <cell r="AA53">
            <v>1395.2599503665676</v>
          </cell>
          <cell r="AB53">
            <v>1733.2627222862131</v>
          </cell>
          <cell r="AD53">
            <v>20.155506093938509</v>
          </cell>
          <cell r="AE53">
            <v>23.459942473949056</v>
          </cell>
          <cell r="AF53">
            <v>20.044394120144759</v>
          </cell>
        </row>
        <row r="55">
          <cell r="A55" t="str">
            <v>PC Hardware</v>
          </cell>
        </row>
        <row r="56">
          <cell r="A56" t="str">
            <v>AAPL</v>
          </cell>
          <cell r="C56" t="str">
            <v>Apple Computer Inc.</v>
          </cell>
          <cell r="D56" t="str">
            <v>09/06</v>
          </cell>
          <cell r="E56">
            <v>91.48</v>
          </cell>
          <cell r="F56">
            <v>110</v>
          </cell>
          <cell r="G56" t="str">
            <v>Overweight</v>
          </cell>
          <cell r="H56">
            <v>860.22</v>
          </cell>
          <cell r="J56">
            <v>78692.925600000002</v>
          </cell>
          <cell r="K56">
            <v>70917.43758168169</v>
          </cell>
          <cell r="L56">
            <v>0.90119203271407777</v>
          </cell>
          <cell r="M56">
            <v>517.58115599999996</v>
          </cell>
          <cell r="N56">
            <v>1495.0152320046559</v>
          </cell>
          <cell r="O56">
            <v>2349.4671023200149</v>
          </cell>
          <cell r="P56">
            <v>3250.963607746487</v>
          </cell>
          <cell r="Q56">
            <v>3724.8506985357008</v>
          </cell>
          <cell r="S56">
            <v>0.2985536125939689</v>
          </cell>
          <cell r="T56">
            <v>0.32423626321630117</v>
          </cell>
          <cell r="U56">
            <v>0.31593081647728322</v>
          </cell>
          <cell r="V56">
            <v>0.32000000000000017</v>
          </cell>
          <cell r="W56">
            <v>0.32000000000000051</v>
          </cell>
          <cell r="Y56">
            <v>1010.2770797280148</v>
          </cell>
          <cell r="Z56">
            <v>1607.198042397536</v>
          </cell>
          <cell r="AA56">
            <v>2210.6552532676105</v>
          </cell>
          <cell r="AB56">
            <v>2532.8984750042746</v>
          </cell>
          <cell r="AD56">
            <v>70.196027411384975</v>
          </cell>
          <cell r="AE56">
            <v>44.12489046831508</v>
          </cell>
          <cell r="AF56">
            <v>32.079826773920225</v>
          </cell>
          <cell r="AI56">
            <v>0.95745668249924232</v>
          </cell>
          <cell r="AJ56">
            <v>0.30514020980424017</v>
          </cell>
        </row>
        <row r="57">
          <cell r="A57" t="str">
            <v>DELL</v>
          </cell>
          <cell r="C57" t="str">
            <v>Dell Computer Corp.</v>
          </cell>
          <cell r="D57" t="str">
            <v>01/07</v>
          </cell>
          <cell r="E57">
            <v>22.53</v>
          </cell>
          <cell r="F57">
            <v>30</v>
          </cell>
          <cell r="G57" t="str">
            <v>Overweight</v>
          </cell>
          <cell r="H57">
            <v>2280</v>
          </cell>
          <cell r="J57">
            <v>51368.4</v>
          </cell>
          <cell r="K57">
            <v>48813.672812920595</v>
          </cell>
          <cell r="L57">
            <v>0.95026656101651197</v>
          </cell>
          <cell r="M57">
            <v>3322.4607828315734</v>
          </cell>
          <cell r="N57">
            <v>3805.3174563979092</v>
          </cell>
          <cell r="O57">
            <v>2511.0988177792715</v>
          </cell>
          <cell r="P57">
            <v>3080.6850674270559</v>
          </cell>
          <cell r="Q57">
            <v>3522.9999906512571</v>
          </cell>
          <cell r="S57">
            <v>0.25242689767642579</v>
          </cell>
          <cell r="T57">
            <v>0.2412008376541237</v>
          </cell>
          <cell r="U57">
            <v>0.2420241931575832</v>
          </cell>
          <cell r="V57">
            <v>0.2273355210448286</v>
          </cell>
          <cell r="W57">
            <v>0.22000000000000369</v>
          </cell>
          <cell r="Y57">
            <v>2887.471698374874</v>
          </cell>
          <cell r="Z57">
            <v>1903.3521524672824</v>
          </cell>
          <cell r="AA57">
            <v>2380.3359224485034</v>
          </cell>
          <cell r="AB57">
            <v>2747.9399927079676</v>
          </cell>
          <cell r="AD57">
            <v>16.905333770160897</v>
          </cell>
          <cell r="AE57">
            <v>25.646159461161339</v>
          </cell>
          <cell r="AF57">
            <v>20.507052115026273</v>
          </cell>
          <cell r="AI57">
            <v>0.13770812085617812</v>
          </cell>
          <cell r="AJ57">
            <v>-0.1656881912582352</v>
          </cell>
        </row>
        <row r="58">
          <cell r="A58" t="str">
            <v>GTW</v>
          </cell>
          <cell r="C58" t="str">
            <v>Gateway Inc.</v>
          </cell>
          <cell r="D58" t="str">
            <v>12/06</v>
          </cell>
          <cell r="E58">
            <v>2.38</v>
          </cell>
          <cell r="F58" t="str">
            <v>NA</v>
          </cell>
          <cell r="G58" t="str">
            <v>Equal-Weight</v>
          </cell>
          <cell r="H58">
            <v>371.64180000000005</v>
          </cell>
          <cell r="J58">
            <v>884.50748400000009</v>
          </cell>
          <cell r="K58">
            <v>744.51986353447387</v>
          </cell>
          <cell r="L58">
            <v>0.84173382023579779</v>
          </cell>
          <cell r="M58">
            <v>-98.012977025602879</v>
          </cell>
          <cell r="N58">
            <v>50.093861409357309</v>
          </cell>
          <cell r="O58">
            <v>-0.21302370875993515</v>
          </cell>
          <cell r="P58">
            <v>30.570329647559745</v>
          </cell>
          <cell r="Q58">
            <v>57.990590282826908</v>
          </cell>
          <cell r="S58">
            <v>0.13590164389800963</v>
          </cell>
          <cell r="T58">
            <v>0.14676954273050091</v>
          </cell>
          <cell r="U58">
            <v>0.52016382287962304</v>
          </cell>
          <cell r="V58">
            <v>0.15000000000003377</v>
          </cell>
          <cell r="W58">
            <v>0.14999999999999758</v>
          </cell>
          <cell r="Y58">
            <v>42.741608276700852</v>
          </cell>
          <cell r="Z58">
            <v>-0.10221648204737184</v>
          </cell>
          <cell r="AA58">
            <v>25.984780200424751</v>
          </cell>
          <cell r="AB58">
            <v>49.292001740403009</v>
          </cell>
          <cell r="AD58">
            <v>17.419088648106015</v>
          </cell>
          <cell r="AE58">
            <v>-7283.7555022626293</v>
          </cell>
          <cell r="AF58">
            <v>28.652151674629284</v>
          </cell>
          <cell r="AI58">
            <v>-324.12002886064141</v>
          </cell>
          <cell r="AJ58">
            <v>0.16568819125823531</v>
          </cell>
        </row>
        <row r="59">
          <cell r="A59" t="str">
            <v>HPQ</v>
          </cell>
          <cell r="C59" t="str">
            <v>Hewlett-Packard Co.</v>
          </cell>
          <cell r="D59" t="str">
            <v>10/06</v>
          </cell>
          <cell r="E59">
            <v>39.61</v>
          </cell>
          <cell r="F59" t="str">
            <v>NA</v>
          </cell>
          <cell r="G59" t="str">
            <v>Equal-Weight</v>
          </cell>
          <cell r="H59">
            <v>2692</v>
          </cell>
          <cell r="J59">
            <v>106630.12</v>
          </cell>
          <cell r="K59">
            <v>98832.475219963046</v>
          </cell>
          <cell r="L59">
            <v>0.92687202471462149</v>
          </cell>
          <cell r="M59">
            <v>4073.7505392869607</v>
          </cell>
          <cell r="N59">
            <v>4802.6155568817785</v>
          </cell>
          <cell r="O59">
            <v>6530.253571044087</v>
          </cell>
          <cell r="P59">
            <v>7241.8478541798686</v>
          </cell>
          <cell r="Q59">
            <v>7859.5563377631142</v>
          </cell>
          <cell r="S59">
            <v>0.20131712423207002</v>
          </cell>
          <cell r="T59">
            <v>0.20149632478113147</v>
          </cell>
          <cell r="U59">
            <v>0.22138305568409536</v>
          </cell>
          <cell r="V59">
            <v>0.21436276858421355</v>
          </cell>
          <cell r="W59">
            <v>0.22052623857939779</v>
          </cell>
          <cell r="Y59">
            <v>3834.9061728334132</v>
          </cell>
          <cell r="Z59">
            <v>5084.5660810943718</v>
          </cell>
          <cell r="AA59">
            <v>5689.4652984922259</v>
          </cell>
          <cell r="AB59">
            <v>6126.3179416933481</v>
          </cell>
          <cell r="AD59">
            <v>25.771810512626143</v>
          </cell>
          <cell r="AE59">
            <v>19.437740338835546</v>
          </cell>
          <cell r="AF59">
            <v>17.371135956511555</v>
          </cell>
          <cell r="AI59">
            <v>-0.13770812085617812</v>
          </cell>
          <cell r="AJ59">
            <v>-0.29327024779164879</v>
          </cell>
        </row>
        <row r="60">
          <cell r="A60" t="str">
            <v>PC HW Coverage Universe Average</v>
          </cell>
          <cell r="H60">
            <v>1550.9654500000001</v>
          </cell>
          <cell r="J60">
            <v>59393.988271000002</v>
          </cell>
          <cell r="K60">
            <v>54827.026369524952</v>
          </cell>
          <cell r="L60">
            <v>0.92310733738510475</v>
          </cell>
          <cell r="M60">
            <v>1953.9448752732328</v>
          </cell>
          <cell r="N60">
            <v>2538.2605266734254</v>
          </cell>
          <cell r="O60">
            <v>2847.6516168586531</v>
          </cell>
          <cell r="P60">
            <v>3401.0167147502425</v>
          </cell>
          <cell r="Q60">
            <v>3791.3494043082246</v>
          </cell>
          <cell r="S60">
            <v>0.22204981960011858</v>
          </cell>
          <cell r="T60">
            <v>0.22842574209551431</v>
          </cell>
          <cell r="U60">
            <v>0.32487547204964623</v>
          </cell>
          <cell r="V60">
            <v>0.22792457240726902</v>
          </cell>
          <cell r="W60">
            <v>0.22763155964484991</v>
          </cell>
          <cell r="Y60">
            <v>1943.8491398032506</v>
          </cell>
          <cell r="Z60">
            <v>2148.7535148692859</v>
          </cell>
          <cell r="AA60">
            <v>2576.6103136021911</v>
          </cell>
          <cell r="AB60">
            <v>2864.1121027864983</v>
          </cell>
          <cell r="AD60">
            <v>32.573065085569503</v>
          </cell>
          <cell r="AE60">
            <v>-1798.6366779985794</v>
          </cell>
          <cell r="AF60">
            <v>24.652541630021833</v>
          </cell>
        </row>
        <row r="61">
          <cell r="A61" t="str">
            <v>PC HW Coverage Universe Median</v>
          </cell>
          <cell r="H61">
            <v>1570.1100000000001</v>
          </cell>
          <cell r="J61">
            <v>65030.662800000006</v>
          </cell>
          <cell r="K61">
            <v>59865.555197301146</v>
          </cell>
          <cell r="L61">
            <v>0.92057427403771042</v>
          </cell>
          <cell r="M61">
            <v>1920.0209694157868</v>
          </cell>
          <cell r="N61">
            <v>2650.1663442012823</v>
          </cell>
          <cell r="O61">
            <v>2430.2829600496434</v>
          </cell>
          <cell r="P61">
            <v>3165.8243375867714</v>
          </cell>
          <cell r="Q61">
            <v>3623.9253445934792</v>
          </cell>
          <cell r="S61">
            <v>0.22687201095424792</v>
          </cell>
          <cell r="T61">
            <v>0.22134858121762757</v>
          </cell>
          <cell r="U61">
            <v>0.27897750481743322</v>
          </cell>
          <cell r="V61">
            <v>0.22084914481452106</v>
          </cell>
          <cell r="W61">
            <v>0.22026311928970074</v>
          </cell>
          <cell r="Y61">
            <v>1948.8743890514443</v>
          </cell>
          <cell r="Z61">
            <v>1755.2750974324092</v>
          </cell>
          <cell r="AA61">
            <v>2295.4955878580568</v>
          </cell>
          <cell r="AB61">
            <v>2640.4192338561211</v>
          </cell>
          <cell r="AD61">
            <v>21.595449580366079</v>
          </cell>
          <cell r="AE61">
            <v>22.541949899998443</v>
          </cell>
          <cell r="AF61">
            <v>24.579601894827778</v>
          </cell>
        </row>
        <row r="63">
          <cell r="A63" t="str">
            <v>Storage Hardware</v>
          </cell>
        </row>
        <row r="64">
          <cell r="A64" t="str">
            <v>EMC</v>
          </cell>
          <cell r="C64" t="str">
            <v>EMC</v>
          </cell>
          <cell r="D64" t="str">
            <v>12/06</v>
          </cell>
          <cell r="E64">
            <v>13.02</v>
          </cell>
          <cell r="F64">
            <v>17</v>
          </cell>
          <cell r="G64" t="str">
            <v>Overweight</v>
          </cell>
          <cell r="H64">
            <v>2122.3389999999999</v>
          </cell>
          <cell r="J64">
            <v>27632.853779999998</v>
          </cell>
          <cell r="K64">
            <v>21686.230647902648</v>
          </cell>
          <cell r="L64">
            <v>0.78479880581855166</v>
          </cell>
          <cell r="M64">
            <v>892.40048486336138</v>
          </cell>
          <cell r="N64">
            <v>1292.4495755811797</v>
          </cell>
          <cell r="O64">
            <v>1307.6971384705214</v>
          </cell>
          <cell r="P64">
            <v>1486.7244028197531</v>
          </cell>
          <cell r="Q64">
            <v>1883.6712823516573</v>
          </cell>
          <cell r="S64">
            <v>0.28092150957424389</v>
          </cell>
          <cell r="T64">
            <v>0.26336152242749983</v>
          </cell>
          <cell r="U64">
            <v>0.24890196465494596</v>
          </cell>
          <cell r="V64">
            <v>0.25999999999999662</v>
          </cell>
          <cell r="W64">
            <v>0.260000000000005</v>
          </cell>
          <cell r="Y64">
            <v>952.06808769534416</v>
          </cell>
          <cell r="Z64">
            <v>982.20875153155771</v>
          </cell>
          <cell r="AA64">
            <v>1100.1760580866223</v>
          </cell>
          <cell r="AB64">
            <v>1393.9167489402168</v>
          </cell>
          <cell r="AD64">
            <v>22.778024941890614</v>
          </cell>
          <cell r="AE64">
            <v>22.079044413000105</v>
          </cell>
          <cell r="AF64">
            <v>19.711600237527787</v>
          </cell>
          <cell r="AI64">
            <v>1.1068827563853523E-2</v>
          </cell>
          <cell r="AJ64">
            <v>0.28127989431005007</v>
          </cell>
        </row>
        <row r="65">
          <cell r="A65" t="str">
            <v>ISLN</v>
          </cell>
          <cell r="C65" t="str">
            <v>Isilon Systems</v>
          </cell>
          <cell r="D65" t="str">
            <v>12/06</v>
          </cell>
          <cell r="E65">
            <v>18.04</v>
          </cell>
          <cell r="F65">
            <v>25</v>
          </cell>
          <cell r="G65" t="str">
            <v>Overweight</v>
          </cell>
          <cell r="H65">
            <v>60.493000000000002</v>
          </cell>
          <cell r="J65">
            <v>1091.2937199999999</v>
          </cell>
          <cell r="K65">
            <v>794.01842153999996</v>
          </cell>
          <cell r="L65">
            <v>0.72759368718808359</v>
          </cell>
          <cell r="M65">
            <v>0</v>
          </cell>
          <cell r="N65">
            <v>-19.044198000000002</v>
          </cell>
          <cell r="O65">
            <v>-16.822306716868745</v>
          </cell>
          <cell r="P65">
            <v>-5.8577286116929077</v>
          </cell>
          <cell r="Q65">
            <v>10.991624362152182</v>
          </cell>
          <cell r="S65" t="str">
            <v>NA</v>
          </cell>
          <cell r="T65">
            <v>0</v>
          </cell>
          <cell r="U65">
            <v>0</v>
          </cell>
          <cell r="V65">
            <v>-4.8107580029143102E-2</v>
          </cell>
          <cell r="W65">
            <v>0.32616794904691199</v>
          </cell>
          <cell r="Y65">
            <v>-19.044198000000002</v>
          </cell>
          <cell r="Z65">
            <v>-16.822306716868745</v>
          </cell>
          <cell r="AA65">
            <v>-6.1395297596689256</v>
          </cell>
          <cell r="AB65">
            <v>7.406508787254932</v>
          </cell>
          <cell r="AD65">
            <v>-41.693455483922186</v>
          </cell>
          <cell r="AE65">
            <v>-47.200329592361413</v>
          </cell>
          <cell r="AF65">
            <v>-129.32886599165494</v>
          </cell>
          <cell r="AI65">
            <v>-3.1614514201292705</v>
          </cell>
          <cell r="AJ65">
            <v>-9.4065460821160123</v>
          </cell>
        </row>
        <row r="66">
          <cell r="A66" t="str">
            <v>NTAP</v>
          </cell>
          <cell r="C66" t="str">
            <v>Network Appliance</v>
          </cell>
          <cell r="D66" t="str">
            <v>04/06</v>
          </cell>
          <cell r="E66">
            <v>36.82</v>
          </cell>
          <cell r="F66" t="str">
            <v>NA</v>
          </cell>
          <cell r="G66" t="str">
            <v>Underweight</v>
          </cell>
          <cell r="H66">
            <v>370.11400000000003</v>
          </cell>
          <cell r="J66">
            <v>13627.597480000002</v>
          </cell>
          <cell r="K66">
            <v>13027.133330646106</v>
          </cell>
          <cell r="L66">
            <v>0.95593763682592303</v>
          </cell>
          <cell r="M66">
            <v>214.61934270601702</v>
          </cell>
          <cell r="N66">
            <v>292.59081522134306</v>
          </cell>
          <cell r="O66">
            <v>302.28168869364123</v>
          </cell>
          <cell r="P66">
            <v>345.24156278645512</v>
          </cell>
          <cell r="Q66">
            <v>462.32923855009892</v>
          </cell>
          <cell r="S66">
            <v>0.19413692247770947</v>
          </cell>
          <cell r="T66">
            <v>0.18229566174151121</v>
          </cell>
          <cell r="U66">
            <v>0.17995276818119857</v>
          </cell>
          <cell r="V66">
            <v>0.17890174271306594</v>
          </cell>
          <cell r="W66">
            <v>0.18000000000000244</v>
          </cell>
          <cell r="Y66">
            <v>239.25277894108009</v>
          </cell>
          <cell r="Z66">
            <v>247.88526204273319</v>
          </cell>
          <cell r="AA66">
            <v>283.47724554697595</v>
          </cell>
          <cell r="AB66">
            <v>379.10997561108002</v>
          </cell>
          <cell r="AD66">
            <v>54.44924564012797</v>
          </cell>
          <cell r="AE66">
            <v>52.553077271694939</v>
          </cell>
          <cell r="AF66">
            <v>45.954776036820689</v>
          </cell>
          <cell r="AI66">
            <v>1.4065705574956642</v>
          </cell>
          <cell r="AJ66">
            <v>1.9871207752782851</v>
          </cell>
        </row>
        <row r="67">
          <cell r="A67" t="str">
            <v>STX</v>
          </cell>
          <cell r="C67" t="str">
            <v>Seagate</v>
          </cell>
          <cell r="D67" t="str">
            <v>06/06</v>
          </cell>
          <cell r="E67">
            <v>24.62</v>
          </cell>
          <cell r="F67">
            <v>35</v>
          </cell>
          <cell r="G67" t="str">
            <v>Overweight</v>
          </cell>
          <cell r="H67">
            <v>555</v>
          </cell>
          <cell r="J67">
            <v>13664.1</v>
          </cell>
          <cell r="K67">
            <v>14438.876628511385</v>
          </cell>
          <cell r="L67">
            <v>1.056701621659047</v>
          </cell>
          <cell r="M67">
            <v>85.297546167349822</v>
          </cell>
          <cell r="N67">
            <v>1059.0510296994323</v>
          </cell>
          <cell r="O67">
            <v>696.81194648567964</v>
          </cell>
          <cell r="P67">
            <v>1374.5866910765615</v>
          </cell>
          <cell r="Q67">
            <v>1612.4323246056042</v>
          </cell>
          <cell r="S67">
            <v>0.19139454826473642</v>
          </cell>
          <cell r="T67">
            <v>3.7627544569812064E-3</v>
          </cell>
          <cell r="U67">
            <v>4.0484048964319466E-2</v>
          </cell>
          <cell r="V67">
            <v>5.0000000000000086E-2</v>
          </cell>
          <cell r="W67">
            <v>4.9999999999999975E-2</v>
          </cell>
          <cell r="Y67">
            <v>1055.0660807172603</v>
          </cell>
          <cell r="Z67">
            <v>668.60217752523067</v>
          </cell>
          <cell r="AA67">
            <v>1305.8573565227334</v>
          </cell>
          <cell r="AB67">
            <v>1531.8107083753241</v>
          </cell>
          <cell r="AD67">
            <v>13.685281796468592</v>
          </cell>
          <cell r="AE67">
            <v>21.595617115630038</v>
          </cell>
          <cell r="AF67">
            <v>11.057009064879454</v>
          </cell>
          <cell r="AI67">
            <v>-1.1068827563853301E-2</v>
          </cell>
          <cell r="AJ67">
            <v>-0.28127989431005018</v>
          </cell>
        </row>
        <row r="68">
          <cell r="A68" t="str">
            <v>Storage HW Coverage Universe Average</v>
          </cell>
          <cell r="H68">
            <v>776.98649999999998</v>
          </cell>
          <cell r="J68">
            <v>14003.961245</v>
          </cell>
          <cell r="K68">
            <v>12486.564757150034</v>
          </cell>
          <cell r="L68">
            <v>0.89164519514849838</v>
          </cell>
          <cell r="M68">
            <v>298.07934343418202</v>
          </cell>
          <cell r="N68">
            <v>656.26180562548871</v>
          </cell>
          <cell r="O68">
            <v>572.49211673324339</v>
          </cell>
          <cell r="P68">
            <v>800.17373201776923</v>
          </cell>
          <cell r="Q68">
            <v>992.35611746737811</v>
          </cell>
          <cell r="S68">
            <v>0.22215099343889658</v>
          </cell>
          <cell r="T68">
            <v>0.11235498465649806</v>
          </cell>
          <cell r="U68">
            <v>0.11733469545011599</v>
          </cell>
          <cell r="V68">
            <v>0.11019854067097988</v>
          </cell>
          <cell r="W68">
            <v>0.20404198726172981</v>
          </cell>
          <cell r="Y68">
            <v>556.83568733842117</v>
          </cell>
          <cell r="Z68">
            <v>470.46847109566318</v>
          </cell>
          <cell r="AA68">
            <v>670.84278259916573</v>
          </cell>
          <cell r="AB68">
            <v>828.06098542846894</v>
          </cell>
          <cell r="AD68">
            <v>12.304774223641248</v>
          </cell>
          <cell r="AE68">
            <v>12.256852301990918</v>
          </cell>
          <cell r="AF68">
            <v>-13.151370163106751</v>
          </cell>
        </row>
        <row r="69">
          <cell r="A69" t="str">
            <v>Storage HW Coverage Universe Median</v>
          </cell>
          <cell r="H69">
            <v>462.55700000000002</v>
          </cell>
          <cell r="J69">
            <v>13645.848740000001</v>
          </cell>
          <cell r="K69">
            <v>13733.004979578745</v>
          </cell>
          <cell r="L69">
            <v>1.0063870149258847</v>
          </cell>
          <cell r="M69">
            <v>149.95844443668341</v>
          </cell>
          <cell r="N69">
            <v>675.82092246038769</v>
          </cell>
          <cell r="O69">
            <v>499.54681758966046</v>
          </cell>
          <cell r="P69">
            <v>859.91412693150835</v>
          </cell>
          <cell r="Q69">
            <v>1037.3807815778514</v>
          </cell>
          <cell r="S69">
            <v>0.19413692247770947</v>
          </cell>
          <cell r="T69">
            <v>9.3029208099246211E-2</v>
          </cell>
          <cell r="U69">
            <v>0.11021840857275901</v>
          </cell>
          <cell r="V69">
            <v>0.11445087135653302</v>
          </cell>
          <cell r="W69">
            <v>0.22000000000000372</v>
          </cell>
          <cell r="Y69">
            <v>595.66043331821209</v>
          </cell>
          <cell r="Z69">
            <v>458.24371978398193</v>
          </cell>
          <cell r="AA69">
            <v>691.82665181679909</v>
          </cell>
          <cell r="AB69">
            <v>886.51336227564843</v>
          </cell>
          <cell r="AD69">
            <v>18.231653369179604</v>
          </cell>
          <cell r="AE69">
            <v>21.83733076431507</v>
          </cell>
          <cell r="AF69">
            <v>15.384304651203621</v>
          </cell>
        </row>
        <row r="72">
          <cell r="A72" t="str">
            <v>Comparables - Free Cash Flow Generation</v>
          </cell>
        </row>
        <row r="74">
          <cell r="N74" t="str">
            <v>FCF</v>
          </cell>
          <cell r="T74" t="str">
            <v>FCF Yield</v>
          </cell>
          <cell r="Z74" t="str">
            <v>P/FCF</v>
          </cell>
          <cell r="AE74" t="str">
            <v>Premium/Discount to Universe Median</v>
          </cell>
        </row>
        <row r="75">
          <cell r="F75" t="str">
            <v>Price</v>
          </cell>
          <cell r="H75" t="str">
            <v>Shares</v>
          </cell>
          <cell r="J75" t="str">
            <v>Market</v>
          </cell>
          <cell r="K75" t="str">
            <v>Enterprise</v>
          </cell>
          <cell r="L75" t="str">
            <v>EV as</v>
          </cell>
        </row>
        <row r="76">
          <cell r="A76" t="str">
            <v>Ticker</v>
          </cell>
          <cell r="C76" t="str">
            <v>Company</v>
          </cell>
          <cell r="D76" t="str">
            <v>FY</v>
          </cell>
          <cell r="E76" t="str">
            <v>Price</v>
          </cell>
          <cell r="F76" t="str">
            <v>Target</v>
          </cell>
          <cell r="G76" t="str">
            <v>Rating</v>
          </cell>
          <cell r="H76" t="str">
            <v>Out.</v>
          </cell>
          <cell r="J76" t="str">
            <v>Cap.</v>
          </cell>
          <cell r="K76" t="str">
            <v>Value</v>
          </cell>
          <cell r="L76" t="str">
            <v>% of MC</v>
          </cell>
          <cell r="M76">
            <v>2004</v>
          </cell>
          <cell r="N76">
            <v>2005</v>
          </cell>
          <cell r="O76" t="str">
            <v>2006E</v>
          </cell>
          <cell r="P76" t="str">
            <v>2007E</v>
          </cell>
          <cell r="Q76" t="str">
            <v>2008E</v>
          </cell>
          <cell r="S76">
            <v>2004</v>
          </cell>
          <cell r="T76">
            <v>2005</v>
          </cell>
          <cell r="U76" t="str">
            <v>2006E</v>
          </cell>
          <cell r="V76" t="str">
            <v>2007E</v>
          </cell>
          <cell r="W76" t="str">
            <v>2008E</v>
          </cell>
          <cell r="Y76">
            <v>2005</v>
          </cell>
          <cell r="Z76" t="str">
            <v>2006E</v>
          </cell>
          <cell r="AA76" t="str">
            <v>2007E</v>
          </cell>
          <cell r="AB76" t="str">
            <v>2008E</v>
          </cell>
          <cell r="AE76" t="str">
            <v>2006E</v>
          </cell>
          <cell r="AF76" t="str">
            <v>2007E</v>
          </cell>
          <cell r="AG76" t="str">
            <v>2008E</v>
          </cell>
        </row>
        <row r="77">
          <cell r="A77" t="str">
            <v>Systems Hardware</v>
          </cell>
        </row>
        <row r="78">
          <cell r="A78" t="str">
            <v>DELL</v>
          </cell>
          <cell r="C78" t="str">
            <v>Dell Computer Corp.</v>
          </cell>
          <cell r="D78" t="str">
            <v>01/07</v>
          </cell>
          <cell r="E78">
            <v>22.53</v>
          </cell>
          <cell r="F78">
            <v>30</v>
          </cell>
          <cell r="G78" t="str">
            <v>Overweight</v>
          </cell>
          <cell r="H78">
            <v>2280</v>
          </cell>
          <cell r="J78">
            <v>51368.4</v>
          </cell>
          <cell r="K78">
            <v>48813.672812920595</v>
          </cell>
          <cell r="L78">
            <v>0.95026656101651197</v>
          </cell>
          <cell r="M78">
            <v>4536</v>
          </cell>
          <cell r="N78">
            <v>3850</v>
          </cell>
          <cell r="O78">
            <v>5770.6207844484452</v>
          </cell>
          <cell r="P78">
            <v>2061.4219662722317</v>
          </cell>
          <cell r="Q78">
            <v>4952.419764868906</v>
          </cell>
          <cell r="S78">
            <v>8.8303314878407729E-2</v>
          </cell>
          <cell r="T78">
            <v>7.4948801208525082E-2</v>
          </cell>
          <cell r="U78">
            <v>0.11233795065543106</v>
          </cell>
          <cell r="V78">
            <v>4.0130157183642698E-2</v>
          </cell>
          <cell r="W78">
            <v>9.6409850508657191E-2</v>
          </cell>
          <cell r="Y78">
            <v>13.342441558441559</v>
          </cell>
          <cell r="Z78">
            <v>8.901711257554032</v>
          </cell>
          <cell r="AA78">
            <v>24.918915603141624</v>
          </cell>
          <cell r="AB78">
            <v>10.372384094820314</v>
          </cell>
          <cell r="AE78">
            <v>-0.44751341106294451</v>
          </cell>
          <cell r="AF78">
            <v>0.54659775893169238</v>
          </cell>
          <cell r="AG78">
            <v>-0.35623579086220902</v>
          </cell>
        </row>
        <row r="79">
          <cell r="A79" t="str">
            <v>HPQ</v>
          </cell>
          <cell r="C79" t="str">
            <v>Hewlett-Packard Co.</v>
          </cell>
          <cell r="D79" t="str">
            <v>10/06</v>
          </cell>
          <cell r="E79">
            <v>39.61</v>
          </cell>
          <cell r="F79" t="str">
            <v>NA</v>
          </cell>
          <cell r="G79" t="str">
            <v>Equal-Weight</v>
          </cell>
          <cell r="H79">
            <v>2692</v>
          </cell>
          <cell r="J79">
            <v>106630.12</v>
          </cell>
          <cell r="K79">
            <v>98832.475219963046</v>
          </cell>
          <cell r="L79">
            <v>0.92687202471462149</v>
          </cell>
          <cell r="M79">
            <v>3395</v>
          </cell>
          <cell r="N79">
            <v>4754</v>
          </cell>
          <cell r="O79">
            <v>5251</v>
          </cell>
          <cell r="P79">
            <v>6033.9490401319008</v>
          </cell>
          <cell r="Q79">
            <v>7773.168077409493</v>
          </cell>
          <cell r="S79">
            <v>3.1839033848972506E-2</v>
          </cell>
          <cell r="T79">
            <v>4.4584025601771812E-2</v>
          </cell>
          <cell r="U79">
            <v>4.9244997567291497E-2</v>
          </cell>
          <cell r="V79">
            <v>5.6587660598449115E-2</v>
          </cell>
          <cell r="W79">
            <v>7.2898427549453138E-2</v>
          </cell>
          <cell r="Y79">
            <v>22.429558266722758</v>
          </cell>
          <cell r="Z79">
            <v>20.306631117882308</v>
          </cell>
          <cell r="AA79">
            <v>17.67169714076158</v>
          </cell>
          <cell r="AB79">
            <v>13.717717015522947</v>
          </cell>
          <cell r="AE79">
            <v>0.26033534839733741</v>
          </cell>
          <cell r="AF79">
            <v>9.6797614699402512E-2</v>
          </cell>
          <cell r="AG79">
            <v>-0.14860699671890309</v>
          </cell>
        </row>
        <row r="80">
          <cell r="A80" t="str">
            <v>IBM</v>
          </cell>
          <cell r="C80" t="str">
            <v>International Business Machines Corp.</v>
          </cell>
          <cell r="D80" t="str">
            <v>12/06</v>
          </cell>
          <cell r="E80">
            <v>94.5</v>
          </cell>
          <cell r="F80">
            <v>105</v>
          </cell>
          <cell r="G80" t="str">
            <v>Overweight</v>
          </cell>
          <cell r="H80">
            <v>1506.4829999999999</v>
          </cell>
          <cell r="J80">
            <v>142362.64350000001</v>
          </cell>
          <cell r="K80">
            <v>138875.5106989762</v>
          </cell>
          <cell r="L80">
            <v>0.97550528203683007</v>
          </cell>
          <cell r="M80">
            <v>8405.9420111598247</v>
          </cell>
          <cell r="N80">
            <v>9359.9327469629498</v>
          </cell>
          <cell r="O80">
            <v>14123.481252429197</v>
          </cell>
          <cell r="P80">
            <v>12194.382191228311</v>
          </cell>
          <cell r="Q80">
            <v>13205.580221726599</v>
          </cell>
          <cell r="S80">
            <v>5.9045981477295513E-2</v>
          </cell>
          <cell r="T80">
            <v>6.574711256301552E-2</v>
          </cell>
          <cell r="U80">
            <v>9.9207776037322573E-2</v>
          </cell>
          <cell r="V80">
            <v>8.5657177272268833E-2</v>
          </cell>
          <cell r="W80">
            <v>9.27601503952587E-2</v>
          </cell>
          <cell r="Y80">
            <v>15.209793419316277</v>
          </cell>
          <cell r="Z80">
            <v>10.079855026926456</v>
          </cell>
          <cell r="AA80">
            <v>11.674444942557615</v>
          </cell>
          <cell r="AB80">
            <v>10.780491361203243</v>
          </cell>
          <cell r="AE80">
            <v>-0.37439166923317546</v>
          </cell>
          <cell r="AF80">
            <v>-0.27542310939667491</v>
          </cell>
          <cell r="AG80">
            <v>-0.33090652719585578</v>
          </cell>
        </row>
        <row r="81">
          <cell r="A81" t="str">
            <v>LXK</v>
          </cell>
          <cell r="C81" t="str">
            <v>Lexmark International Inc.</v>
          </cell>
          <cell r="D81" t="str">
            <v>12/06</v>
          </cell>
          <cell r="E81">
            <v>57.81</v>
          </cell>
          <cell r="F81" t="str">
            <v>NA</v>
          </cell>
          <cell r="G81" t="str">
            <v>Underweight</v>
          </cell>
          <cell r="H81">
            <v>97</v>
          </cell>
          <cell r="J81">
            <v>5607.5700000000006</v>
          </cell>
          <cell r="K81">
            <v>5091.6543653368071</v>
          </cell>
          <cell r="L81">
            <v>0.90799657700872327</v>
          </cell>
          <cell r="M81">
            <v>541.54698087493023</v>
          </cell>
          <cell r="N81">
            <v>401.42739160781844</v>
          </cell>
          <cell r="O81">
            <v>470.53082153229013</v>
          </cell>
          <cell r="P81">
            <v>407.57066024356038</v>
          </cell>
          <cell r="Q81">
            <v>382.95598369881463</v>
          </cell>
          <cell r="S81">
            <v>9.6574270294428805E-2</v>
          </cell>
          <cell r="T81">
            <v>7.158669291829052E-2</v>
          </cell>
          <cell r="U81">
            <v>8.3909932739544946E-2</v>
          </cell>
          <cell r="V81">
            <v>7.2682224251067809E-2</v>
          </cell>
          <cell r="W81">
            <v>6.8292680019832935E-2</v>
          </cell>
          <cell r="Y81">
            <v>13.96907664307675</v>
          </cell>
          <cell r="Z81">
            <v>11.917540240485993</v>
          </cell>
          <cell r="AA81">
            <v>13.758522256359106</v>
          </cell>
          <cell r="AB81">
            <v>14.642857766155744</v>
          </cell>
          <cell r="AE81">
            <v>-0.26033534839733752</v>
          </cell>
          <cell r="AF81">
            <v>-0.1460744108297356</v>
          </cell>
          <cell r="AG81">
            <v>-9.1187940672793233E-2</v>
          </cell>
        </row>
        <row r="82">
          <cell r="A82" t="str">
            <v>NCR</v>
          </cell>
          <cell r="C82" t="str">
            <v>NCR Corp.</v>
          </cell>
          <cell r="D82" t="str">
            <v>12/06</v>
          </cell>
          <cell r="E82">
            <v>47.79</v>
          </cell>
          <cell r="F82" t="str">
            <v>NA</v>
          </cell>
          <cell r="G82" t="str">
            <v>Equal-Weight</v>
          </cell>
          <cell r="H82">
            <v>178.9</v>
          </cell>
          <cell r="J82">
            <v>8549.6309999999994</v>
          </cell>
          <cell r="K82">
            <v>8482.2377008403364</v>
          </cell>
          <cell r="L82">
            <v>0.99211740259203429</v>
          </cell>
          <cell r="M82">
            <v>386</v>
          </cell>
          <cell r="N82">
            <v>597</v>
          </cell>
          <cell r="O82">
            <v>334</v>
          </cell>
          <cell r="P82">
            <v>457.42573718591461</v>
          </cell>
          <cell r="Q82">
            <v>568.75553271153376</v>
          </cell>
          <cell r="S82">
            <v>4.5148147329399368E-2</v>
          </cell>
          <cell r="T82">
            <v>6.9827575014640986E-2</v>
          </cell>
          <cell r="U82">
            <v>3.9066013492278208E-2</v>
          </cell>
          <cell r="V82">
            <v>5.3502395271318101E-2</v>
          </cell>
          <cell r="W82">
            <v>6.652398597220556E-2</v>
          </cell>
          <cell r="Y82">
            <v>14.320989949748743</v>
          </cell>
          <cell r="Z82">
            <v>25.597697604790419</v>
          </cell>
          <cell r="AA82">
            <v>18.690751973418397</v>
          </cell>
          <cell r="AB82">
            <v>15.032172011127097</v>
          </cell>
          <cell r="AE82">
            <v>0.58872650719956821</v>
          </cell>
          <cell r="AF82">
            <v>0.1600454680777752</v>
          </cell>
          <cell r="AG82">
            <v>-6.7025069848792973E-2</v>
          </cell>
        </row>
        <row r="83">
          <cell r="A83" t="str">
            <v>SUNW</v>
          </cell>
          <cell r="C83" t="str">
            <v>Sun Microsystems Inc.</v>
          </cell>
          <cell r="D83" t="str">
            <v>06/06</v>
          </cell>
          <cell r="E83">
            <v>6.2</v>
          </cell>
          <cell r="F83" t="str">
            <v>NA</v>
          </cell>
          <cell r="G83" t="str">
            <v>Equal-Weight</v>
          </cell>
          <cell r="H83">
            <v>3600.7530000000002</v>
          </cell>
          <cell r="J83">
            <v>22324.668600000001</v>
          </cell>
          <cell r="K83">
            <v>18230.864680851068</v>
          </cell>
          <cell r="L83">
            <v>0.81662420202067709</v>
          </cell>
          <cell r="M83">
            <v>1430.0152138646733</v>
          </cell>
          <cell r="N83">
            <v>11.917379346485177</v>
          </cell>
          <cell r="O83">
            <v>663.57754265280823</v>
          </cell>
          <cell r="P83">
            <v>1032.876044182819</v>
          </cell>
          <cell r="Q83">
            <v>1820.8423021080357</v>
          </cell>
          <cell r="S83">
            <v>6.4055383732086996E-2</v>
          </cell>
          <cell r="T83">
            <v>5.338211088376549E-4</v>
          </cell>
          <cell r="U83">
            <v>2.9723959380647119E-2</v>
          </cell>
          <cell r="V83">
            <v>4.6266131098708405E-2</v>
          </cell>
          <cell r="W83">
            <v>8.1561896157689689E-2</v>
          </cell>
          <cell r="Y83">
            <v>1873.2867311624407</v>
          </cell>
          <cell r="Z83">
            <v>33.64289350533452</v>
          </cell>
          <cell r="AA83">
            <v>21.61408305065553</v>
          </cell>
          <cell r="AB83">
            <v>12.260627169170093</v>
          </cell>
          <cell r="AE83">
            <v>1.0880532896370529</v>
          </cell>
          <cell r="AF83">
            <v>0.34148262869403867</v>
          </cell>
          <cell r="AG83">
            <v>-0.23904158572033363</v>
          </cell>
        </row>
        <row r="84">
          <cell r="A84" t="str">
            <v>Systems HW Coverage Universe Average</v>
          </cell>
          <cell r="H84">
            <v>1725.856</v>
          </cell>
          <cell r="J84">
            <v>56140.505516666664</v>
          </cell>
          <cell r="K84">
            <v>53054.402579814683</v>
          </cell>
          <cell r="L84">
            <v>0.94502894285595995</v>
          </cell>
          <cell r="M84">
            <v>3115.7507009832384</v>
          </cell>
          <cell r="N84">
            <v>3162.3795863195423</v>
          </cell>
          <cell r="O84">
            <v>4435.5350668437904</v>
          </cell>
          <cell r="P84">
            <v>3697.9376065407891</v>
          </cell>
          <cell r="Q84">
            <v>4783.9536470872299</v>
          </cell>
          <cell r="S84">
            <v>6.4161021926765149E-2</v>
          </cell>
          <cell r="T84">
            <v>5.4538004735846933E-2</v>
          </cell>
          <cell r="U84">
            <v>6.891510497875257E-2</v>
          </cell>
          <cell r="V84">
            <v>5.9137624279242497E-2</v>
          </cell>
          <cell r="W84">
            <v>7.9741165100516209E-2</v>
          </cell>
          <cell r="Y84">
            <v>325.42643183329113</v>
          </cell>
          <cell r="Z84">
            <v>18.407721458828956</v>
          </cell>
          <cell r="AA84">
            <v>18.054735827815644</v>
          </cell>
          <cell r="AB84">
            <v>12.801041569666573</v>
          </cell>
        </row>
        <row r="85">
          <cell r="A85" t="str">
            <v>Systems HW Coverage Universe Median</v>
          </cell>
          <cell r="H85">
            <v>1893.2415000000001</v>
          </cell>
          <cell r="J85">
            <v>36846.534299999999</v>
          </cell>
          <cell r="K85">
            <v>33522.268746885835</v>
          </cell>
          <cell r="L85">
            <v>0.90978078084499348</v>
          </cell>
          <cell r="M85">
            <v>2412.5076069323368</v>
          </cell>
          <cell r="N85">
            <v>2223.5</v>
          </cell>
          <cell r="O85">
            <v>2957.2887713264045</v>
          </cell>
          <cell r="P85">
            <v>1547.1490052275253</v>
          </cell>
          <cell r="Q85">
            <v>3386.6310334884711</v>
          </cell>
          <cell r="S85">
            <v>6.1550682604691251E-2</v>
          </cell>
          <cell r="T85">
            <v>6.7787343788828253E-2</v>
          </cell>
          <cell r="U85">
            <v>6.6577465153418225E-2</v>
          </cell>
          <cell r="V85">
            <v>5.5045027934883611E-2</v>
          </cell>
          <cell r="W85">
            <v>7.7230161853571413E-2</v>
          </cell>
          <cell r="Y85">
            <v>14.76539168453251</v>
          </cell>
          <cell r="Z85">
            <v>16.112085679184151</v>
          </cell>
          <cell r="AA85">
            <v>18.18122455708999</v>
          </cell>
          <cell r="AB85">
            <v>12.98917209234652</v>
          </cell>
        </row>
        <row r="87">
          <cell r="A87" t="str">
            <v>PC Hardware</v>
          </cell>
        </row>
        <row r="88">
          <cell r="A88" t="str">
            <v>AAPL</v>
          </cell>
          <cell r="C88" t="str">
            <v>Apple Computer Inc.</v>
          </cell>
          <cell r="D88" t="str">
            <v>09/06</v>
          </cell>
          <cell r="E88">
            <v>91.48</v>
          </cell>
          <cell r="F88">
            <v>110</v>
          </cell>
          <cell r="G88" t="str">
            <v>Overweight</v>
          </cell>
          <cell r="H88">
            <v>860.22</v>
          </cell>
          <cell r="J88">
            <v>78692.925600000002</v>
          </cell>
          <cell r="K88">
            <v>70917.43758168169</v>
          </cell>
          <cell r="L88">
            <v>0.90119203271407777</v>
          </cell>
          <cell r="M88">
            <v>1169.054288</v>
          </cell>
          <cell r="N88">
            <v>1445.2609758080007</v>
          </cell>
          <cell r="O88">
            <v>3080.7744832401054</v>
          </cell>
          <cell r="P88">
            <v>4861.5001100541285</v>
          </cell>
          <cell r="Q88">
            <v>3452.0650359131532</v>
          </cell>
          <cell r="S88">
            <v>1.4855900693568826E-2</v>
          </cell>
          <cell r="T88">
            <v>1.8365831042479384E-2</v>
          </cell>
          <cell r="U88">
            <v>3.9149319455980491E-2</v>
          </cell>
          <cell r="V88">
            <v>6.1778108679875141E-2</v>
          </cell>
          <cell r="W88">
            <v>4.386753967516939E-2</v>
          </cell>
          <cell r="Y88">
            <v>54.448938231384282</v>
          </cell>
          <cell r="Z88">
            <v>25.54322818112842</v>
          </cell>
          <cell r="AA88">
            <v>16.186963657010764</v>
          </cell>
          <cell r="AB88">
            <v>22.795898913064324</v>
          </cell>
          <cell r="AE88">
            <v>0.74903648093428199</v>
          </cell>
          <cell r="AF88">
            <v>-4.3850921707113133E-2</v>
          </cell>
          <cell r="AG88">
            <v>0.49925745867257909</v>
          </cell>
        </row>
        <row r="89">
          <cell r="A89" t="str">
            <v>DELL</v>
          </cell>
          <cell r="C89" t="str">
            <v>Dell Computer Corp.</v>
          </cell>
          <cell r="D89" t="str">
            <v>01/07</v>
          </cell>
          <cell r="E89">
            <v>22.53</v>
          </cell>
          <cell r="F89">
            <v>30</v>
          </cell>
          <cell r="G89" t="str">
            <v>Overweight</v>
          </cell>
          <cell r="H89">
            <v>2280</v>
          </cell>
          <cell r="J89">
            <v>51368.4</v>
          </cell>
          <cell r="K89">
            <v>48813.672812920595</v>
          </cell>
          <cell r="L89">
            <v>0.95026656101651197</v>
          </cell>
          <cell r="M89">
            <v>4536</v>
          </cell>
          <cell r="N89">
            <v>3850</v>
          </cell>
          <cell r="O89">
            <v>5770.6207844484452</v>
          </cell>
          <cell r="P89">
            <v>2061.4219662722317</v>
          </cell>
          <cell r="Q89">
            <v>4952.419764868906</v>
          </cell>
          <cell r="S89">
            <v>8.8303314878407729E-2</v>
          </cell>
          <cell r="T89">
            <v>7.4948801208525082E-2</v>
          </cell>
          <cell r="U89">
            <v>0.11233795065543106</v>
          </cell>
          <cell r="V89">
            <v>4.0130157183642698E-2</v>
          </cell>
          <cell r="W89">
            <v>9.6409850508657191E-2</v>
          </cell>
          <cell r="Y89">
            <v>13.342441558441559</v>
          </cell>
          <cell r="Z89">
            <v>8.901711257554032</v>
          </cell>
          <cell r="AA89">
            <v>24.918915603141624</v>
          </cell>
          <cell r="AB89">
            <v>10.372384094820314</v>
          </cell>
          <cell r="AE89">
            <v>-0.39046789145828398</v>
          </cell>
          <cell r="AF89">
            <v>0.47193746096308153</v>
          </cell>
          <cell r="AG89">
            <v>-0.31782140824181404</v>
          </cell>
        </row>
        <row r="90">
          <cell r="A90" t="str">
            <v>GTW</v>
          </cell>
          <cell r="C90" t="str">
            <v>Gateway Inc.</v>
          </cell>
          <cell r="D90" t="str">
            <v>12/06</v>
          </cell>
          <cell r="E90">
            <v>2.38</v>
          </cell>
          <cell r="F90" t="str">
            <v>NA</v>
          </cell>
          <cell r="G90" t="str">
            <v>Equal-Weight</v>
          </cell>
          <cell r="H90">
            <v>371.64180000000005</v>
          </cell>
          <cell r="J90">
            <v>884.50748400000009</v>
          </cell>
          <cell r="K90">
            <v>744.51986353447387</v>
          </cell>
          <cell r="L90">
            <v>0.84173382023579779</v>
          </cell>
          <cell r="M90">
            <v>-696.47</v>
          </cell>
          <cell r="N90">
            <v>-93.529999999999973</v>
          </cell>
          <cell r="O90">
            <v>-128.24312787197161</v>
          </cell>
          <cell r="P90">
            <v>-45.81122794251074</v>
          </cell>
          <cell r="Q90">
            <v>52.990321999350854</v>
          </cell>
          <cell r="S90">
            <v>-0.78740995706487427</v>
          </cell>
          <cell r="T90">
            <v>-0.10574246311295198</v>
          </cell>
          <cell r="U90">
            <v>-0.14498817725319732</v>
          </cell>
          <cell r="V90">
            <v>-5.1792922921736109E-2</v>
          </cell>
          <cell r="W90">
            <v>5.9909410556610788E-2</v>
          </cell>
          <cell r="Y90">
            <v>-9.4569387790013941</v>
          </cell>
          <cell r="Z90">
            <v>-6.8971140885071556</v>
          </cell>
          <cell r="AA90">
            <v>-19.307657177624293</v>
          </cell>
          <cell r="AB90">
            <v>16.691868451202005</v>
          </cell>
          <cell r="AE90">
            <v>-1.472270148018225</v>
          </cell>
          <cell r="AF90">
            <v>-2.1404855787382235</v>
          </cell>
          <cell r="AG90">
            <v>9.7803090375350843E-2</v>
          </cell>
        </row>
        <row r="91">
          <cell r="A91" t="str">
            <v>HPQ</v>
          </cell>
          <cell r="C91" t="str">
            <v>Hewlett-Packard Co.</v>
          </cell>
          <cell r="D91" t="str">
            <v>10/06</v>
          </cell>
          <cell r="E91">
            <v>39.61</v>
          </cell>
          <cell r="F91" t="str">
            <v>NA</v>
          </cell>
          <cell r="G91" t="str">
            <v>Equal-Weight</v>
          </cell>
          <cell r="H91">
            <v>2692</v>
          </cell>
          <cell r="J91">
            <v>106630.12</v>
          </cell>
          <cell r="K91">
            <v>98832.475219963046</v>
          </cell>
          <cell r="L91">
            <v>0.92687202471462149</v>
          </cell>
          <cell r="M91">
            <v>3395</v>
          </cell>
          <cell r="N91">
            <v>4754</v>
          </cell>
          <cell r="O91">
            <v>5251</v>
          </cell>
          <cell r="P91">
            <v>6033.9490401319008</v>
          </cell>
          <cell r="Q91">
            <v>7773.168077409493</v>
          </cell>
          <cell r="S91">
            <v>3.1839033848972506E-2</v>
          </cell>
          <cell r="T91">
            <v>4.4584025601771812E-2</v>
          </cell>
          <cell r="U91">
            <v>4.9244997567291497E-2</v>
          </cell>
          <cell r="V91">
            <v>5.6587660598449115E-2</v>
          </cell>
          <cell r="W91">
            <v>7.2898427549453138E-2</v>
          </cell>
          <cell r="Y91">
            <v>22.429558266722758</v>
          </cell>
          <cell r="Z91">
            <v>20.306631117882308</v>
          </cell>
          <cell r="AA91">
            <v>17.67169714076158</v>
          </cell>
          <cell r="AB91">
            <v>13.717717015522947</v>
          </cell>
          <cell r="AE91">
            <v>0.3904678914582842</v>
          </cell>
          <cell r="AF91">
            <v>4.3850921707113022E-2</v>
          </cell>
          <cell r="AG91">
            <v>-9.7803090375350954E-2</v>
          </cell>
        </row>
        <row r="92">
          <cell r="A92" t="str">
            <v>PC HW Coverage Universe Average</v>
          </cell>
          <cell r="H92">
            <v>1550.9654500000001</v>
          </cell>
          <cell r="J92">
            <v>59393.988271000002</v>
          </cell>
          <cell r="K92">
            <v>54827.026369524952</v>
          </cell>
          <cell r="L92">
            <v>0.92310733738510475</v>
          </cell>
          <cell r="M92">
            <v>2100.896072</v>
          </cell>
          <cell r="N92">
            <v>2488.9327439520002</v>
          </cell>
          <cell r="O92">
            <v>3493.5380349541447</v>
          </cell>
          <cell r="P92">
            <v>3227.7649721289376</v>
          </cell>
          <cell r="Q92">
            <v>4057.6608000477254</v>
          </cell>
          <cell r="S92">
            <v>-0.16310292691098133</v>
          </cell>
          <cell r="T92">
            <v>8.0390486849560745E-3</v>
          </cell>
          <cell r="U92">
            <v>1.3936022606376433E-2</v>
          </cell>
          <cell r="V92">
            <v>2.6675750885057713E-2</v>
          </cell>
          <cell r="W92">
            <v>6.8271307072472615E-2</v>
          </cell>
          <cell r="Y92">
            <v>20.190999819386803</v>
          </cell>
          <cell r="Z92">
            <v>11.963614117014401</v>
          </cell>
          <cell r="AA92">
            <v>9.8674798058224198</v>
          </cell>
          <cell r="AB92">
            <v>15.894467118652397</v>
          </cell>
        </row>
        <row r="93">
          <cell r="A93" t="str">
            <v>PC HW Coverage Universe Median</v>
          </cell>
          <cell r="H93">
            <v>1570.1100000000001</v>
          </cell>
          <cell r="J93">
            <v>65030.662800000006</v>
          </cell>
          <cell r="K93">
            <v>59865.555197301146</v>
          </cell>
          <cell r="L93">
            <v>0.92057427403771042</v>
          </cell>
          <cell r="M93">
            <v>2282.0271439999997</v>
          </cell>
          <cell r="N93">
            <v>2647.6304879040003</v>
          </cell>
          <cell r="O93">
            <v>4165.8872416200529</v>
          </cell>
          <cell r="P93">
            <v>3461.4610381631801</v>
          </cell>
          <cell r="Q93">
            <v>4202.2424003910292</v>
          </cell>
          <cell r="S93">
            <v>2.3347467271270666E-2</v>
          </cell>
          <cell r="T93">
            <v>3.1474928322125596E-2</v>
          </cell>
          <cell r="U93">
            <v>4.4197158511635998E-2</v>
          </cell>
          <cell r="V93">
            <v>4.835890889104591E-2</v>
          </cell>
          <cell r="W93">
            <v>6.640391905303196E-2</v>
          </cell>
          <cell r="Y93">
            <v>17.885999912582157</v>
          </cell>
          <cell r="Z93">
            <v>14.604171187718169</v>
          </cell>
          <cell r="AA93">
            <v>16.929330398886172</v>
          </cell>
          <cell r="AB93">
            <v>15.204792733362476</v>
          </cell>
        </row>
        <row r="95">
          <cell r="A95" t="str">
            <v>Storage Hardware</v>
          </cell>
        </row>
        <row r="96">
          <cell r="A96" t="str">
            <v>EMC</v>
          </cell>
          <cell r="C96" t="str">
            <v>EMC</v>
          </cell>
          <cell r="D96" t="str">
            <v>12/06</v>
          </cell>
          <cell r="E96">
            <v>13.02</v>
          </cell>
          <cell r="F96">
            <v>17</v>
          </cell>
          <cell r="G96" t="str">
            <v>Overweight</v>
          </cell>
          <cell r="H96">
            <v>2122.3389999999999</v>
          </cell>
          <cell r="J96">
            <v>27632.853779999998</v>
          </cell>
          <cell r="K96">
            <v>21686.230647902648</v>
          </cell>
          <cell r="L96">
            <v>0.78479880581855166</v>
          </cell>
          <cell r="M96">
            <v>1141.0884691016263</v>
          </cell>
          <cell r="N96">
            <v>1288.4082807334967</v>
          </cell>
          <cell r="O96">
            <v>722.31815072048266</v>
          </cell>
          <cell r="P96">
            <v>2231.6177776727363</v>
          </cell>
          <cell r="Q96">
            <v>2664.7675045408455</v>
          </cell>
          <cell r="S96">
            <v>4.1294629870169942E-2</v>
          </cell>
          <cell r="T96">
            <v>4.6625958034997313E-2</v>
          </cell>
          <cell r="U96">
            <v>2.6139831827405369E-2</v>
          </cell>
          <cell r="V96">
            <v>8.075958406033068E-2</v>
          </cell>
          <cell r="W96">
            <v>9.643475573520173E-2</v>
          </cell>
          <cell r="Y96">
            <v>21.447280488036363</v>
          </cell>
          <cell r="Z96">
            <v>38.255793174292187</v>
          </cell>
          <cell r="AA96">
            <v>12.382431282124477</v>
          </cell>
          <cell r="AB96">
            <v>10.369705324352976</v>
          </cell>
          <cell r="AE96">
            <v>14.312083026673065</v>
          </cell>
          <cell r="AF96">
            <v>-4.4864228650563165E-2</v>
          </cell>
          <cell r="AG96">
            <v>-0.80270389122430497</v>
          </cell>
        </row>
        <row r="97">
          <cell r="A97" t="str">
            <v>ISLN</v>
          </cell>
          <cell r="C97" t="str">
            <v>Isilon Systems</v>
          </cell>
          <cell r="D97" t="str">
            <v>12/06</v>
          </cell>
          <cell r="E97">
            <v>18.04</v>
          </cell>
          <cell r="F97">
            <v>25</v>
          </cell>
          <cell r="G97" t="str">
            <v>Overweight</v>
          </cell>
          <cell r="H97">
            <v>60.493000000000002</v>
          </cell>
          <cell r="J97">
            <v>1091.2937199999999</v>
          </cell>
          <cell r="K97">
            <v>794.01842153999996</v>
          </cell>
          <cell r="L97">
            <v>0.72759368718808359</v>
          </cell>
          <cell r="M97">
            <v>-14.525285999999998</v>
          </cell>
          <cell r="N97">
            <v>-23.309116000000003</v>
          </cell>
          <cell r="O97">
            <v>-32.811999999999998</v>
          </cell>
          <cell r="P97">
            <v>-13.118179003101272</v>
          </cell>
          <cell r="Q97">
            <v>11.517795530174563</v>
          </cell>
          <cell r="S97">
            <v>-1.3310152650745574E-2</v>
          </cell>
          <cell r="T97">
            <v>-2.1359158925609877E-2</v>
          </cell>
          <cell r="U97">
            <v>-3.006706572085836E-2</v>
          </cell>
          <cell r="V97">
            <v>-1.2020759180306905E-2</v>
          </cell>
          <cell r="W97">
            <v>1.0554258050870634E-2</v>
          </cell>
          <cell r="Y97">
            <v>-46.818322925674217</v>
          </cell>
          <cell r="Z97">
            <v>-33.258982079726927</v>
          </cell>
          <cell r="AA97">
            <v>-83.189421316937882</v>
          </cell>
          <cell r="AB97">
            <v>94.748488731285917</v>
          </cell>
          <cell r="AE97">
            <v>-14.312083026673065</v>
          </cell>
          <cell r="AF97">
            <v>-7.4169297844093611</v>
          </cell>
        </row>
        <row r="98">
          <cell r="A98" t="str">
            <v>NTAP</v>
          </cell>
          <cell r="C98" t="str">
            <v>Network Appliance</v>
          </cell>
          <cell r="D98" t="str">
            <v>04/06</v>
          </cell>
          <cell r="E98">
            <v>36.82</v>
          </cell>
          <cell r="F98" t="str">
            <v>NA</v>
          </cell>
          <cell r="G98" t="str">
            <v>Underweight</v>
          </cell>
          <cell r="H98">
            <v>370.11400000000003</v>
          </cell>
          <cell r="J98">
            <v>13627.597480000002</v>
          </cell>
          <cell r="K98">
            <v>13027.133330646106</v>
          </cell>
          <cell r="L98">
            <v>0.95593763682592303</v>
          </cell>
          <cell r="M98">
            <v>79.286000000000001</v>
          </cell>
          <cell r="N98">
            <v>123.75</v>
          </cell>
          <cell r="O98">
            <v>148.85</v>
          </cell>
          <cell r="P98">
            <v>134.98770687445722</v>
          </cell>
          <cell r="Q98">
            <v>138.62812335378237</v>
          </cell>
          <cell r="S98">
            <v>5.8180468065894171E-3</v>
          </cell>
          <cell r="T98">
            <v>9.0808376297888699E-3</v>
          </cell>
          <cell r="U98">
            <v>1.0922688332881399E-2</v>
          </cell>
          <cell r="V98">
            <v>9.9054662476321682E-3</v>
          </cell>
          <cell r="W98">
            <v>1.0172601851297295E-2</v>
          </cell>
          <cell r="Y98">
            <v>110.12199983838386</v>
          </cell>
          <cell r="Z98">
            <v>91.552552771246241</v>
          </cell>
          <cell r="AA98">
            <v>100.95435944159044</v>
          </cell>
          <cell r="AB98">
            <v>98.303267405719978</v>
          </cell>
          <cell r="AE98">
            <v>35.64439220879197</v>
          </cell>
          <cell r="AF98">
            <v>6.7872525822560386</v>
          </cell>
          <cell r="AG98">
            <v>0.87033782855303277</v>
          </cell>
        </row>
        <row r="99">
          <cell r="A99" t="str">
            <v>STX</v>
          </cell>
          <cell r="C99" t="str">
            <v>Seagate</v>
          </cell>
          <cell r="D99" t="str">
            <v>06/06</v>
          </cell>
          <cell r="E99">
            <v>24.62</v>
          </cell>
          <cell r="F99">
            <v>35</v>
          </cell>
          <cell r="G99" t="str">
            <v>Overweight</v>
          </cell>
          <cell r="H99">
            <v>555</v>
          </cell>
          <cell r="J99">
            <v>13664.1</v>
          </cell>
          <cell r="K99">
            <v>14438.876628511385</v>
          </cell>
          <cell r="L99">
            <v>1.056701621659047</v>
          </cell>
          <cell r="M99">
            <v>334</v>
          </cell>
          <cell r="N99">
            <v>806</v>
          </cell>
          <cell r="O99">
            <v>-317</v>
          </cell>
          <cell r="P99">
            <v>1008.7425828461734</v>
          </cell>
          <cell r="Q99">
            <v>1375.4598817331228</v>
          </cell>
          <cell r="S99">
            <v>2.4443615020381875E-2</v>
          </cell>
          <cell r="T99">
            <v>5.8986687743795785E-2</v>
          </cell>
          <cell r="U99">
            <v>-2.3199478926530105E-2</v>
          </cell>
          <cell r="V99">
            <v>7.3824297454363863E-2</v>
          </cell>
          <cell r="W99">
            <v>0.10066231085348634</v>
          </cell>
          <cell r="Y99">
            <v>16.952977667493798</v>
          </cell>
          <cell r="Z99">
            <v>-43.104416403785493</v>
          </cell>
          <cell r="AA99">
            <v>13.545675807049465</v>
          </cell>
          <cell r="AB99">
            <v>9.9342046841691989</v>
          </cell>
          <cell r="AE99">
            <v>-18.252770051950794</v>
          </cell>
          <cell r="AF99">
            <v>4.4864228650563165E-2</v>
          </cell>
          <cell r="AG99">
            <v>-0.81098981440052065</v>
          </cell>
        </row>
        <row r="100">
          <cell r="A100" t="str">
            <v>Storage HW Coverage Universe Average</v>
          </cell>
          <cell r="H100">
            <v>776.98649999999998</v>
          </cell>
          <cell r="J100">
            <v>14003.961245</v>
          </cell>
          <cell r="K100">
            <v>12486.564757150034</v>
          </cell>
          <cell r="L100">
            <v>0.89164519514849838</v>
          </cell>
          <cell r="M100">
            <v>384.96229577540657</v>
          </cell>
          <cell r="N100">
            <v>548.71229118337419</v>
          </cell>
          <cell r="O100">
            <v>130.33903768012067</v>
          </cell>
          <cell r="P100">
            <v>840.55747209756635</v>
          </cell>
          <cell r="Q100">
            <v>1047.5933262894814</v>
          </cell>
          <cell r="S100">
            <v>1.4561534761598917E-2</v>
          </cell>
          <cell r="T100">
            <v>2.3333581120743022E-2</v>
          </cell>
          <cell r="U100">
            <v>-4.0510061217754242E-3</v>
          </cell>
          <cell r="V100">
            <v>3.8117147145504952E-2</v>
          </cell>
          <cell r="W100">
            <v>5.4455981622714006E-2</v>
          </cell>
          <cell r="Y100">
            <v>25.42598376705995</v>
          </cell>
          <cell r="Z100">
            <v>13.361236865506502</v>
          </cell>
          <cell r="AA100">
            <v>10.923261303456623</v>
          </cell>
          <cell r="AB100">
            <v>53.338916536382023</v>
          </cell>
        </row>
        <row r="101">
          <cell r="A101" t="str">
            <v>Storage HW Coverage Universe Median</v>
          </cell>
          <cell r="H101">
            <v>462.55700000000002</v>
          </cell>
          <cell r="J101">
            <v>13645.848740000001</v>
          </cell>
          <cell r="K101">
            <v>13733.004979578745</v>
          </cell>
          <cell r="L101">
            <v>1.0063870149258847</v>
          </cell>
          <cell r="M101">
            <v>206.643</v>
          </cell>
          <cell r="N101">
            <v>464.875</v>
          </cell>
          <cell r="O101">
            <v>58.018999999999991</v>
          </cell>
          <cell r="P101">
            <v>571.86514486031524</v>
          </cell>
          <cell r="Q101">
            <v>757.04400254345262</v>
          </cell>
          <cell r="S101">
            <v>1.5130830913485646E-2</v>
          </cell>
          <cell r="T101">
            <v>2.7853397832393094E-2</v>
          </cell>
          <cell r="U101">
            <v>-6.1383952968243546E-3</v>
          </cell>
          <cell r="V101">
            <v>4.1864881850998015E-2</v>
          </cell>
          <cell r="W101">
            <v>5.3494506893036184E-2</v>
          </cell>
          <cell r="Y101">
            <v>19.20012907776508</v>
          </cell>
          <cell r="Z101">
            <v>2.4984055472826299</v>
          </cell>
          <cell r="AA101">
            <v>12.964053544586971</v>
          </cell>
          <cell r="AB101">
            <v>52.559097027819448</v>
          </cell>
        </row>
        <row r="103">
          <cell r="A103" t="str">
            <v>Notes</v>
          </cell>
        </row>
        <row r="104">
          <cell r="A104" t="str">
            <v>(1) Source: US Hardware Coverage Universe sources are Company Data, Morgan Stanley Research Estimates.</v>
          </cell>
        </row>
        <row r="105">
          <cell r="A105" t="str">
            <v>(2) FCF Definition = NI - depreciation/amortization - change in WIC - CapEx</v>
          </cell>
        </row>
        <row r="107">
          <cell r="B107" t="str">
            <v>e=Morgan Stanley Estimates.  All other values are actual.</v>
          </cell>
        </row>
        <row r="109">
          <cell r="B109" t="str">
            <v xml:space="preserve">ISLN.O : </v>
          </cell>
        </row>
        <row r="111">
          <cell r="B111" t="str">
            <v>ND = Not Disclosed, NA = Not Available, and NM = Non Meaningful</v>
          </cell>
        </row>
        <row r="113">
          <cell r="B113" t="str">
            <v>Consensus EPS provided by Thomson Financial/First Call</v>
          </cell>
        </row>
        <row r="115">
          <cell r="B115" t="str">
            <v xml:space="preserve">Although the information provided to you on this site is obtained or compiled from sources we believe to be reliable, </v>
          </cell>
        </row>
        <row r="116">
          <cell r="B116" t="str">
            <v xml:space="preserve">Morgan Stanley cannot and does not guarantee the accuracy, validity, timeliness or completeness of any information or </v>
          </cell>
        </row>
        <row r="117">
          <cell r="B117" t="str">
            <v>data made available to you for any particular purpose.</v>
          </cell>
        </row>
      </sheetData>
      <sheetData sheetId="2" refreshError="1">
        <row r="1">
          <cell r="T1" t="str">
            <v>US Enterprise Hardware Team</v>
          </cell>
        </row>
        <row r="2">
          <cell r="A2" t="str">
            <v>Valuation Multiples</v>
          </cell>
          <cell r="X2" t="str">
            <v>2007 EV/Sales</v>
          </cell>
          <cell r="AA2" t="str">
            <v>2007 P/E</v>
          </cell>
        </row>
        <row r="3">
          <cell r="W3">
            <v>12</v>
          </cell>
          <cell r="X3" t="str">
            <v>Gateway</v>
          </cell>
          <cell r="Y3">
            <v>0.1804211041082846</v>
          </cell>
          <cell r="Z3">
            <v>12</v>
          </cell>
          <cell r="AA3" t="e">
            <v>#N/A</v>
          </cell>
          <cell r="AB3" t="e">
            <v>#N/A</v>
          </cell>
          <cell r="AD3" t="str">
            <v>Dell</v>
          </cell>
          <cell r="AE3" t="str">
            <v>HP</v>
          </cell>
          <cell r="AF3" t="str">
            <v>IBM</v>
          </cell>
          <cell r="AG3" t="str">
            <v>Lexmark</v>
          </cell>
          <cell r="AH3" t="str">
            <v>NCR</v>
          </cell>
          <cell r="AI3" t="str">
            <v>Sun</v>
          </cell>
          <cell r="AJ3" t="str">
            <v>Apple</v>
          </cell>
          <cell r="AK3" t="str">
            <v>Gateway</v>
          </cell>
          <cell r="AL3" t="str">
            <v>EMC</v>
          </cell>
          <cell r="AM3" t="str">
            <v>Isilon</v>
          </cell>
          <cell r="AN3" t="str">
            <v>Network Appliance</v>
          </cell>
          <cell r="AO3" t="str">
            <v>Seagate</v>
          </cell>
        </row>
        <row r="4">
          <cell r="W4">
            <v>11</v>
          </cell>
          <cell r="X4" t="str">
            <v>Dell</v>
          </cell>
          <cell r="Y4">
            <v>0.83330122910694415</v>
          </cell>
          <cell r="Z4">
            <v>11</v>
          </cell>
          <cell r="AA4" t="str">
            <v>Seagate</v>
          </cell>
          <cell r="AB4">
            <v>9.9681547663605539</v>
          </cell>
          <cell r="AC4" t="str">
            <v>2007 EV/Sales</v>
          </cell>
          <cell r="AD4">
            <v>0.83330122910694415</v>
          </cell>
          <cell r="AE4">
            <v>0.9961159059296083</v>
          </cell>
          <cell r="AF4">
            <v>1.4830225013581697</v>
          </cell>
          <cell r="AG4">
            <v>1.0247936425959325</v>
          </cell>
          <cell r="AH4">
            <v>1.3367648174348143</v>
          </cell>
          <cell r="AI4">
            <v>1.286706789042295</v>
          </cell>
          <cell r="AJ4">
            <v>2.7583232838003764</v>
          </cell>
          <cell r="AK4">
            <v>0.1804211041082846</v>
          </cell>
          <cell r="AL4">
            <v>1.7033062292223673</v>
          </cell>
          <cell r="AM4">
            <v>6.1333211112241059</v>
          </cell>
          <cell r="AN4">
            <v>3.8602428716747519</v>
          </cell>
          <cell r="AO4">
            <v>1.1790788417919027</v>
          </cell>
        </row>
        <row r="5">
          <cell r="W5">
            <v>10</v>
          </cell>
          <cell r="X5" t="str">
            <v>HP</v>
          </cell>
          <cell r="Y5">
            <v>0.9961159059296083</v>
          </cell>
          <cell r="Z5">
            <v>10</v>
          </cell>
          <cell r="AA5" t="str">
            <v>IBM</v>
          </cell>
          <cell r="AB5">
            <v>14.07162677461123</v>
          </cell>
          <cell r="AD5">
            <v>11</v>
          </cell>
          <cell r="AE5">
            <v>10</v>
          </cell>
          <cell r="AF5">
            <v>5</v>
          </cell>
          <cell r="AG5">
            <v>9</v>
          </cell>
          <cell r="AH5">
            <v>6</v>
          </cell>
          <cell r="AI5">
            <v>7</v>
          </cell>
          <cell r="AJ5">
            <v>3</v>
          </cell>
          <cell r="AK5">
            <v>12</v>
          </cell>
          <cell r="AL5">
            <v>4</v>
          </cell>
          <cell r="AM5">
            <v>1</v>
          </cell>
          <cell r="AN5">
            <v>2</v>
          </cell>
          <cell r="AO5">
            <v>8</v>
          </cell>
        </row>
        <row r="6">
          <cell r="W6">
            <v>9</v>
          </cell>
          <cell r="X6" t="str">
            <v>Lexmark</v>
          </cell>
          <cell r="Y6">
            <v>1.0247936425959325</v>
          </cell>
          <cell r="Z6">
            <v>9</v>
          </cell>
          <cell r="AA6" t="str">
            <v>HP</v>
          </cell>
          <cell r="AB6">
            <v>14.932767916781</v>
          </cell>
          <cell r="AD6" t="str">
            <v>Dell</v>
          </cell>
          <cell r="AE6" t="str">
            <v>HP</v>
          </cell>
          <cell r="AF6" t="str">
            <v>IBM</v>
          </cell>
          <cell r="AG6" t="str">
            <v>Lexmark</v>
          </cell>
          <cell r="AH6" t="str">
            <v>NCR</v>
          </cell>
          <cell r="AI6" t="str">
            <v>Sun</v>
          </cell>
          <cell r="AJ6" t="str">
            <v>Apple</v>
          </cell>
          <cell r="AK6" t="str">
            <v>Gateway</v>
          </cell>
          <cell r="AL6" t="str">
            <v>EMC</v>
          </cell>
          <cell r="AM6" t="str">
            <v>Isilon</v>
          </cell>
          <cell r="AN6" t="str">
            <v>Network Appliance</v>
          </cell>
          <cell r="AO6" t="str">
            <v>Seagate</v>
          </cell>
        </row>
        <row r="7">
          <cell r="W7">
            <v>8</v>
          </cell>
          <cell r="X7" t="str">
            <v>Seagate</v>
          </cell>
          <cell r="Y7">
            <v>1.1790788417919027</v>
          </cell>
          <cell r="Z7">
            <v>8</v>
          </cell>
          <cell r="AA7" t="str">
            <v>Lexmark</v>
          </cell>
          <cell r="AB7">
            <v>15.002028186270248</v>
          </cell>
          <cell r="AC7" t="str">
            <v>2006 P/E Ratio</v>
          </cell>
          <cell r="AD7">
            <v>16.491984906520468</v>
          </cell>
          <cell r="AE7">
            <v>14.932767916781</v>
          </cell>
          <cell r="AF7">
            <v>14.07162677461123</v>
          </cell>
          <cell r="AG7">
            <v>15.002028186270248</v>
          </cell>
          <cell r="AH7">
            <v>19.161808647218127</v>
          </cell>
          <cell r="AI7">
            <v>37.714140836449396</v>
          </cell>
          <cell r="AJ7">
            <v>25.240200386234221</v>
          </cell>
          <cell r="AK7">
            <v>30.668866626854964</v>
          </cell>
          <cell r="AL7">
            <v>18.455892694747771</v>
          </cell>
          <cell r="AM7" t="str">
            <v>-</v>
          </cell>
          <cell r="AN7">
            <v>40.988219168241251</v>
          </cell>
          <cell r="AO7">
            <v>9.9681547663605539</v>
          </cell>
        </row>
        <row r="8">
          <cell r="W8">
            <v>7</v>
          </cell>
          <cell r="X8" t="str">
            <v>Sun</v>
          </cell>
          <cell r="Y8">
            <v>1.286706789042295</v>
          </cell>
          <cell r="Z8">
            <v>7</v>
          </cell>
          <cell r="AA8" t="str">
            <v>Dell</v>
          </cell>
          <cell r="AB8">
            <v>16.491984906520468</v>
          </cell>
          <cell r="AD8">
            <v>7</v>
          </cell>
          <cell r="AE8">
            <v>9</v>
          </cell>
          <cell r="AF8">
            <v>10</v>
          </cell>
          <cell r="AG8">
            <v>8</v>
          </cell>
          <cell r="AH8">
            <v>5</v>
          </cell>
          <cell r="AI8">
            <v>2</v>
          </cell>
          <cell r="AJ8">
            <v>4</v>
          </cell>
          <cell r="AK8">
            <v>3</v>
          </cell>
          <cell r="AL8">
            <v>6</v>
          </cell>
          <cell r="AM8" t="e">
            <v>#VALUE!</v>
          </cell>
          <cell r="AN8">
            <v>1</v>
          </cell>
          <cell r="AO8">
            <v>11</v>
          </cell>
        </row>
        <row r="9">
          <cell r="W9">
            <v>6</v>
          </cell>
          <cell r="X9" t="str">
            <v>NCR</v>
          </cell>
          <cell r="Y9">
            <v>1.3367648174348143</v>
          </cell>
          <cell r="Z9">
            <v>6</v>
          </cell>
          <cell r="AA9" t="str">
            <v>EMC</v>
          </cell>
          <cell r="AB9">
            <v>18.455892694747771</v>
          </cell>
        </row>
        <row r="10">
          <cell r="W10">
            <v>5</v>
          </cell>
          <cell r="X10" t="str">
            <v>IBM</v>
          </cell>
          <cell r="Y10">
            <v>1.4830225013581697</v>
          </cell>
          <cell r="Z10">
            <v>5</v>
          </cell>
          <cell r="AA10" t="str">
            <v>NCR</v>
          </cell>
          <cell r="AB10">
            <v>19.161808647218127</v>
          </cell>
        </row>
        <row r="11">
          <cell r="W11">
            <v>4</v>
          </cell>
          <cell r="X11" t="str">
            <v>EMC</v>
          </cell>
          <cell r="Y11">
            <v>1.7033062292223673</v>
          </cell>
          <cell r="Z11">
            <v>4</v>
          </cell>
          <cell r="AA11" t="str">
            <v>Apple</v>
          </cell>
          <cell r="AB11">
            <v>25.240200386234221</v>
          </cell>
        </row>
        <row r="12">
          <cell r="W12">
            <v>3</v>
          </cell>
          <cell r="X12" t="str">
            <v>Apple</v>
          </cell>
          <cell r="Y12">
            <v>2.7583232838003764</v>
          </cell>
          <cell r="Z12">
            <v>3</v>
          </cell>
          <cell r="AA12" t="str">
            <v>Gateway</v>
          </cell>
          <cell r="AB12">
            <v>30.668866626854964</v>
          </cell>
        </row>
        <row r="13">
          <cell r="W13">
            <v>2</v>
          </cell>
          <cell r="X13" t="str">
            <v>Network Appliance</v>
          </cell>
          <cell r="Y13">
            <v>3.8602428716747519</v>
          </cell>
          <cell r="Z13">
            <v>2</v>
          </cell>
          <cell r="AA13" t="str">
            <v>Sun</v>
          </cell>
          <cell r="AB13">
            <v>37.714140836449396</v>
          </cell>
        </row>
        <row r="14">
          <cell r="W14">
            <v>1</v>
          </cell>
          <cell r="X14" t="str">
            <v>Isilon</v>
          </cell>
          <cell r="Y14">
            <v>6.1333211112241059</v>
          </cell>
          <cell r="Z14">
            <v>1</v>
          </cell>
          <cell r="AA14" t="str">
            <v>Network Appliance</v>
          </cell>
          <cell r="AB14">
            <v>40.988219168241251</v>
          </cell>
        </row>
        <row r="15">
          <cell r="X15" t="str">
            <v>Universe Avge</v>
          </cell>
          <cell r="Y15">
            <v>1.897949860607463</v>
          </cell>
          <cell r="AA15" t="str">
            <v>Universe Avge</v>
          </cell>
          <cell r="AB15">
            <v>22.06324462820811</v>
          </cell>
        </row>
        <row r="18">
          <cell r="X18" t="str">
            <v>EV/Sales</v>
          </cell>
          <cell r="Y18" t="str">
            <v>2006 EV/Sales</v>
          </cell>
          <cell r="Z18" t="str">
            <v>'05-'07 Sales CAGR</v>
          </cell>
        </row>
        <row r="19">
          <cell r="X19" t="str">
            <v>DELL</v>
          </cell>
          <cell r="Y19">
            <v>0.83330122910694415</v>
          </cell>
          <cell r="Z19">
            <v>2.3608570178512922E-2</v>
          </cell>
        </row>
        <row r="20">
          <cell r="X20" t="str">
            <v>HPQ</v>
          </cell>
          <cell r="Y20">
            <v>0.9961159059296083</v>
          </cell>
          <cell r="Z20">
            <v>6.2422887640180447E-2</v>
          </cell>
        </row>
        <row r="21">
          <cell r="X21" t="str">
            <v>IBM</v>
          </cell>
          <cell r="Y21">
            <v>1.4830225013581697</v>
          </cell>
          <cell r="Z21">
            <v>1.3675811381409497E-2</v>
          </cell>
        </row>
        <row r="22">
          <cell r="X22" t="str">
            <v>LXK</v>
          </cell>
          <cell r="Y22">
            <v>1.0247936425959325</v>
          </cell>
          <cell r="Z22">
            <v>-2.4520708449449757E-2</v>
          </cell>
        </row>
        <row r="23">
          <cell r="X23" t="str">
            <v>NCR</v>
          </cell>
          <cell r="Y23">
            <v>1.3367648174348143</v>
          </cell>
          <cell r="Z23">
            <v>2.5985195486709411E-2</v>
          </cell>
        </row>
        <row r="24">
          <cell r="X24" t="str">
            <v>SUNW</v>
          </cell>
          <cell r="Y24">
            <v>1.286706789042295</v>
          </cell>
          <cell r="Z24">
            <v>0.10213137573518827</v>
          </cell>
        </row>
        <row r="25">
          <cell r="X25" t="str">
            <v>AAPL</v>
          </cell>
          <cell r="Y25">
            <v>2.7583232838003764</v>
          </cell>
          <cell r="Z25">
            <v>0.26018686460762108</v>
          </cell>
        </row>
        <row r="26">
          <cell r="X26" t="str">
            <v>GTW</v>
          </cell>
          <cell r="Y26">
            <v>0.1804211041082846</v>
          </cell>
          <cell r="Z26">
            <v>3.4749388222039324E-2</v>
          </cell>
        </row>
        <row r="27">
          <cell r="X27" t="str">
            <v>EMC</v>
          </cell>
          <cell r="Y27">
            <v>1.7033062292223673</v>
          </cell>
          <cell r="Z27">
            <v>0.14780812634033746</v>
          </cell>
        </row>
        <row r="28">
          <cell r="X28" t="str">
            <v>ISLN</v>
          </cell>
          <cell r="Y28">
            <v>6.1333211112241059</v>
          </cell>
          <cell r="Z28">
            <v>1.4779996081645286</v>
          </cell>
        </row>
        <row r="29">
          <cell r="X29" t="str">
            <v>NTAP</v>
          </cell>
          <cell r="Y29">
            <v>3.8602428716747519</v>
          </cell>
          <cell r="Z29">
            <v>0.32565230549712476</v>
          </cell>
        </row>
        <row r="30">
          <cell r="X30" t="str">
            <v>STX</v>
          </cell>
          <cell r="Y30">
            <v>1.1790788417919027</v>
          </cell>
          <cell r="Z30">
            <v>-6.2702618120266118E-3</v>
          </cell>
        </row>
        <row r="31">
          <cell r="X31" t="str">
            <v>Universe Avge</v>
          </cell>
          <cell r="Y31">
            <v>1.897949860607463</v>
          </cell>
          <cell r="Z31">
            <v>0.20361909691601462</v>
          </cell>
        </row>
        <row r="32">
          <cell r="X32" t="str">
            <v>P/E</v>
          </cell>
          <cell r="Y32" t="str">
            <v>2007 P/E</v>
          </cell>
          <cell r="Z32" t="str">
            <v>'05-'07 EPS CAGR</v>
          </cell>
        </row>
        <row r="33">
          <cell r="X33" t="str">
            <v>DELL</v>
          </cell>
          <cell r="Y33">
            <v>16.491984906520468</v>
          </cell>
        </row>
        <row r="34">
          <cell r="X34" t="str">
            <v>HPQ</v>
          </cell>
          <cell r="Y34">
            <v>14.932767916781</v>
          </cell>
          <cell r="Z34">
            <v>0.26733244366508435</v>
          </cell>
        </row>
        <row r="35">
          <cell r="X35" t="str">
            <v>IBM</v>
          </cell>
          <cell r="Y35">
            <v>14.07162677461123</v>
          </cell>
          <cell r="Z35">
            <v>0.13245012368115594</v>
          </cell>
        </row>
        <row r="36">
          <cell r="X36" t="str">
            <v>LXK</v>
          </cell>
          <cell r="Y36">
            <v>15.002028186270248</v>
          </cell>
          <cell r="Z36">
            <v>6.756655218995844E-2</v>
          </cell>
        </row>
        <row r="37">
          <cell r="X37" t="str">
            <v>NCR</v>
          </cell>
          <cell r="Y37">
            <v>19.161808647218127</v>
          </cell>
          <cell r="Z37">
            <v>0.21403170875407596</v>
          </cell>
        </row>
        <row r="38">
          <cell r="X38" t="str">
            <v>SUNW</v>
          </cell>
          <cell r="Y38">
            <v>37.714140836449396</v>
          </cell>
        </row>
        <row r="39">
          <cell r="X39" t="str">
            <v>AAPL</v>
          </cell>
          <cell r="Y39">
            <v>25.240200386234221</v>
          </cell>
          <cell r="Z39">
            <v>0.44791472455296666</v>
          </cell>
        </row>
        <row r="40">
          <cell r="X40" t="str">
            <v>GTW</v>
          </cell>
          <cell r="Y40">
            <v>30.668866626854964</v>
          </cell>
        </row>
        <row r="41">
          <cell r="X41" t="str">
            <v>EMC</v>
          </cell>
          <cell r="Y41">
            <v>18.455892694747771</v>
          </cell>
          <cell r="Z41">
            <v>0.15232312353891686</v>
          </cell>
        </row>
        <row r="42">
          <cell r="X42" t="str">
            <v>ISLN</v>
          </cell>
          <cell r="Y42" t="str">
            <v>-</v>
          </cell>
        </row>
        <row r="43">
          <cell r="X43" t="str">
            <v>NTAP</v>
          </cell>
          <cell r="Y43">
            <v>40.988219168241251</v>
          </cell>
          <cell r="Z43">
            <v>9.0276516024488718E-2</v>
          </cell>
        </row>
        <row r="44">
          <cell r="X44" t="str">
            <v>STX</v>
          </cell>
          <cell r="Y44">
            <v>9.9681547663605539</v>
          </cell>
          <cell r="Z44">
            <v>0.20392313822870078</v>
          </cell>
        </row>
        <row r="45">
          <cell r="X45" t="str">
            <v>Universe Avge</v>
          </cell>
          <cell r="Y45">
            <v>22.06324462820811</v>
          </cell>
          <cell r="Z45">
            <v>0.19697729132941846</v>
          </cell>
        </row>
      </sheetData>
      <sheetData sheetId="3" refreshError="1"/>
      <sheetData sheetId="4" refreshError="1"/>
      <sheetData sheetId="5" refreshError="1"/>
      <sheetData sheetId="6" refreshError="1">
        <row r="1">
          <cell r="Y1" t="str">
            <v>US Enterprise Hardware Team</v>
          </cell>
        </row>
        <row r="2">
          <cell r="A2" t="str">
            <v>Performance</v>
          </cell>
        </row>
        <row r="4">
          <cell r="A4">
            <v>39168</v>
          </cell>
        </row>
        <row r="5">
          <cell r="E5" t="str">
            <v>% Change</v>
          </cell>
          <cell r="S5" t="str">
            <v>52 Week</v>
          </cell>
          <cell r="X5" t="str">
            <v>5 Year</v>
          </cell>
          <cell r="AB5" t="str">
            <v>From Specific Dates</v>
          </cell>
        </row>
        <row r="6">
          <cell r="AB6" t="str">
            <v>Industy Rating Change</v>
          </cell>
          <cell r="AC6" t="str">
            <v>Market Bottom</v>
          </cell>
          <cell r="AD6" t="str">
            <v>Recent Market Bottom</v>
          </cell>
        </row>
        <row r="7">
          <cell r="B7" t="str">
            <v>Ticker</v>
          </cell>
          <cell r="C7" t="str">
            <v>Price target</v>
          </cell>
          <cell r="D7" t="str">
            <v>Price</v>
          </cell>
          <cell r="E7" t="str">
            <v>1-Day</v>
          </cell>
          <cell r="F7" t="str">
            <v>2-Day</v>
          </cell>
          <cell r="G7" t="str">
            <v>3-Day</v>
          </cell>
          <cell r="H7" t="str">
            <v>4-Day</v>
          </cell>
          <cell r="I7" t="str">
            <v>1 Week</v>
          </cell>
          <cell r="J7" t="str">
            <v>1 Month</v>
          </cell>
          <cell r="K7" t="str">
            <v>3 Month</v>
          </cell>
          <cell r="L7" t="str">
            <v>6 Month</v>
          </cell>
          <cell r="M7" t="str">
            <v>YTD</v>
          </cell>
          <cell r="N7" t="str">
            <v>52 Week</v>
          </cell>
          <cell r="O7" t="str">
            <v>3-Year</v>
          </cell>
          <cell r="Q7" t="str">
            <v>High</v>
          </cell>
          <cell r="R7" t="str">
            <v>Low</v>
          </cell>
          <cell r="S7" t="str">
            <v>% Below Hi</v>
          </cell>
          <cell r="T7" t="str">
            <v>% Above Lo</v>
          </cell>
          <cell r="V7" t="str">
            <v>Hi</v>
          </cell>
          <cell r="W7" t="str">
            <v>Lo</v>
          </cell>
          <cell r="X7" t="str">
            <v>% Below Hi</v>
          </cell>
          <cell r="Y7" t="str">
            <v>% Above Lo</v>
          </cell>
          <cell r="Z7" t="str">
            <v>IPO Date</v>
          </cell>
          <cell r="AB7">
            <v>37803</v>
          </cell>
          <cell r="AC7">
            <v>37529</v>
          </cell>
          <cell r="AD7">
            <v>37711</v>
          </cell>
        </row>
        <row r="9">
          <cell r="A9" t="str">
            <v>US Hardware Coverage Universe</v>
          </cell>
        </row>
        <row r="10">
          <cell r="A10" t="str">
            <v>Dell Computer Corp.</v>
          </cell>
          <cell r="B10" t="str">
            <v>DELL</v>
          </cell>
          <cell r="C10">
            <v>30</v>
          </cell>
          <cell r="D10">
            <v>22.53</v>
          </cell>
          <cell r="E10">
            <v>3.1167230000000001E-3</v>
          </cell>
          <cell r="F10">
            <v>1.333356E-3</v>
          </cell>
          <cell r="G10">
            <v>3.1167269999999997E-3</v>
          </cell>
          <cell r="H10">
            <v>9.4085929999999998E-3</v>
          </cell>
          <cell r="I10">
            <v>3.3960519999999994E-2</v>
          </cell>
          <cell r="J10">
            <v>-8.1532809999999997E-2</v>
          </cell>
          <cell r="K10">
            <v>-0.12572757999999998</v>
          </cell>
          <cell r="L10">
            <v>4.7907000000000005E-2</v>
          </cell>
          <cell r="M10">
            <v>-0.10203266</v>
          </cell>
          <cell r="N10">
            <v>-0.24294350000000001</v>
          </cell>
          <cell r="O10">
            <v>-0.31560940000000004</v>
          </cell>
          <cell r="Q10">
            <v>30.8</v>
          </cell>
          <cell r="R10">
            <v>18.95</v>
          </cell>
          <cell r="S10">
            <v>0.26850649350649347</v>
          </cell>
          <cell r="T10">
            <v>0.18891820580474938</v>
          </cell>
          <cell r="V10">
            <v>42.38</v>
          </cell>
          <cell r="W10">
            <v>19.91</v>
          </cell>
          <cell r="X10">
            <v>-0.4683813119395942</v>
          </cell>
          <cell r="Y10">
            <v>0.13159216474133606</v>
          </cell>
          <cell r="Z10" t="str">
            <v>6/22/88</v>
          </cell>
          <cell r="AB10">
            <v>0.31920000000000004</v>
          </cell>
          <cell r="AC10">
            <v>0.2351</v>
          </cell>
          <cell r="AD10">
            <v>0.27310000000000001</v>
          </cell>
        </row>
        <row r="11">
          <cell r="A11" t="str">
            <v>Hewlett-Packard Co.</v>
          </cell>
          <cell r="B11" t="str">
            <v>HPQ</v>
          </cell>
          <cell r="C11" t="str">
            <v>NA</v>
          </cell>
          <cell r="D11">
            <v>39.61</v>
          </cell>
          <cell r="E11">
            <v>-1.492162E-2</v>
          </cell>
          <cell r="F11">
            <v>-7.5169209999999993E-3</v>
          </cell>
          <cell r="G11">
            <v>-2.2670030000000001E-3</v>
          </cell>
          <cell r="H11">
            <v>-4.5237539999999996E-3</v>
          </cell>
          <cell r="I11">
            <v>1.5171000000000002E-3</v>
          </cell>
          <cell r="J11">
            <v>-8.1613729999999995E-2</v>
          </cell>
          <cell r="K11">
            <v>-4.1848079999999996E-2</v>
          </cell>
          <cell r="L11">
            <v>7.694405E-2</v>
          </cell>
          <cell r="M11">
            <v>-3.8358779999999995E-2</v>
          </cell>
          <cell r="N11">
            <v>0.16637230000000003</v>
          </cell>
          <cell r="O11">
            <v>0.83125300000000013</v>
          </cell>
          <cell r="Q11">
            <v>43.72</v>
          </cell>
          <cell r="R11">
            <v>29</v>
          </cell>
          <cell r="S11">
            <v>9.4007319304665993E-2</v>
          </cell>
          <cell r="T11">
            <v>0.36586206896551721</v>
          </cell>
          <cell r="V11">
            <v>43.53</v>
          </cell>
          <cell r="W11">
            <v>11.16</v>
          </cell>
          <cell r="X11">
            <v>-9.0052837123822727E-2</v>
          </cell>
          <cell r="Y11">
            <v>2.5492831541218637</v>
          </cell>
          <cell r="Z11" t="str">
            <v>1/21/72</v>
          </cell>
          <cell r="AB11">
            <v>0.21179999999999999</v>
          </cell>
          <cell r="AC11">
            <v>0.1167</v>
          </cell>
          <cell r="AD11">
            <v>0.1555</v>
          </cell>
        </row>
        <row r="12">
          <cell r="A12" t="str">
            <v>International Business Machines Corp.</v>
          </cell>
          <cell r="B12" t="str">
            <v>IBM</v>
          </cell>
          <cell r="C12">
            <v>105</v>
          </cell>
          <cell r="D12">
            <v>94.5</v>
          </cell>
          <cell r="E12">
            <v>5.4261320000000002E-3</v>
          </cell>
          <cell r="F12">
            <v>1.3404849999999999E-2</v>
          </cell>
          <cell r="G12">
            <v>1.123595E-2</v>
          </cell>
          <cell r="H12">
            <v>7.8924889999999991E-3</v>
          </cell>
          <cell r="I12">
            <v>1.930753E-2</v>
          </cell>
          <cell r="J12">
            <v>-4.8817300000000001E-2</v>
          </cell>
          <cell r="K12">
            <v>-1.5625E-2</v>
          </cell>
          <cell r="L12">
            <v>0.13282189</v>
          </cell>
          <cell r="M12">
            <v>-2.7277419999999997E-2</v>
          </cell>
          <cell r="N12">
            <v>0.13065323999999998</v>
          </cell>
          <cell r="O12">
            <v>3.1434150000000001E-2</v>
          </cell>
          <cell r="Q12">
            <v>100.9</v>
          </cell>
          <cell r="R12">
            <v>72.73</v>
          </cell>
          <cell r="S12">
            <v>6.3429137760158572E-2</v>
          </cell>
          <cell r="T12">
            <v>0.29932627526467748</v>
          </cell>
          <cell r="V12">
            <v>106.78</v>
          </cell>
          <cell r="W12">
            <v>55.07</v>
          </cell>
          <cell r="X12">
            <v>-0.11500280951489039</v>
          </cell>
          <cell r="Y12">
            <v>0.71599782095514808</v>
          </cell>
          <cell r="Z12" t="str">
            <v>1/21/72</v>
          </cell>
          <cell r="AB12">
            <v>0.83590000000000009</v>
          </cell>
          <cell r="AC12">
            <v>0.58310000000000006</v>
          </cell>
          <cell r="AD12">
            <v>0.78430000000000011</v>
          </cell>
        </row>
        <row r="13">
          <cell r="A13" t="str">
            <v>Lexmark International Inc.</v>
          </cell>
          <cell r="B13" t="str">
            <v>LXK</v>
          </cell>
          <cell r="C13" t="str">
            <v>NA</v>
          </cell>
          <cell r="D13">
            <v>57.81</v>
          </cell>
          <cell r="E13">
            <v>-2.6111849999999999E-2</v>
          </cell>
          <cell r="F13">
            <v>-2.3974300000000004E-2</v>
          </cell>
          <cell r="G13">
            <v>-1.833922E-2</v>
          </cell>
          <cell r="H13">
            <v>-2.0003379999999998E-2</v>
          </cell>
          <cell r="I13">
            <v>-1.0949519999999999E-2</v>
          </cell>
          <cell r="J13">
            <v>-8.2380929999999991E-2</v>
          </cell>
          <cell r="K13">
            <v>-0.2134694</v>
          </cell>
          <cell r="L13">
            <v>-2.0169470000000002E-2</v>
          </cell>
          <cell r="M13">
            <v>-0.21024590000000004</v>
          </cell>
          <cell r="N13">
            <v>0.25428510000000004</v>
          </cell>
          <cell r="O13">
            <v>-0.34825250000000002</v>
          </cell>
          <cell r="Q13">
            <v>74.679900000000004</v>
          </cell>
          <cell r="R13">
            <v>44.5</v>
          </cell>
          <cell r="S13">
            <v>0.22589612466004905</v>
          </cell>
          <cell r="T13">
            <v>0.29910112359550567</v>
          </cell>
          <cell r="V13">
            <v>96.53</v>
          </cell>
          <cell r="W13">
            <v>39.69</v>
          </cell>
          <cell r="X13">
            <v>-0.40111882316378322</v>
          </cell>
          <cell r="Y13">
            <v>0.45653817082388515</v>
          </cell>
          <cell r="Z13" t="str">
            <v>11/15/95</v>
          </cell>
          <cell r="AB13">
            <v>0.70900000000000007</v>
          </cell>
          <cell r="AC13">
            <v>0.47</v>
          </cell>
          <cell r="AD13">
            <v>0.66949999999999998</v>
          </cell>
        </row>
        <row r="14">
          <cell r="A14" t="str">
            <v>NCR Corp.</v>
          </cell>
          <cell r="B14" t="str">
            <v>NCR</v>
          </cell>
          <cell r="C14" t="str">
            <v>NA</v>
          </cell>
          <cell r="D14">
            <v>47.79</v>
          </cell>
          <cell r="E14">
            <v>-2.0916999999999998E-4</v>
          </cell>
          <cell r="F14">
            <v>1.257062E-3</v>
          </cell>
          <cell r="G14">
            <v>6.2823299999999996E-4</v>
          </cell>
          <cell r="H14">
            <v>4.1866299999999995E-4</v>
          </cell>
          <cell r="I14">
            <v>1.7891379999999998E-2</v>
          </cell>
          <cell r="J14">
            <v>-2.0916999999999998E-4</v>
          </cell>
          <cell r="K14">
            <v>0.13192799999999999</v>
          </cell>
          <cell r="L14">
            <v>0.25301530000000005</v>
          </cell>
          <cell r="M14">
            <v>0.11763337</v>
          </cell>
          <cell r="N14">
            <v>0.21975500000000001</v>
          </cell>
          <cell r="O14">
            <v>1.3086960000000003</v>
          </cell>
          <cell r="Q14">
            <v>48.27</v>
          </cell>
          <cell r="R14">
            <v>31.64</v>
          </cell>
          <cell r="S14">
            <v>9.944064636420169E-3</v>
          </cell>
          <cell r="T14">
            <v>0.51042983565107458</v>
          </cell>
          <cell r="V14">
            <v>48.25</v>
          </cell>
          <cell r="W14">
            <v>8.6050000000000004</v>
          </cell>
          <cell r="X14">
            <v>-9.5336787564767045E-3</v>
          </cell>
          <cell r="Y14">
            <v>4.5537478210342819</v>
          </cell>
          <cell r="Z14" t="str">
            <v>12/11/96</v>
          </cell>
          <cell r="AB14">
            <v>0.13564999999999999</v>
          </cell>
          <cell r="AC14">
            <v>9.9000000000000005E-2</v>
          </cell>
          <cell r="AD14">
            <v>9.1700000000000004E-2</v>
          </cell>
        </row>
        <row r="15">
          <cell r="A15" t="str">
            <v>Sun Microsystems Inc.</v>
          </cell>
          <cell r="B15" t="str">
            <v>SUNW</v>
          </cell>
          <cell r="C15" t="str">
            <v>NA</v>
          </cell>
          <cell r="D15">
            <v>6.2</v>
          </cell>
          <cell r="E15">
            <v>-3.2154309999999995E-3</v>
          </cell>
          <cell r="F15">
            <v>-6.4102409999999997E-3</v>
          </cell>
          <cell r="G15">
            <v>-3.2154319999999998E-3</v>
          </cell>
          <cell r="H15">
            <v>-1.7432690000000001E-2</v>
          </cell>
          <cell r="I15">
            <v>8.1300350000000007E-3</v>
          </cell>
          <cell r="J15">
            <v>-2.8213209999999999E-2</v>
          </cell>
          <cell r="K15">
            <v>0.11111109</v>
          </cell>
          <cell r="L15">
            <v>0.20155040000000002</v>
          </cell>
          <cell r="M15">
            <v>0.14391139</v>
          </cell>
          <cell r="N15">
            <v>0.28364390000000006</v>
          </cell>
          <cell r="O15">
            <v>0.52334140000000007</v>
          </cell>
          <cell r="Q15">
            <v>6.78</v>
          </cell>
          <cell r="R15">
            <v>3.74</v>
          </cell>
          <cell r="S15">
            <v>8.5545722713864292E-2</v>
          </cell>
          <cell r="T15">
            <v>0.65775401069518713</v>
          </cell>
          <cell r="V15">
            <v>9.52</v>
          </cell>
          <cell r="W15">
            <v>2.42</v>
          </cell>
          <cell r="X15">
            <v>-0.34873949579831931</v>
          </cell>
          <cell r="Y15">
            <v>1.5619834710743805</v>
          </cell>
          <cell r="Z15" t="str">
            <v>3/04/86</v>
          </cell>
          <cell r="AB15">
            <v>4.6799999999999994E-2</v>
          </cell>
          <cell r="AC15">
            <v>2.5899999999999999E-2</v>
          </cell>
          <cell r="AD15">
            <v>3.2600000000000004E-2</v>
          </cell>
        </row>
        <row r="16">
          <cell r="A16" t="str">
            <v>Apple Computer Inc.</v>
          </cell>
          <cell r="B16" t="str">
            <v>AAPL</v>
          </cell>
          <cell r="C16">
            <v>110</v>
          </cell>
          <cell r="D16">
            <v>91.48</v>
          </cell>
          <cell r="E16">
            <v>3.8407340000000002E-3</v>
          </cell>
          <cell r="F16">
            <v>2.1096230000000001E-2</v>
          </cell>
          <cell r="G16">
            <v>2.1324160000000002E-2</v>
          </cell>
          <cell r="H16">
            <v>1.6444440000000001E-2</v>
          </cell>
          <cell r="I16">
            <v>3.4841650000000002E-2</v>
          </cell>
          <cell r="J16">
            <v>6.495927E-2</v>
          </cell>
          <cell r="K16">
            <v>7.9282689999999989E-2</v>
          </cell>
          <cell r="L16">
            <v>0.2155195</v>
          </cell>
          <cell r="M16">
            <v>7.8265059999999997E-2</v>
          </cell>
          <cell r="N16">
            <v>0.42959840000000005</v>
          </cell>
          <cell r="O16">
            <v>6.0750200000000003</v>
          </cell>
          <cell r="Q16">
            <v>97.800000000000011</v>
          </cell>
          <cell r="R16">
            <v>50.160000000000004</v>
          </cell>
          <cell r="S16">
            <v>6.4621676891615576E-2</v>
          </cell>
          <cell r="T16">
            <v>0.82376395534290259</v>
          </cell>
          <cell r="V16">
            <v>97.100000000000009</v>
          </cell>
          <cell r="W16">
            <v>6.5600000000000005</v>
          </cell>
          <cell r="X16">
            <v>-5.7878475798146312E-2</v>
          </cell>
          <cell r="Y16">
            <v>12.945121951219512</v>
          </cell>
          <cell r="Z16" t="str">
            <v>12/12/80</v>
          </cell>
          <cell r="AB16">
            <v>9.5449999999999993E-2</v>
          </cell>
          <cell r="AC16">
            <v>7.2499999999999995E-2</v>
          </cell>
          <cell r="AD16">
            <v>7.0699999999999999E-2</v>
          </cell>
        </row>
        <row r="17">
          <cell r="A17" t="str">
            <v>Gateway Inc.</v>
          </cell>
          <cell r="B17" t="str">
            <v>GTW</v>
          </cell>
          <cell r="C17" t="str">
            <v>NA</v>
          </cell>
          <cell r="D17">
            <v>2.38</v>
          </cell>
          <cell r="E17">
            <v>-8.3333249999999991E-3</v>
          </cell>
          <cell r="F17">
            <v>5.7777880000000004E-2</v>
          </cell>
          <cell r="G17">
            <v>6.7264560000000001E-2</v>
          </cell>
          <cell r="H17">
            <v>4.8458220000000003E-2</v>
          </cell>
          <cell r="I17">
            <v>0.11737088</v>
          </cell>
          <cell r="J17">
            <v>0.2142858</v>
          </cell>
          <cell r="K17">
            <v>0.13875608</v>
          </cell>
          <cell r="L17">
            <v>0.1666667</v>
          </cell>
          <cell r="M17">
            <v>0.18407970000000001</v>
          </cell>
          <cell r="N17">
            <v>-1.244812E-2</v>
          </cell>
          <cell r="O17">
            <v>-0.55009450000000004</v>
          </cell>
          <cell r="Q17">
            <v>2.4500000000000002</v>
          </cell>
          <cell r="R17">
            <v>1.3</v>
          </cell>
          <cell r="S17">
            <v>2.8571428571428692E-2</v>
          </cell>
          <cell r="T17">
            <v>0.8307692307692307</v>
          </cell>
          <cell r="V17">
            <v>6.92</v>
          </cell>
          <cell r="W17">
            <v>1.3</v>
          </cell>
          <cell r="X17">
            <v>-0.6560693641618498</v>
          </cell>
          <cell r="Y17">
            <v>0.8307692307692307</v>
          </cell>
          <cell r="Z17" t="str">
            <v>12/08/93</v>
          </cell>
          <cell r="AB17">
            <v>3.7699999999999997E-2</v>
          </cell>
          <cell r="AC17">
            <v>2.9700000000000001E-2</v>
          </cell>
          <cell r="AD17">
            <v>2.3599999999999999E-2</v>
          </cell>
        </row>
        <row r="18">
          <cell r="A18" t="str">
            <v>EMC</v>
          </cell>
          <cell r="B18" t="str">
            <v>EMC</v>
          </cell>
          <cell r="C18">
            <v>17</v>
          </cell>
          <cell r="D18">
            <v>13.02</v>
          </cell>
          <cell r="E18">
            <v>-2.29883E-3</v>
          </cell>
          <cell r="F18">
            <v>2.3095609999999999E-3</v>
          </cell>
          <cell r="G18">
            <v>6.9605109999999991E-3</v>
          </cell>
          <cell r="H18">
            <v>1.5385150000000001E-3</v>
          </cell>
          <cell r="I18">
            <v>2.3095220000000001E-3</v>
          </cell>
          <cell r="J18">
            <v>-0.10821916999999999</v>
          </cell>
          <cell r="K18">
            <v>-4.1237069999999994E-2</v>
          </cell>
          <cell r="L18">
            <v>0.13315932999999999</v>
          </cell>
          <cell r="M18">
            <v>-1.363631E-2</v>
          </cell>
          <cell r="N18">
            <v>-9.1416570000000003E-2</v>
          </cell>
          <cell r="O18">
            <v>1.9577129999999998E-2</v>
          </cell>
          <cell r="Q18">
            <v>14.89</v>
          </cell>
          <cell r="R18">
            <v>9.44</v>
          </cell>
          <cell r="S18">
            <v>0.12558764271323042</v>
          </cell>
          <cell r="T18">
            <v>0.37923728813559321</v>
          </cell>
          <cell r="V18">
            <v>15.59</v>
          </cell>
          <cell r="W18">
            <v>3.83</v>
          </cell>
          <cell r="X18">
            <v>-0.16484926234765873</v>
          </cell>
          <cell r="Y18">
            <v>2.3994778067885116</v>
          </cell>
          <cell r="Z18" t="str">
            <v>4/09/86</v>
          </cell>
          <cell r="AB18">
            <v>0.1056</v>
          </cell>
          <cell r="AC18">
            <v>4.5700000000000005E-2</v>
          </cell>
          <cell r="AD18">
            <v>7.2300000000000003E-2</v>
          </cell>
        </row>
        <row r="19">
          <cell r="A19" t="str">
            <v>Isilon Systems, Inc.</v>
          </cell>
          <cell r="B19" t="str">
            <v>ISLN</v>
          </cell>
          <cell r="C19">
            <v>25</v>
          </cell>
          <cell r="D19">
            <v>18.04</v>
          </cell>
          <cell r="E19">
            <v>-8.2462679999999993E-3</v>
          </cell>
          <cell r="F19">
            <v>-4.1445200000000001E-2</v>
          </cell>
          <cell r="G19">
            <v>-6.2370000000000002E-2</v>
          </cell>
          <cell r="H19">
            <v>-7.7237790000000001E-2</v>
          </cell>
          <cell r="I19">
            <v>-0.10248754</v>
          </cell>
          <cell r="J19">
            <v>-0.13477215999999997</v>
          </cell>
          <cell r="K19">
            <v>-0.24360580000000001</v>
          </cell>
          <cell r="L19" t="str">
            <v>-</v>
          </cell>
          <cell r="M19">
            <v>-0.34088419999999997</v>
          </cell>
          <cell r="N19" t="str">
            <v>-</v>
          </cell>
          <cell r="O19" t="str">
            <v>-</v>
          </cell>
          <cell r="Q19">
            <v>28.5</v>
          </cell>
          <cell r="R19">
            <v>17.8</v>
          </cell>
          <cell r="S19">
            <v>0.36701754385964913</v>
          </cell>
          <cell r="T19">
            <v>1.348314606741563E-2</v>
          </cell>
          <cell r="V19">
            <v>27.37</v>
          </cell>
          <cell r="W19">
            <v>18.04</v>
          </cell>
          <cell r="X19" t="str">
            <v>NA</v>
          </cell>
          <cell r="Y19" t="str">
            <v>NA</v>
          </cell>
          <cell r="Z19" t="str">
            <v>12/15/06</v>
          </cell>
          <cell r="AB19" t="str">
            <v>-</v>
          </cell>
          <cell r="AC19" t="str">
            <v>-</v>
          </cell>
          <cell r="AD19" t="str">
            <v>-</v>
          </cell>
        </row>
        <row r="20">
          <cell r="A20" t="str">
            <v>Network Appliance</v>
          </cell>
          <cell r="B20" t="str">
            <v>NTAP</v>
          </cell>
          <cell r="C20" t="str">
            <v>NA</v>
          </cell>
          <cell r="D20">
            <v>36.82</v>
          </cell>
          <cell r="E20">
            <v>1.2372859999999999E-2</v>
          </cell>
          <cell r="F20">
            <v>2.723217E-3</v>
          </cell>
          <cell r="G20">
            <v>7.3871609999999997E-3</v>
          </cell>
          <cell r="H20">
            <v>1.4325000000000001E-2</v>
          </cell>
          <cell r="I20">
            <v>1.8252210000000001E-2</v>
          </cell>
          <cell r="J20">
            <v>-9.0639709999999998E-2</v>
          </cell>
          <cell r="K20">
            <v>-8.4990099999999999E-2</v>
          </cell>
          <cell r="L20">
            <v>5.1869669999999998E-3</v>
          </cell>
          <cell r="M20">
            <v>-6.2627269999999999E-2</v>
          </cell>
          <cell r="N20">
            <v>5.4410130000000001E-2</v>
          </cell>
          <cell r="O20">
            <v>0.8474661</v>
          </cell>
          <cell r="Q20">
            <v>41.56</v>
          </cell>
          <cell r="R20">
            <v>25.85</v>
          </cell>
          <cell r="S20">
            <v>0.11405197305101067</v>
          </cell>
          <cell r="T20">
            <v>0.42437137330754338</v>
          </cell>
          <cell r="V20">
            <v>41.28</v>
          </cell>
          <cell r="W20">
            <v>5.63</v>
          </cell>
          <cell r="X20">
            <v>-0.1080426356589147</v>
          </cell>
          <cell r="Y20">
            <v>5.5399644760213143</v>
          </cell>
          <cell r="Z20" t="str">
            <v>11/21/95</v>
          </cell>
          <cell r="AB20">
            <v>0.16670000000000001</v>
          </cell>
          <cell r="AC20">
            <v>7.3300000000000004E-2</v>
          </cell>
          <cell r="AD20">
            <v>0.1119</v>
          </cell>
        </row>
        <row r="21">
          <cell r="A21" t="str">
            <v>Seagate</v>
          </cell>
          <cell r="B21" t="str">
            <v>STX</v>
          </cell>
          <cell r="C21">
            <v>35</v>
          </cell>
          <cell r="D21">
            <v>24.62</v>
          </cell>
          <cell r="E21">
            <v>5.719006999999999E-3</v>
          </cell>
          <cell r="F21">
            <v>6.953E-3</v>
          </cell>
          <cell r="G21">
            <v>8.1300739999999995E-4</v>
          </cell>
          <cell r="H21">
            <v>1.2335540000000001E-2</v>
          </cell>
          <cell r="I21">
            <v>2.370069E-2</v>
          </cell>
          <cell r="J21">
            <v>-8.2370439999999989E-2</v>
          </cell>
          <cell r="K21">
            <v>-8.4758319999999998E-2</v>
          </cell>
          <cell r="L21">
            <v>7.0900439999999995E-2</v>
          </cell>
          <cell r="M21">
            <v>-7.0943369999999992E-2</v>
          </cell>
          <cell r="N21">
            <v>-1.5199969999999998E-2</v>
          </cell>
          <cell r="O21" t="str">
            <v>N/A</v>
          </cell>
          <cell r="Q21">
            <v>28.51</v>
          </cell>
          <cell r="R21">
            <v>19.150000000000002</v>
          </cell>
          <cell r="S21">
            <v>0.13644335320940026</v>
          </cell>
          <cell r="T21">
            <v>0.28563968668407291</v>
          </cell>
          <cell r="V21">
            <v>30.6</v>
          </cell>
          <cell r="W21">
            <v>8.06</v>
          </cell>
          <cell r="X21" t="str">
            <v>NA</v>
          </cell>
          <cell r="Y21" t="str">
            <v>NA</v>
          </cell>
          <cell r="Z21" t="str">
            <v>12/11/02</v>
          </cell>
          <cell r="AB21">
            <v>0.18190000000000001</v>
          </cell>
          <cell r="AC21" t="str">
            <v>N/A</v>
          </cell>
          <cell r="AD21">
            <v>0.1032</v>
          </cell>
        </row>
        <row r="22">
          <cell r="A22" t="str">
            <v>Coverage Universe Index</v>
          </cell>
          <cell r="B22" t="str">
            <v>INDEX:COVERAGEUNIV</v>
          </cell>
          <cell r="C22" t="str">
            <v>#Calc</v>
          </cell>
          <cell r="E22" t="e">
            <v>#VALUE!</v>
          </cell>
          <cell r="F22" t="e">
            <v>#VALUE!</v>
          </cell>
          <cell r="G22" t="e">
            <v>#VALUE!</v>
          </cell>
          <cell r="H22" t="e">
            <v>#VALUE!</v>
          </cell>
          <cell r="I22" t="e">
            <v>#VALUE!</v>
          </cell>
          <cell r="J22" t="e">
            <v>#VALUE!</v>
          </cell>
          <cell r="K22" t="e">
            <v>#VALUE!</v>
          </cell>
          <cell r="L22" t="e">
            <v>#VALUE!</v>
          </cell>
          <cell r="M22" t="e">
            <v>#VALUE!</v>
          </cell>
          <cell r="N22" t="e">
            <v>#VALUE!</v>
          </cell>
          <cell r="O22" t="e">
            <v>#VALUE!</v>
          </cell>
          <cell r="Q22" t="str">
            <v/>
          </cell>
          <cell r="R22" t="str">
            <v/>
          </cell>
          <cell r="S22" t="e">
            <v>#VALUE!</v>
          </cell>
          <cell r="T22" t="e">
            <v>#VALUE!</v>
          </cell>
          <cell r="V22" t="e">
            <v>#N/A</v>
          </cell>
          <cell r="W22" t="e">
            <v>#N/A</v>
          </cell>
          <cell r="X22" t="e">
            <v>#VALUE!</v>
          </cell>
          <cell r="Y22" t="e">
            <v>#VALUE!</v>
          </cell>
        </row>
        <row r="24">
          <cell r="A24" t="str">
            <v>Relevant Sectors</v>
          </cell>
        </row>
        <row r="25">
          <cell r="A25" t="str">
            <v>Enterprise Systems</v>
          </cell>
          <cell r="B25" t="str">
            <v>INDEX:USSERVER</v>
          </cell>
          <cell r="C25" t="str">
            <v>#Calc</v>
          </cell>
          <cell r="E25" t="e">
            <v>#VALUE!</v>
          </cell>
          <cell r="F25" t="e">
            <v>#VALUE!</v>
          </cell>
          <cell r="G25" t="e">
            <v>#VALUE!</v>
          </cell>
          <cell r="H25" t="e">
            <v>#VALUE!</v>
          </cell>
          <cell r="I25" t="e">
            <v>#VALUE!</v>
          </cell>
          <cell r="J25" t="e">
            <v>#VALUE!</v>
          </cell>
          <cell r="K25" t="e">
            <v>#VALUE!</v>
          </cell>
          <cell r="L25" t="e">
            <v>#VALUE!</v>
          </cell>
          <cell r="M25" t="e">
            <v>#VALUE!</v>
          </cell>
          <cell r="N25" t="e">
            <v>#VALUE!</v>
          </cell>
          <cell r="O25" t="e">
            <v>#VALUE!</v>
          </cell>
          <cell r="Q25" t="str">
            <v/>
          </cell>
          <cell r="R25" t="str">
            <v/>
          </cell>
          <cell r="S25" t="e">
            <v>#VALUE!</v>
          </cell>
          <cell r="T25" t="e">
            <v>#VALUE!</v>
          </cell>
          <cell r="V25" t="e">
            <v>#N/A</v>
          </cell>
          <cell r="W25" t="e">
            <v>#N/A</v>
          </cell>
          <cell r="X25" t="e">
            <v>#VALUE!</v>
          </cell>
          <cell r="Y25" t="e">
            <v>#VALUE!</v>
          </cell>
        </row>
        <row r="26">
          <cell r="A26" t="str">
            <v>Personal Systems</v>
          </cell>
          <cell r="B26" t="str">
            <v>INDEX:USPC</v>
          </cell>
          <cell r="C26" t="str">
            <v>#Calc</v>
          </cell>
          <cell r="E26" t="e">
            <v>#VALUE!</v>
          </cell>
          <cell r="F26" t="e">
            <v>#VALUE!</v>
          </cell>
          <cell r="G26" t="e">
            <v>#VALUE!</v>
          </cell>
          <cell r="H26" t="e">
            <v>#VALUE!</v>
          </cell>
          <cell r="I26" t="e">
            <v>#VALUE!</v>
          </cell>
          <cell r="J26" t="e">
            <v>#VALUE!</v>
          </cell>
          <cell r="K26" t="e">
            <v>#VALUE!</v>
          </cell>
          <cell r="L26" t="e">
            <v>#VALUE!</v>
          </cell>
          <cell r="M26" t="e">
            <v>#VALUE!</v>
          </cell>
          <cell r="N26" t="e">
            <v>#VALUE!</v>
          </cell>
          <cell r="O26" t="e">
            <v>#VALUE!</v>
          </cell>
          <cell r="Q26" t="str">
            <v/>
          </cell>
          <cell r="R26" t="str">
            <v/>
          </cell>
          <cell r="S26" t="e">
            <v>#VALUE!</v>
          </cell>
          <cell r="T26" t="e">
            <v>#VALUE!</v>
          </cell>
          <cell r="V26" t="e">
            <v>#N/A</v>
          </cell>
          <cell r="W26" t="e">
            <v>#N/A</v>
          </cell>
          <cell r="X26" t="e">
            <v>#VALUE!</v>
          </cell>
          <cell r="Y26" t="e">
            <v>#VALUE!</v>
          </cell>
        </row>
        <row r="27">
          <cell r="A27" t="str">
            <v>Printing Systems</v>
          </cell>
          <cell r="B27" t="str">
            <v>INDEX:USPRINTERS</v>
          </cell>
          <cell r="C27" t="str">
            <v>#Calc</v>
          </cell>
          <cell r="E27" t="e">
            <v>#VALUE!</v>
          </cell>
          <cell r="F27" t="e">
            <v>#VALUE!</v>
          </cell>
          <cell r="G27" t="e">
            <v>#VALUE!</v>
          </cell>
          <cell r="H27" t="e">
            <v>#VALUE!</v>
          </cell>
          <cell r="I27" t="e">
            <v>#VALUE!</v>
          </cell>
          <cell r="J27" t="e">
            <v>#VALUE!</v>
          </cell>
          <cell r="K27" t="e">
            <v>#VALUE!</v>
          </cell>
          <cell r="L27" t="e">
            <v>#VALUE!</v>
          </cell>
          <cell r="M27" t="e">
            <v>#VALUE!</v>
          </cell>
          <cell r="N27" t="e">
            <v>#VALUE!</v>
          </cell>
          <cell r="O27" t="e">
            <v>#VALUE!</v>
          </cell>
          <cell r="Q27" t="str">
            <v/>
          </cell>
          <cell r="R27" t="str">
            <v/>
          </cell>
          <cell r="S27" t="e">
            <v>#VALUE!</v>
          </cell>
          <cell r="T27" t="e">
            <v>#VALUE!</v>
          </cell>
          <cell r="V27" t="e">
            <v>#N/A</v>
          </cell>
          <cell r="W27" t="e">
            <v>#N/A</v>
          </cell>
          <cell r="X27" t="e">
            <v>#VALUE!</v>
          </cell>
          <cell r="Y27" t="e">
            <v>#VALUE!</v>
          </cell>
        </row>
        <row r="28">
          <cell r="A28" t="str">
            <v>Storage</v>
          </cell>
          <cell r="B28" t="str">
            <v>INDEX:USSTORAGE</v>
          </cell>
          <cell r="C28" t="str">
            <v>#Calc</v>
          </cell>
          <cell r="E28" t="e">
            <v>#VALUE!</v>
          </cell>
          <cell r="F28" t="e">
            <v>#VALUE!</v>
          </cell>
          <cell r="G28" t="e">
            <v>#VALUE!</v>
          </cell>
          <cell r="H28" t="e">
            <v>#VALUE!</v>
          </cell>
          <cell r="I28" t="e">
            <v>#VALUE!</v>
          </cell>
          <cell r="J28" t="e">
            <v>#VALUE!</v>
          </cell>
          <cell r="K28" t="e">
            <v>#VALUE!</v>
          </cell>
          <cell r="L28" t="e">
            <v>#VALUE!</v>
          </cell>
          <cell r="M28" t="e">
            <v>#VALUE!</v>
          </cell>
          <cell r="N28" t="e">
            <v>#VALUE!</v>
          </cell>
          <cell r="O28" t="e">
            <v>#VALUE!</v>
          </cell>
          <cell r="Q28" t="str">
            <v/>
          </cell>
          <cell r="R28" t="str">
            <v/>
          </cell>
          <cell r="S28" t="e">
            <v>#VALUE!</v>
          </cell>
          <cell r="T28" t="e">
            <v>#VALUE!</v>
          </cell>
          <cell r="V28" t="e">
            <v>#N/A</v>
          </cell>
          <cell r="W28" t="e">
            <v>#N/A</v>
          </cell>
          <cell r="X28" t="e">
            <v>#VALUE!</v>
          </cell>
          <cell r="Y28" t="e">
            <v>#VALUE!</v>
          </cell>
        </row>
        <row r="29">
          <cell r="A29" t="str">
            <v>Storage Components</v>
          </cell>
          <cell r="B29" t="str">
            <v>INDEX:USSTGCOMPONENT</v>
          </cell>
          <cell r="C29" t="str">
            <v>#Calc</v>
          </cell>
          <cell r="E29" t="e">
            <v>#VALUE!</v>
          </cell>
          <cell r="F29" t="e">
            <v>#VALUE!</v>
          </cell>
          <cell r="G29" t="e">
            <v>#VALUE!</v>
          </cell>
          <cell r="H29" t="e">
            <v>#VALUE!</v>
          </cell>
          <cell r="I29" t="e">
            <v>#VALUE!</v>
          </cell>
          <cell r="J29" t="e">
            <v>#VALUE!</v>
          </cell>
          <cell r="K29" t="e">
            <v>#VALUE!</v>
          </cell>
          <cell r="L29" t="e">
            <v>#VALUE!</v>
          </cell>
          <cell r="M29" t="e">
            <v>#VALUE!</v>
          </cell>
          <cell r="N29" t="e">
            <v>#VALUE!</v>
          </cell>
          <cell r="O29" t="e">
            <v>#VALUE!</v>
          </cell>
          <cell r="Q29" t="str">
            <v/>
          </cell>
          <cell r="R29" t="str">
            <v/>
          </cell>
          <cell r="S29" t="e">
            <v>#VALUE!</v>
          </cell>
          <cell r="T29" t="e">
            <v>#VALUE!</v>
          </cell>
          <cell r="V29" t="e">
            <v>#N/A</v>
          </cell>
          <cell r="W29" t="e">
            <v>#N/A</v>
          </cell>
          <cell r="X29" t="e">
            <v>#VALUE!</v>
          </cell>
          <cell r="Y29" t="e">
            <v>#VALUE!</v>
          </cell>
        </row>
        <row r="30">
          <cell r="A30" t="str">
            <v>Services</v>
          </cell>
          <cell r="B30" t="str">
            <v>INDEX:USSERVICE</v>
          </cell>
          <cell r="C30" t="str">
            <v>#Calc</v>
          </cell>
          <cell r="E30" t="e">
            <v>#VALUE!</v>
          </cell>
          <cell r="F30" t="e">
            <v>#VALUE!</v>
          </cell>
          <cell r="G30" t="e">
            <v>#VALUE!</v>
          </cell>
          <cell r="H30" t="e">
            <v>#VALUE!</v>
          </cell>
          <cell r="I30" t="e">
            <v>#VALUE!</v>
          </cell>
          <cell r="J30" t="e">
            <v>#VALUE!</v>
          </cell>
          <cell r="K30" t="e">
            <v>#VALUE!</v>
          </cell>
          <cell r="L30" t="e">
            <v>#VALUE!</v>
          </cell>
          <cell r="M30" t="e">
            <v>#VALUE!</v>
          </cell>
          <cell r="N30" t="e">
            <v>#VALUE!</v>
          </cell>
          <cell r="O30" t="e">
            <v>#VALUE!</v>
          </cell>
          <cell r="Q30" t="str">
            <v/>
          </cell>
          <cell r="R30" t="str">
            <v/>
          </cell>
          <cell r="S30" t="e">
            <v>#VALUE!</v>
          </cell>
          <cell r="T30" t="e">
            <v>#VALUE!</v>
          </cell>
          <cell r="V30" t="e">
            <v>#N/A</v>
          </cell>
          <cell r="W30" t="e">
            <v>#N/A</v>
          </cell>
          <cell r="X30" t="e">
            <v>#VALUE!</v>
          </cell>
          <cell r="Y30" t="e">
            <v>#VALUE!</v>
          </cell>
        </row>
        <row r="31">
          <cell r="A31" t="str">
            <v>Software</v>
          </cell>
          <cell r="B31" t="str">
            <v>INDEX:USSOFTWARE</v>
          </cell>
          <cell r="C31" t="str">
            <v>#Calc</v>
          </cell>
          <cell r="E31" t="e">
            <v>#VALUE!</v>
          </cell>
          <cell r="F31" t="e">
            <v>#VALUE!</v>
          </cell>
          <cell r="G31" t="e">
            <v>#VALUE!</v>
          </cell>
          <cell r="H31" t="e">
            <v>#VALUE!</v>
          </cell>
          <cell r="I31" t="e">
            <v>#VALUE!</v>
          </cell>
          <cell r="J31" t="e">
            <v>#VALUE!</v>
          </cell>
          <cell r="K31" t="e">
            <v>#VALUE!</v>
          </cell>
          <cell r="L31" t="e">
            <v>#VALUE!</v>
          </cell>
          <cell r="M31" t="e">
            <v>#VALUE!</v>
          </cell>
          <cell r="N31" t="e">
            <v>#VALUE!</v>
          </cell>
          <cell r="O31" t="e">
            <v>#VALUE!</v>
          </cell>
          <cell r="Q31" t="str">
            <v/>
          </cell>
          <cell r="R31" t="str">
            <v/>
          </cell>
          <cell r="S31" t="e">
            <v>#VALUE!</v>
          </cell>
          <cell r="T31" t="e">
            <v>#VALUE!</v>
          </cell>
          <cell r="V31" t="e">
            <v>#N/A</v>
          </cell>
          <cell r="W31" t="e">
            <v>#N/A</v>
          </cell>
          <cell r="X31" t="e">
            <v>#VALUE!</v>
          </cell>
          <cell r="Y31" t="e">
            <v>#VALUE!</v>
          </cell>
        </row>
        <row r="33">
          <cell r="A33" t="str">
            <v>US Technology by Sector</v>
          </cell>
        </row>
        <row r="34">
          <cell r="A34" t="str">
            <v>Consulting / Systems Integrators</v>
          </cell>
          <cell r="B34" t="str">
            <v>INDEX:CLIENT:SVCS</v>
          </cell>
          <cell r="D34">
            <v>448439.4</v>
          </cell>
          <cell r="E34">
            <v>0.14424890999999998</v>
          </cell>
          <cell r="F34">
            <v>0.15595626999999998</v>
          </cell>
          <cell r="G34">
            <v>0.15324926</v>
          </cell>
          <cell r="H34">
            <v>0.14919984999999999</v>
          </cell>
          <cell r="I34">
            <v>0.15301561999999999</v>
          </cell>
          <cell r="J34">
            <v>8.432466999999999E-2</v>
          </cell>
          <cell r="K34">
            <v>0.20598250000000001</v>
          </cell>
          <cell r="L34">
            <v>0.1367534</v>
          </cell>
          <cell r="M34">
            <v>0.19382460000000001</v>
          </cell>
          <cell r="N34">
            <v>7.4825520000000006E-2</v>
          </cell>
          <cell r="O34">
            <v>0.57016299999999998</v>
          </cell>
          <cell r="Q34">
            <v>456219.80000000005</v>
          </cell>
          <cell r="R34">
            <v>341669</v>
          </cell>
          <cell r="S34">
            <v>1.7054060345473854E-2</v>
          </cell>
          <cell r="T34">
            <v>0.31249659758421178</v>
          </cell>
          <cell r="V34">
            <v>456219.80000000005</v>
          </cell>
          <cell r="W34">
            <v>96627.26</v>
          </cell>
        </row>
        <row r="35">
          <cell r="A35" t="str">
            <v>Software</v>
          </cell>
          <cell r="B35" t="str">
            <v>INDEX:CLIENT:TICK</v>
          </cell>
          <cell r="D35">
            <v>4686.4650000000001</v>
          </cell>
          <cell r="E35">
            <v>1.109628E-2</v>
          </cell>
          <cell r="F35">
            <v>2.3812530000000002E-2</v>
          </cell>
          <cell r="G35">
            <v>2.5989770000000002E-2</v>
          </cell>
          <cell r="H35">
            <v>2.4217489999999998E-2</v>
          </cell>
          <cell r="I35">
            <v>3.4111000000000002E-2</v>
          </cell>
          <cell r="J35">
            <v>-1.6874159999999999E-2</v>
          </cell>
          <cell r="K35">
            <v>-1.4305379999999999E-2</v>
          </cell>
          <cell r="L35">
            <v>-1.150665E-2</v>
          </cell>
          <cell r="M35">
            <v>-1.875481E-2</v>
          </cell>
          <cell r="N35">
            <v>5.762275E-2</v>
          </cell>
          <cell r="O35">
            <v>0.27464340000000004</v>
          </cell>
          <cell r="Q35">
            <v>5033.6379999999999</v>
          </cell>
          <cell r="R35">
            <v>3959.473</v>
          </cell>
          <cell r="S35">
            <v>6.8970593435602634E-2</v>
          </cell>
          <cell r="T35">
            <v>0.18360827312119565</v>
          </cell>
          <cell r="V35">
            <v>5033.6379999999999</v>
          </cell>
          <cell r="W35">
            <v>1663.806</v>
          </cell>
        </row>
        <row r="36">
          <cell r="A36" t="str">
            <v>Data Networking</v>
          </cell>
          <cell r="B36" t="str">
            <v>INDEX:CLIENT:DATANETW</v>
          </cell>
          <cell r="D36">
            <v>14343.868</v>
          </cell>
          <cell r="E36">
            <v>4.4457000000000003E-3</v>
          </cell>
          <cell r="F36">
            <v>1.5734079999999998E-2</v>
          </cell>
          <cell r="G36">
            <v>2.083838E-2</v>
          </cell>
          <cell r="H36">
            <v>2.0668389999999998E-2</v>
          </cell>
          <cell r="I36">
            <v>3.5087029999999998E-2</v>
          </cell>
          <cell r="J36">
            <v>-4.3161169999999999E-2</v>
          </cell>
          <cell r="K36">
            <v>-3.6666890000000001E-2</v>
          </cell>
          <cell r="L36">
            <v>0.13667331999999999</v>
          </cell>
          <cell r="M36">
            <v>-3.2820169999999996E-2</v>
          </cell>
          <cell r="N36">
            <v>0.1921216</v>
          </cell>
          <cell r="O36">
            <v>0.12659024999999999</v>
          </cell>
          <cell r="Q36">
            <v>15713.753000000001</v>
          </cell>
          <cell r="R36">
            <v>9494.2540000000008</v>
          </cell>
          <cell r="S36">
            <v>8.7177455315735175E-2</v>
          </cell>
          <cell r="T36">
            <v>0.51079463431250094</v>
          </cell>
          <cell r="V36">
            <v>16359.869000000001</v>
          </cell>
          <cell r="W36">
            <v>4807.8069999999998</v>
          </cell>
        </row>
        <row r="37">
          <cell r="A37" t="str">
            <v>Hardware</v>
          </cell>
          <cell r="B37" t="str">
            <v>INDEX:CLIENT:HDWR</v>
          </cell>
          <cell r="D37">
            <v>627.01859999999999</v>
          </cell>
          <cell r="E37">
            <v>-5.366495E-4</v>
          </cell>
          <cell r="F37">
            <v>6.2553879999999997E-3</v>
          </cell>
          <cell r="G37">
            <v>7.3143239999999997E-3</v>
          </cell>
          <cell r="H37">
            <v>5.0385000000000004E-3</v>
          </cell>
          <cell r="I37">
            <v>1.6957419999999997E-2</v>
          </cell>
          <cell r="J37">
            <v>-4.6649169999999997E-2</v>
          </cell>
          <cell r="K37">
            <v>-1.7102000000000003E-2</v>
          </cell>
          <cell r="L37">
            <v>0.11012316</v>
          </cell>
          <cell r="M37">
            <v>-1.3712869999999999E-2</v>
          </cell>
          <cell r="N37">
            <v>9.7676489999999991E-2</v>
          </cell>
          <cell r="O37">
            <v>0.29382930000000002</v>
          </cell>
          <cell r="Q37">
            <v>674.67970000000003</v>
          </cell>
          <cell r="R37">
            <v>477.99890000000005</v>
          </cell>
          <cell r="S37">
            <v>7.0642558239117026E-2</v>
          </cell>
          <cell r="T37">
            <v>0.31175741199404428</v>
          </cell>
          <cell r="V37">
            <v>674.67970000000003</v>
          </cell>
          <cell r="W37">
            <v>280.54950000000002</v>
          </cell>
        </row>
        <row r="38">
          <cell r="A38" t="str">
            <v>Semis</v>
          </cell>
          <cell r="B38" t="str">
            <v>INDEX:CLIENT:SEMISCP</v>
          </cell>
          <cell r="D38">
            <v>3580.4659999999999</v>
          </cell>
          <cell r="E38">
            <v>1.6845E-4</v>
          </cell>
          <cell r="F38">
            <v>-6.0161350000000006E-3</v>
          </cell>
          <cell r="G38">
            <v>-9.4478129999999994E-3</v>
          </cell>
          <cell r="H38">
            <v>-9.6225140000000004E-3</v>
          </cell>
          <cell r="I38">
            <v>-4.2850690000000003E-4</v>
          </cell>
          <cell r="J38">
            <v>-3.8638179999999994E-2</v>
          </cell>
          <cell r="K38">
            <v>-1.084106E-2</v>
          </cell>
          <cell r="L38">
            <v>7.9671539999999995E-4</v>
          </cell>
          <cell r="M38">
            <v>4.7267179999999995E-3</v>
          </cell>
          <cell r="N38">
            <v>-8.6951639999999997E-2</v>
          </cell>
          <cell r="O38">
            <v>-7.8212339999999991E-2</v>
          </cell>
          <cell r="Q38">
            <v>4122.3159999999998</v>
          </cell>
          <cell r="R38">
            <v>3068.7000000000003</v>
          </cell>
          <cell r="S38">
            <v>0.13144310140222148</v>
          </cell>
          <cell r="T38">
            <v>0.16676964186789189</v>
          </cell>
          <cell r="V38">
            <v>4601.1180000000004</v>
          </cell>
          <cell r="W38">
            <v>1797.1190000000001</v>
          </cell>
        </row>
        <row r="40">
          <cell r="A40" t="str">
            <v>Index</v>
          </cell>
        </row>
        <row r="41">
          <cell r="A41" t="str">
            <v>NASDAQ</v>
          </cell>
          <cell r="B41" t="str">
            <v>COMP</v>
          </cell>
          <cell r="D41">
            <v>2408.21</v>
          </cell>
          <cell r="E41">
            <v>5.7634439999999995E-3</v>
          </cell>
          <cell r="F41">
            <v>1.498318E-2</v>
          </cell>
          <cell r="G41">
            <v>1.2406000000000002E-2</v>
          </cell>
          <cell r="H41">
            <v>1.537693E-2</v>
          </cell>
          <cell r="I41">
            <v>2.4521669999999999E-2</v>
          </cell>
          <cell r="J41">
            <v>-4.1714449999999993E-2</v>
          </cell>
          <cell r="K41">
            <v>-7.9914589999999994E-3</v>
          </cell>
          <cell r="L41">
            <v>6.8942589999999998E-2</v>
          </cell>
          <cell r="M41">
            <v>-2.9313569999999999E-3</v>
          </cell>
          <cell r="N41">
            <v>4.066351E-2</v>
          </cell>
          <cell r="O41">
            <v>0.24104470000000003</v>
          </cell>
          <cell r="Q41">
            <v>2531.42</v>
          </cell>
          <cell r="R41">
            <v>2012.78</v>
          </cell>
          <cell r="S41">
            <v>4.8672286700745082E-2</v>
          </cell>
          <cell r="T41">
            <v>0.19645962300897279</v>
          </cell>
          <cell r="V41">
            <v>2524.94</v>
          </cell>
          <cell r="W41">
            <v>1114.1100000000001</v>
          </cell>
          <cell r="X41">
            <v>-4.6230801523996612E-2</v>
          </cell>
          <cell r="Y41">
            <v>1.1615549631544457</v>
          </cell>
        </row>
        <row r="42">
          <cell r="A42" t="str">
            <v>S&amp;P 500</v>
          </cell>
          <cell r="B42" t="str">
            <v>SP50</v>
          </cell>
          <cell r="D42">
            <v>1410.94</v>
          </cell>
          <cell r="E42">
            <v>6.3334539999999996E-3</v>
          </cell>
          <cell r="F42">
            <v>1.7296909999999999E-2</v>
          </cell>
          <cell r="G42">
            <v>1.340246E-2</v>
          </cell>
          <cell r="H42">
            <v>1.7135500000000001E-2</v>
          </cell>
          <cell r="I42">
            <v>2.394135E-2</v>
          </cell>
          <cell r="J42">
            <v>-3.3390959999999997E-2</v>
          </cell>
          <cell r="K42">
            <v>-8.8442720000000002E-3</v>
          </cell>
          <cell r="L42">
            <v>6.4719669999999993E-2</v>
          </cell>
          <cell r="M42">
            <v>-5.1893870000000002E-3</v>
          </cell>
          <cell r="N42">
            <v>8.11138E-2</v>
          </cell>
          <cell r="O42">
            <v>0.27136900000000003</v>
          </cell>
          <cell r="Q42">
            <v>1461.57</v>
          </cell>
          <cell r="R42">
            <v>1219.29</v>
          </cell>
          <cell r="S42">
            <v>3.4640831434689989E-2</v>
          </cell>
          <cell r="T42">
            <v>0.1571816384945337</v>
          </cell>
          <cell r="V42">
            <v>1459.68</v>
          </cell>
          <cell r="W42">
            <v>776.76</v>
          </cell>
          <cell r="X42">
            <v>-3.3390880192919026E-2</v>
          </cell>
          <cell r="Y42">
            <v>0.81644265925124881</v>
          </cell>
        </row>
        <row r="44">
          <cell r="A44" t="str">
            <v>(1) Coverage Universe Index is Market Cap Weighted and consists of Morgan Stanley's US Hardware Coverage Universe.</v>
          </cell>
        </row>
        <row r="46">
          <cell r="A46" t="str">
            <v>Alpha</v>
          </cell>
        </row>
        <row r="47">
          <cell r="A47" t="str">
            <v>Coverage Universe vs. SP500</v>
          </cell>
          <cell r="E47" t="e">
            <v>#VALUE!</v>
          </cell>
          <cell r="F47" t="e">
            <v>#VALUE!</v>
          </cell>
          <cell r="G47" t="e">
            <v>#VALUE!</v>
          </cell>
          <cell r="H47" t="e">
            <v>#VALUE!</v>
          </cell>
          <cell r="I47" t="e">
            <v>#VALUE!</v>
          </cell>
          <cell r="J47" t="e">
            <v>#VALUE!</v>
          </cell>
          <cell r="K47" t="e">
            <v>#VALUE!</v>
          </cell>
          <cell r="L47" t="e">
            <v>#VALUE!</v>
          </cell>
          <cell r="M47" t="e">
            <v>#VALUE!</v>
          </cell>
          <cell r="N47" t="e">
            <v>#VALUE!</v>
          </cell>
          <cell r="O47" t="e">
            <v>#VALUE!</v>
          </cell>
        </row>
        <row r="49">
          <cell r="A49" t="str">
            <v xml:space="preserve">Alpha: Coverage Universe vs. </v>
          </cell>
          <cell r="D49" t="str">
            <v>S&amp;P 500</v>
          </cell>
        </row>
        <row r="52">
          <cell r="E52" t="str">
            <v>1-Day</v>
          </cell>
          <cell r="F52" t="str">
            <v>2-Day</v>
          </cell>
          <cell r="G52" t="str">
            <v>3-Day</v>
          </cell>
          <cell r="H52" t="str">
            <v>4-Day</v>
          </cell>
          <cell r="I52" t="str">
            <v>1 Week</v>
          </cell>
          <cell r="J52" t="str">
            <v>1 Month</v>
          </cell>
          <cell r="K52" t="str">
            <v>3 Month</v>
          </cell>
          <cell r="L52" t="str">
            <v>6 Month</v>
          </cell>
          <cell r="M52" t="str">
            <v>YTD</v>
          </cell>
          <cell r="N52" t="str">
            <v>52 Week</v>
          </cell>
          <cell r="O52" t="str">
            <v>3-Year</v>
          </cell>
        </row>
        <row r="53">
          <cell r="A53" t="str">
            <v>Dell Computer Corp.</v>
          </cell>
          <cell r="B53" t="str">
            <v>DELL</v>
          </cell>
          <cell r="E53">
            <v>-3.2167309999999996E-3</v>
          </cell>
          <cell r="F53">
            <v>-1.5963553999999998E-2</v>
          </cell>
          <cell r="G53">
            <v>-1.0285733E-2</v>
          </cell>
          <cell r="H53">
            <v>-7.7269070000000016E-3</v>
          </cell>
          <cell r="I53">
            <v>1.0019169999999994E-2</v>
          </cell>
          <cell r="J53">
            <v>-4.814185E-2</v>
          </cell>
          <cell r="K53">
            <v>-0.11688330799999998</v>
          </cell>
          <cell r="L53">
            <v>-1.6812669999999988E-2</v>
          </cell>
          <cell r="M53">
            <v>-9.6843272999999994E-2</v>
          </cell>
          <cell r="N53">
            <v>-0.32405729999999999</v>
          </cell>
          <cell r="O53">
            <v>-0.58697840000000001</v>
          </cell>
          <cell r="Q53">
            <v>30.8</v>
          </cell>
          <cell r="R53">
            <v>18.95</v>
          </cell>
          <cell r="Z53" t="str">
            <v>6/22/88</v>
          </cell>
          <cell r="AB53">
            <v>0.31920000000000004</v>
          </cell>
          <cell r="AC53">
            <v>0.2351</v>
          </cell>
          <cell r="AD53">
            <v>0.27310000000000001</v>
          </cell>
        </row>
        <row r="54">
          <cell r="A54" t="str">
            <v>Hewlett-Packard Co.</v>
          </cell>
          <cell r="B54" t="str">
            <v>HPQ</v>
          </cell>
          <cell r="E54">
            <v>-2.1255073999999999E-2</v>
          </cell>
          <cell r="F54">
            <v>-2.4813830999999998E-2</v>
          </cell>
          <cell r="G54">
            <v>-1.5669463000000002E-2</v>
          </cell>
          <cell r="H54">
            <v>-2.1659254000000003E-2</v>
          </cell>
          <cell r="I54">
            <v>-2.242425E-2</v>
          </cell>
          <cell r="J54">
            <v>-4.8222769999999998E-2</v>
          </cell>
          <cell r="K54">
            <v>-3.3003807999999996E-2</v>
          </cell>
          <cell r="L54">
            <v>1.2224380000000007E-2</v>
          </cell>
          <cell r="M54">
            <v>-3.3169392999999991E-2</v>
          </cell>
          <cell r="N54">
            <v>8.5258500000000029E-2</v>
          </cell>
          <cell r="O54">
            <v>0.55988400000000005</v>
          </cell>
          <cell r="Q54">
            <v>43.72</v>
          </cell>
          <cell r="R54">
            <v>29</v>
          </cell>
          <cell r="Z54" t="str">
            <v>1/21/72</v>
          </cell>
          <cell r="AB54">
            <v>0.21179999999999999</v>
          </cell>
          <cell r="AC54">
            <v>0.1167</v>
          </cell>
          <cell r="AD54">
            <v>0.1555</v>
          </cell>
        </row>
        <row r="55">
          <cell r="A55" t="str">
            <v>International Business Machines Corp.</v>
          </cell>
          <cell r="B55" t="str">
            <v>IBM</v>
          </cell>
          <cell r="E55">
            <v>-9.0732199999999947E-4</v>
          </cell>
          <cell r="F55">
            <v>-3.8920599999999993E-3</v>
          </cell>
          <cell r="G55">
            <v>-2.16651E-3</v>
          </cell>
          <cell r="H55">
            <v>-9.2430110000000024E-3</v>
          </cell>
          <cell r="I55">
            <v>-4.6338200000000003E-3</v>
          </cell>
          <cell r="J55">
            <v>-1.5426340000000004E-2</v>
          </cell>
          <cell r="K55">
            <v>-6.7807279999999998E-3</v>
          </cell>
          <cell r="L55">
            <v>6.8102220000000005E-2</v>
          </cell>
          <cell r="M55">
            <v>-2.2088032999999997E-2</v>
          </cell>
          <cell r="N55">
            <v>4.9539439999999976E-2</v>
          </cell>
          <cell r="O55">
            <v>-0.23993485000000003</v>
          </cell>
          <cell r="Q55">
            <v>100.9</v>
          </cell>
          <cell r="R55">
            <v>72.73</v>
          </cell>
          <cell r="Z55" t="str">
            <v>1/21/72</v>
          </cell>
          <cell r="AB55">
            <v>0.83590000000000009</v>
          </cell>
          <cell r="AC55">
            <v>0.58310000000000006</v>
          </cell>
          <cell r="AD55">
            <v>0.78430000000000011</v>
          </cell>
        </row>
        <row r="56">
          <cell r="A56" t="str">
            <v>Lexmark International Inc.</v>
          </cell>
          <cell r="B56" t="str">
            <v>LXK</v>
          </cell>
          <cell r="E56">
            <v>-3.2445304000000001E-2</v>
          </cell>
          <cell r="F56">
            <v>-4.1271210000000003E-2</v>
          </cell>
          <cell r="G56">
            <v>-3.1741680000000001E-2</v>
          </cell>
          <cell r="H56">
            <v>-3.7138879999999999E-2</v>
          </cell>
          <cell r="I56">
            <v>-3.4890869999999997E-2</v>
          </cell>
          <cell r="J56">
            <v>-4.8989969999999994E-2</v>
          </cell>
          <cell r="K56">
            <v>-0.20462512799999999</v>
          </cell>
          <cell r="L56">
            <v>-8.4889140000000002E-2</v>
          </cell>
          <cell r="M56">
            <v>-0.20505651300000005</v>
          </cell>
          <cell r="N56">
            <v>0.17317130000000003</v>
          </cell>
          <cell r="O56">
            <v>-0.61962150000000005</v>
          </cell>
          <cell r="Q56">
            <v>74.679900000000004</v>
          </cell>
          <cell r="R56">
            <v>44.5</v>
          </cell>
          <cell r="Z56" t="str">
            <v>11/15/95</v>
          </cell>
          <cell r="AB56">
            <v>0.70900000000000007</v>
          </cell>
          <cell r="AC56">
            <v>0.47</v>
          </cell>
          <cell r="AD56">
            <v>0.66949999999999998</v>
          </cell>
        </row>
        <row r="57">
          <cell r="A57" t="str">
            <v>NCR Corp.</v>
          </cell>
          <cell r="B57" t="str">
            <v>NCR</v>
          </cell>
          <cell r="E57">
            <v>-6.5426239999999995E-3</v>
          </cell>
          <cell r="F57">
            <v>-1.6039847999999999E-2</v>
          </cell>
          <cell r="G57">
            <v>-1.2774226999999999E-2</v>
          </cell>
          <cell r="H57">
            <v>-1.6716837000000002E-2</v>
          </cell>
          <cell r="I57">
            <v>-6.0499700000000017E-3</v>
          </cell>
          <cell r="J57">
            <v>3.3181789999999996E-2</v>
          </cell>
          <cell r="K57">
            <v>0.14077227199999998</v>
          </cell>
          <cell r="L57">
            <v>0.18829563000000005</v>
          </cell>
          <cell r="M57">
            <v>0.122822757</v>
          </cell>
          <cell r="N57">
            <v>0.13864120000000002</v>
          </cell>
          <cell r="O57">
            <v>1.0373270000000003</v>
          </cell>
          <cell r="Q57">
            <v>48.27</v>
          </cell>
          <cell r="R57">
            <v>31.64</v>
          </cell>
          <cell r="Z57" t="str">
            <v>12/11/96</v>
          </cell>
          <cell r="AB57">
            <v>0.13564999999999999</v>
          </cell>
          <cell r="AC57">
            <v>9.9000000000000005E-2</v>
          </cell>
          <cell r="AD57">
            <v>9.1700000000000004E-2</v>
          </cell>
        </row>
        <row r="58">
          <cell r="A58" t="str">
            <v>Sun Microsystems Inc.</v>
          </cell>
          <cell r="B58" t="str">
            <v>SUNW</v>
          </cell>
          <cell r="E58">
            <v>-9.548885E-3</v>
          </cell>
          <cell r="F58">
            <v>-2.3707150999999999E-2</v>
          </cell>
          <cell r="G58">
            <v>-1.6617891999999999E-2</v>
          </cell>
          <cell r="H58">
            <v>-3.4568189999999999E-2</v>
          </cell>
          <cell r="I58">
            <v>-1.5811314999999999E-2</v>
          </cell>
          <cell r="J58">
            <v>5.1777499999999983E-3</v>
          </cell>
          <cell r="K58">
            <v>0.119955362</v>
          </cell>
          <cell r="L58">
            <v>0.13683073000000001</v>
          </cell>
          <cell r="M58">
            <v>0.14910077699999999</v>
          </cell>
          <cell r="N58">
            <v>0.20253010000000005</v>
          </cell>
          <cell r="O58">
            <v>0.25197240000000004</v>
          </cell>
          <cell r="Q58">
            <v>6.78</v>
          </cell>
          <cell r="R58">
            <v>3.74</v>
          </cell>
          <cell r="Z58" t="str">
            <v>3/04/86</v>
          </cell>
          <cell r="AB58">
            <v>4.6799999999999994E-2</v>
          </cell>
          <cell r="AC58">
            <v>2.5899999999999999E-2</v>
          </cell>
          <cell r="AD58">
            <v>3.2600000000000004E-2</v>
          </cell>
        </row>
        <row r="59">
          <cell r="A59" t="str">
            <v>Apple Computer Inc.</v>
          </cell>
          <cell r="B59" t="str">
            <v>AAPL</v>
          </cell>
          <cell r="E59">
            <v>-2.4927199999999995E-3</v>
          </cell>
          <cell r="F59">
            <v>3.7993200000000019E-3</v>
          </cell>
          <cell r="G59">
            <v>7.921700000000002E-3</v>
          </cell>
          <cell r="H59">
            <v>-6.9106000000000029E-4</v>
          </cell>
          <cell r="I59">
            <v>1.0900300000000002E-2</v>
          </cell>
          <cell r="J59">
            <v>9.8350229999999997E-2</v>
          </cell>
          <cell r="K59">
            <v>8.8126961999999989E-2</v>
          </cell>
          <cell r="L59">
            <v>0.15079983000000002</v>
          </cell>
          <cell r="M59">
            <v>8.3454447000000001E-2</v>
          </cell>
          <cell r="N59">
            <v>0.34848460000000003</v>
          </cell>
          <cell r="O59">
            <v>5.8036510000000003</v>
          </cell>
          <cell r="Q59">
            <v>97.800000000000011</v>
          </cell>
          <cell r="R59">
            <v>50.160000000000004</v>
          </cell>
          <cell r="Z59" t="str">
            <v>12/12/80</v>
          </cell>
          <cell r="AB59">
            <v>9.5449999999999993E-2</v>
          </cell>
          <cell r="AC59">
            <v>7.2499999999999995E-2</v>
          </cell>
          <cell r="AD59">
            <v>7.0699999999999999E-2</v>
          </cell>
        </row>
        <row r="60">
          <cell r="A60" t="str">
            <v>Gateway Inc.</v>
          </cell>
          <cell r="B60" t="str">
            <v>GTW</v>
          </cell>
          <cell r="E60">
            <v>-1.4666778999999998E-2</v>
          </cell>
          <cell r="F60">
            <v>4.0480970000000005E-2</v>
          </cell>
          <cell r="G60">
            <v>5.3862100000000003E-2</v>
          </cell>
          <cell r="H60">
            <v>3.1322719999999998E-2</v>
          </cell>
          <cell r="I60">
            <v>9.3429529999999997E-2</v>
          </cell>
          <cell r="J60">
            <v>0.24767676</v>
          </cell>
          <cell r="K60">
            <v>0.14760035199999999</v>
          </cell>
          <cell r="L60">
            <v>0.10194703000000001</v>
          </cell>
          <cell r="M60">
            <v>0.189269087</v>
          </cell>
          <cell r="N60">
            <v>-9.3561919999999993E-2</v>
          </cell>
          <cell r="O60">
            <v>-0.82146350000000012</v>
          </cell>
          <cell r="Z60" t="str">
            <v>12/08/93</v>
          </cell>
          <cell r="AB60">
            <v>3.7699999999999997E-2</v>
          </cell>
          <cell r="AC60">
            <v>2.9700000000000001E-2</v>
          </cell>
          <cell r="AD60">
            <v>2.3599999999999999E-2</v>
          </cell>
        </row>
        <row r="61">
          <cell r="A61" t="str">
            <v>EMC</v>
          </cell>
          <cell r="B61" t="str">
            <v>EMC</v>
          </cell>
          <cell r="E61">
            <v>-8.6322840000000005E-3</v>
          </cell>
          <cell r="F61">
            <v>-1.4987348999999999E-2</v>
          </cell>
          <cell r="G61">
            <v>-6.4419490000000006E-3</v>
          </cell>
          <cell r="H61">
            <v>-1.5596985000000001E-2</v>
          </cell>
          <cell r="I61">
            <v>-2.1631827999999999E-2</v>
          </cell>
          <cell r="J61">
            <v>-7.4828209999999992E-2</v>
          </cell>
          <cell r="K61">
            <v>-3.2392797999999993E-2</v>
          </cell>
          <cell r="L61">
            <v>6.8439659999999999E-2</v>
          </cell>
          <cell r="M61">
            <v>-8.4469230000000003E-3</v>
          </cell>
          <cell r="N61">
            <v>-0.17253036999999999</v>
          </cell>
          <cell r="O61">
            <v>-0.25179187000000003</v>
          </cell>
          <cell r="Z61" t="str">
            <v>4/09/86</v>
          </cell>
          <cell r="AB61">
            <v>0.1056</v>
          </cell>
          <cell r="AC61">
            <v>4.5700000000000005E-2</v>
          </cell>
          <cell r="AD61">
            <v>7.2300000000000003E-2</v>
          </cell>
        </row>
        <row r="62">
          <cell r="A62" t="str">
            <v>Isilon Systems, Inc.</v>
          </cell>
          <cell r="B62" t="str">
            <v>ISLN</v>
          </cell>
          <cell r="E62">
            <v>-1.4579722E-2</v>
          </cell>
          <cell r="F62">
            <v>-5.874211E-2</v>
          </cell>
          <cell r="G62">
            <v>-7.577246E-2</v>
          </cell>
          <cell r="H62">
            <v>-9.4373289999999999E-2</v>
          </cell>
          <cell r="I62">
            <v>-0.12642889000000002</v>
          </cell>
          <cell r="J62">
            <v>-0.10138119999999998</v>
          </cell>
          <cell r="K62" t="str">
            <v>NA</v>
          </cell>
          <cell r="L62" t="str">
            <v>NA</v>
          </cell>
          <cell r="M62">
            <v>-0.33569481299999998</v>
          </cell>
          <cell r="N62" t="str">
            <v>NA</v>
          </cell>
          <cell r="O62" t="str">
            <v>NA</v>
          </cell>
          <cell r="Q62">
            <v>28.5</v>
          </cell>
          <cell r="R62">
            <v>17.8</v>
          </cell>
          <cell r="Z62" t="str">
            <v>12/15/06</v>
          </cell>
          <cell r="AB62" t="str">
            <v>NA</v>
          </cell>
          <cell r="AC62" t="str">
            <v>NA</v>
          </cell>
          <cell r="AD62" t="str">
            <v>NA</v>
          </cell>
        </row>
        <row r="63">
          <cell r="A63" t="str">
            <v>Network Appliance</v>
          </cell>
          <cell r="B63" t="str">
            <v>NTAP</v>
          </cell>
          <cell r="E63">
            <v>6.0394059999999998E-3</v>
          </cell>
          <cell r="F63">
            <v>-1.4573692999999999E-2</v>
          </cell>
          <cell r="G63">
            <v>-6.015299E-3</v>
          </cell>
          <cell r="H63">
            <v>-2.8105000000000005E-3</v>
          </cell>
          <cell r="I63">
            <v>-5.6891399999999988E-3</v>
          </cell>
          <cell r="J63">
            <v>-5.7248750000000001E-2</v>
          </cell>
          <cell r="K63">
            <v>-7.6145827999999999E-2</v>
          </cell>
          <cell r="L63">
            <v>-5.9532702999999992E-2</v>
          </cell>
          <cell r="M63">
            <v>-5.7437882999999995E-2</v>
          </cell>
          <cell r="N63">
            <v>-2.6703669999999999E-2</v>
          </cell>
          <cell r="O63">
            <v>0.57609709999999992</v>
          </cell>
          <cell r="Q63">
            <v>41.56</v>
          </cell>
          <cell r="R63">
            <v>25.85</v>
          </cell>
          <cell r="Z63" t="str">
            <v>11/21/95</v>
          </cell>
          <cell r="AB63">
            <v>0.16670000000000001</v>
          </cell>
          <cell r="AC63">
            <v>7.3300000000000004E-2</v>
          </cell>
          <cell r="AD63">
            <v>0.1119</v>
          </cell>
        </row>
        <row r="64">
          <cell r="A64" t="str">
            <v>Seagate</v>
          </cell>
          <cell r="B64" t="str">
            <v>STX</v>
          </cell>
          <cell r="E64">
            <v>-6.144470000000006E-4</v>
          </cell>
          <cell r="F64">
            <v>-1.0343909999999998E-2</v>
          </cell>
          <cell r="G64">
            <v>-1.25894526E-2</v>
          </cell>
          <cell r="H64">
            <v>-4.7999600000000007E-3</v>
          </cell>
          <cell r="I64">
            <v>-2.4066000000000018E-4</v>
          </cell>
          <cell r="J64">
            <v>-4.8979479999999992E-2</v>
          </cell>
          <cell r="K64">
            <v>-7.5914047999999998E-2</v>
          </cell>
          <cell r="L64">
            <v>6.1807700000000021E-3</v>
          </cell>
          <cell r="M64">
            <v>-6.5753982999999988E-2</v>
          </cell>
          <cell r="N64">
            <v>-9.6313769999999993E-2</v>
          </cell>
          <cell r="O64" t="str">
            <v>N/A</v>
          </cell>
          <cell r="Q64">
            <v>28.51</v>
          </cell>
          <cell r="R64">
            <v>19.150000000000002</v>
          </cell>
          <cell r="Z64" t="str">
            <v>12/11/02</v>
          </cell>
          <cell r="AB64">
            <v>0.18190000000000001</v>
          </cell>
          <cell r="AC64" t="str">
            <v>N/A</v>
          </cell>
          <cell r="AD64">
            <v>0.1032</v>
          </cell>
        </row>
        <row r="65">
          <cell r="A65" t="str">
            <v>Coverage Universe Index</v>
          </cell>
          <cell r="B65" t="str">
            <v>INDEX:COVERAGEUNIV</v>
          </cell>
          <cell r="C65" t="str">
            <v>#Calc</v>
          </cell>
          <cell r="E65" t="e">
            <v>#VALUE!</v>
          </cell>
          <cell r="F65" t="e">
            <v>#VALUE!</v>
          </cell>
          <cell r="G65" t="e">
            <v>#VALUE!</v>
          </cell>
          <cell r="H65" t="e">
            <v>#VALUE!</v>
          </cell>
          <cell r="I65" t="e">
            <v>#VALUE!</v>
          </cell>
          <cell r="J65" t="e">
            <v>#VALUE!</v>
          </cell>
          <cell r="K65" t="e">
            <v>#VALUE!</v>
          </cell>
          <cell r="L65" t="e">
            <v>#VALUE!</v>
          </cell>
          <cell r="M65" t="e">
            <v>#VALUE!</v>
          </cell>
          <cell r="N65" t="e">
            <v>#VALUE!</v>
          </cell>
          <cell r="O65" t="e">
            <v>#VALUE!</v>
          </cell>
          <cell r="Q65" t="str">
            <v/>
          </cell>
          <cell r="R65" t="str">
            <v/>
          </cell>
        </row>
      </sheetData>
      <sheetData sheetId="7" refreshError="1">
        <row r="1">
          <cell r="A1" t="str">
            <v>E</v>
          </cell>
          <cell r="T1" t="str">
            <v>US Enterprise Hardware Team</v>
          </cell>
        </row>
        <row r="2">
          <cell r="A2" t="str">
            <v>Performance</v>
          </cell>
          <cell r="X2" t="str">
            <v>1 Week</v>
          </cell>
          <cell r="Z2" t="str">
            <v>1 Month</v>
          </cell>
          <cell r="AB2" t="str">
            <v>3 Month</v>
          </cell>
          <cell r="AE2" t="str">
            <v>52 Week</v>
          </cell>
        </row>
        <row r="3">
          <cell r="W3">
            <v>12</v>
          </cell>
          <cell r="X3" t="str">
            <v>Isilon</v>
          </cell>
          <cell r="Y3">
            <v>-0.10248754</v>
          </cell>
          <cell r="Z3" t="str">
            <v>Isilon</v>
          </cell>
          <cell r="AA3">
            <v>-0.13477215999999997</v>
          </cell>
          <cell r="AB3" t="str">
            <v>Isilon</v>
          </cell>
          <cell r="AC3">
            <v>-0.24360580000000001</v>
          </cell>
          <cell r="AD3">
            <v>12</v>
          </cell>
          <cell r="AE3" t="str">
            <v>Dell</v>
          </cell>
          <cell r="AF3">
            <v>-0.24294350000000001</v>
          </cell>
          <cell r="AI3" t="str">
            <v>Dell</v>
          </cell>
          <cell r="AJ3" t="str">
            <v>HP</v>
          </cell>
          <cell r="AK3" t="str">
            <v>IBM</v>
          </cell>
          <cell r="AL3" t="str">
            <v>Lexmark</v>
          </cell>
          <cell r="AM3" t="str">
            <v>NCR</v>
          </cell>
          <cell r="AN3" t="str">
            <v>Sun</v>
          </cell>
          <cell r="AO3" t="str">
            <v>Apple</v>
          </cell>
          <cell r="AP3" t="str">
            <v>Gateway</v>
          </cell>
          <cell r="AQ3" t="str">
            <v>EMC</v>
          </cell>
          <cell r="AR3" t="str">
            <v>Isilon</v>
          </cell>
          <cell r="AS3" t="str">
            <v>Network Appliance</v>
          </cell>
          <cell r="AT3" t="str">
            <v>Seagate</v>
          </cell>
        </row>
        <row r="4">
          <cell r="W4">
            <v>11</v>
          </cell>
          <cell r="X4" t="str">
            <v>Lexmark</v>
          </cell>
          <cell r="Y4">
            <v>-1.0949519999999999E-2</v>
          </cell>
          <cell r="Z4" t="str">
            <v>EMC</v>
          </cell>
          <cell r="AA4">
            <v>-0.10821916999999999</v>
          </cell>
          <cell r="AB4" t="str">
            <v>Lexmark</v>
          </cell>
          <cell r="AC4">
            <v>-0.2134694</v>
          </cell>
          <cell r="AD4">
            <v>11</v>
          </cell>
          <cell r="AE4" t="str">
            <v>EMC</v>
          </cell>
          <cell r="AF4">
            <v>-9.1416570000000003E-2</v>
          </cell>
        </row>
        <row r="5">
          <cell r="W5">
            <v>10</v>
          </cell>
          <cell r="X5" t="str">
            <v>HP</v>
          </cell>
          <cell r="Y5">
            <v>1.5171000000000002E-3</v>
          </cell>
          <cell r="Z5" t="str">
            <v>Network Appliance</v>
          </cell>
          <cell r="AA5">
            <v>-9.0639709999999998E-2</v>
          </cell>
          <cell r="AB5" t="str">
            <v>Dell</v>
          </cell>
          <cell r="AC5">
            <v>-0.12572757999999998</v>
          </cell>
          <cell r="AD5">
            <v>10</v>
          </cell>
          <cell r="AE5" t="str">
            <v>Seagate</v>
          </cell>
          <cell r="AF5">
            <v>-1.5199969999999998E-2</v>
          </cell>
          <cell r="AH5" t="str">
            <v>1 Week</v>
          </cell>
          <cell r="AI5">
            <v>3.3960519999999994E-2</v>
          </cell>
          <cell r="AJ5">
            <v>1.5171000000000002E-3</v>
          </cell>
          <cell r="AK5">
            <v>1.930753E-2</v>
          </cell>
          <cell r="AL5">
            <v>-1.0949519999999999E-2</v>
          </cell>
          <cell r="AM5">
            <v>1.7891379999999998E-2</v>
          </cell>
          <cell r="AN5">
            <v>8.1300350000000007E-3</v>
          </cell>
          <cell r="AO5">
            <v>3.4841650000000002E-2</v>
          </cell>
          <cell r="AP5">
            <v>0.11737088</v>
          </cell>
          <cell r="AQ5">
            <v>2.3095220000000001E-3</v>
          </cell>
          <cell r="AR5">
            <v>-0.10248754</v>
          </cell>
          <cell r="AS5">
            <v>1.8252210000000001E-2</v>
          </cell>
          <cell r="AT5">
            <v>2.370069E-2</v>
          </cell>
        </row>
        <row r="6">
          <cell r="W6">
            <v>9</v>
          </cell>
          <cell r="X6" t="str">
            <v>EMC</v>
          </cell>
          <cell r="Y6">
            <v>2.3095220000000001E-3</v>
          </cell>
          <cell r="Z6" t="str">
            <v>Lexmark</v>
          </cell>
          <cell r="AA6">
            <v>-8.2380929999999991E-2</v>
          </cell>
          <cell r="AB6" t="str">
            <v>Network Appliance</v>
          </cell>
          <cell r="AC6">
            <v>-8.4990099999999999E-2</v>
          </cell>
          <cell r="AD6">
            <v>9</v>
          </cell>
          <cell r="AE6" t="str">
            <v>Gateway</v>
          </cell>
          <cell r="AF6">
            <v>-1.244812E-2</v>
          </cell>
          <cell r="AI6">
            <v>3</v>
          </cell>
          <cell r="AJ6">
            <v>10</v>
          </cell>
          <cell r="AK6">
            <v>5</v>
          </cell>
          <cell r="AL6">
            <v>11</v>
          </cell>
          <cell r="AM6">
            <v>7</v>
          </cell>
          <cell r="AN6">
            <v>8</v>
          </cell>
          <cell r="AO6">
            <v>2</v>
          </cell>
          <cell r="AP6">
            <v>1</v>
          </cell>
          <cell r="AQ6">
            <v>9</v>
          </cell>
          <cell r="AR6">
            <v>12</v>
          </cell>
          <cell r="AS6">
            <v>6</v>
          </cell>
          <cell r="AT6">
            <v>4</v>
          </cell>
        </row>
        <row r="7">
          <cell r="W7">
            <v>8</v>
          </cell>
          <cell r="X7" t="str">
            <v>Sun</v>
          </cell>
          <cell r="Y7">
            <v>8.1300350000000007E-3</v>
          </cell>
          <cell r="Z7" t="str">
            <v>Seagate</v>
          </cell>
          <cell r="AA7">
            <v>-8.2370439999999989E-2</v>
          </cell>
          <cell r="AB7" t="str">
            <v>Seagate</v>
          </cell>
          <cell r="AC7">
            <v>-8.4758319999999998E-2</v>
          </cell>
          <cell r="AD7">
            <v>8</v>
          </cell>
          <cell r="AE7" t="str">
            <v>Network Appliance</v>
          </cell>
          <cell r="AF7">
            <v>5.4410130000000001E-2</v>
          </cell>
          <cell r="AH7" t="str">
            <v>1 Month</v>
          </cell>
          <cell r="AI7">
            <v>-8.1532809999999997E-2</v>
          </cell>
          <cell r="AJ7">
            <v>-8.1613729999999995E-2</v>
          </cell>
          <cell r="AK7">
            <v>-4.8817300000000001E-2</v>
          </cell>
          <cell r="AL7">
            <v>-8.2380929999999991E-2</v>
          </cell>
          <cell r="AM7">
            <v>-2.0916999999999998E-4</v>
          </cell>
          <cell r="AN7">
            <v>-2.8213209999999999E-2</v>
          </cell>
          <cell r="AO7">
            <v>6.495927E-2</v>
          </cell>
          <cell r="AP7">
            <v>0.2142858</v>
          </cell>
          <cell r="AQ7">
            <v>-0.10821916999999999</v>
          </cell>
          <cell r="AR7">
            <v>-0.13477215999999997</v>
          </cell>
          <cell r="AS7">
            <v>-9.0639709999999998E-2</v>
          </cell>
          <cell r="AT7">
            <v>-8.2370439999999989E-2</v>
          </cell>
        </row>
        <row r="8">
          <cell r="W8">
            <v>7</v>
          </cell>
          <cell r="X8" t="str">
            <v>NCR</v>
          </cell>
          <cell r="Y8">
            <v>1.7891379999999998E-2</v>
          </cell>
          <cell r="Z8" t="str">
            <v>HP</v>
          </cell>
          <cell r="AA8">
            <v>-8.1613729999999995E-2</v>
          </cell>
          <cell r="AB8" t="str">
            <v>HP</v>
          </cell>
          <cell r="AC8">
            <v>-4.1848079999999996E-2</v>
          </cell>
          <cell r="AD8">
            <v>7</v>
          </cell>
          <cell r="AE8" t="str">
            <v>IBM</v>
          </cell>
          <cell r="AF8">
            <v>0.13065323999999998</v>
          </cell>
          <cell r="AI8">
            <v>6</v>
          </cell>
          <cell r="AJ8">
            <v>7</v>
          </cell>
          <cell r="AK8">
            <v>5</v>
          </cell>
          <cell r="AL8">
            <v>9</v>
          </cell>
          <cell r="AM8">
            <v>3</v>
          </cell>
          <cell r="AN8">
            <v>4</v>
          </cell>
          <cell r="AO8">
            <v>2</v>
          </cell>
          <cell r="AP8">
            <v>1</v>
          </cell>
          <cell r="AQ8">
            <v>11</v>
          </cell>
          <cell r="AR8">
            <v>12</v>
          </cell>
          <cell r="AS8">
            <v>10</v>
          </cell>
          <cell r="AT8">
            <v>8</v>
          </cell>
        </row>
        <row r="9">
          <cell r="W9">
            <v>6</v>
          </cell>
          <cell r="X9" t="str">
            <v>Network Appliance</v>
          </cell>
          <cell r="Y9">
            <v>1.8252210000000001E-2</v>
          </cell>
          <cell r="Z9" t="str">
            <v>Dell</v>
          </cell>
          <cell r="AA9">
            <v>-8.1532809999999997E-2</v>
          </cell>
          <cell r="AB9" t="str">
            <v>EMC</v>
          </cell>
          <cell r="AC9">
            <v>-4.1237069999999994E-2</v>
          </cell>
          <cell r="AD9">
            <v>6</v>
          </cell>
          <cell r="AE9" t="str">
            <v>HP</v>
          </cell>
          <cell r="AF9">
            <v>0.16637230000000003</v>
          </cell>
          <cell r="AH9" t="str">
            <v>3 Month</v>
          </cell>
          <cell r="AI9">
            <v>-0.12572757999999998</v>
          </cell>
          <cell r="AJ9">
            <v>-4.1848079999999996E-2</v>
          </cell>
          <cell r="AK9">
            <v>-1.5625E-2</v>
          </cell>
          <cell r="AL9">
            <v>-0.2134694</v>
          </cell>
          <cell r="AM9">
            <v>0.13192799999999999</v>
          </cell>
          <cell r="AN9">
            <v>0.11111109</v>
          </cell>
          <cell r="AO9">
            <v>7.9282689999999989E-2</v>
          </cell>
          <cell r="AP9">
            <v>0.13875608</v>
          </cell>
          <cell r="AQ9">
            <v>-4.1237069999999994E-2</v>
          </cell>
          <cell r="AR9">
            <v>-0.24360580000000001</v>
          </cell>
          <cell r="AS9">
            <v>-8.4990099999999999E-2</v>
          </cell>
          <cell r="AT9">
            <v>-8.4758319999999998E-2</v>
          </cell>
        </row>
        <row r="10">
          <cell r="W10">
            <v>5</v>
          </cell>
          <cell r="X10" t="str">
            <v>IBM</v>
          </cell>
          <cell r="Y10">
            <v>1.930753E-2</v>
          </cell>
          <cell r="Z10" t="str">
            <v>IBM</v>
          </cell>
          <cell r="AA10">
            <v>-4.8817300000000001E-2</v>
          </cell>
          <cell r="AB10" t="str">
            <v>IBM</v>
          </cell>
          <cell r="AC10">
            <v>-1.5625E-2</v>
          </cell>
          <cell r="AD10">
            <v>5</v>
          </cell>
          <cell r="AE10" t="str">
            <v>NCR</v>
          </cell>
          <cell r="AF10">
            <v>0.21975500000000001</v>
          </cell>
          <cell r="AI10">
            <v>10</v>
          </cell>
          <cell r="AJ10">
            <v>7</v>
          </cell>
          <cell r="AK10">
            <v>5</v>
          </cell>
          <cell r="AL10">
            <v>11</v>
          </cell>
          <cell r="AM10">
            <v>2</v>
          </cell>
          <cell r="AN10">
            <v>3</v>
          </cell>
          <cell r="AO10">
            <v>4</v>
          </cell>
          <cell r="AP10">
            <v>1</v>
          </cell>
          <cell r="AQ10">
            <v>6</v>
          </cell>
          <cell r="AR10">
            <v>12</v>
          </cell>
          <cell r="AS10">
            <v>9</v>
          </cell>
          <cell r="AT10">
            <v>8</v>
          </cell>
        </row>
        <row r="11">
          <cell r="W11">
            <v>4</v>
          </cell>
          <cell r="X11" t="str">
            <v>Seagate</v>
          </cell>
          <cell r="Y11">
            <v>2.370069E-2</v>
          </cell>
          <cell r="Z11" t="str">
            <v>Sun</v>
          </cell>
          <cell r="AA11">
            <v>-2.8213209999999999E-2</v>
          </cell>
          <cell r="AB11" t="str">
            <v>Apple</v>
          </cell>
          <cell r="AC11">
            <v>7.9282689999999989E-2</v>
          </cell>
          <cell r="AD11">
            <v>4</v>
          </cell>
          <cell r="AE11" t="str">
            <v>Lexmark</v>
          </cell>
          <cell r="AF11">
            <v>0.25428510000000004</v>
          </cell>
          <cell r="AI11" t="str">
            <v>Dell</v>
          </cell>
          <cell r="AJ11" t="str">
            <v>HP</v>
          </cell>
          <cell r="AK11" t="str">
            <v>IBM</v>
          </cell>
          <cell r="AL11" t="str">
            <v>Lexmark</v>
          </cell>
          <cell r="AM11" t="str">
            <v>NCR</v>
          </cell>
          <cell r="AN11" t="str">
            <v>Sun</v>
          </cell>
          <cell r="AO11" t="str">
            <v>Apple</v>
          </cell>
          <cell r="AP11" t="str">
            <v>Gateway</v>
          </cell>
          <cell r="AQ11" t="str">
            <v>EMC</v>
          </cell>
          <cell r="AR11" t="str">
            <v>Isilon</v>
          </cell>
          <cell r="AS11" t="str">
            <v>Network Appliance</v>
          </cell>
          <cell r="AT11" t="str">
            <v>Seagate</v>
          </cell>
        </row>
        <row r="12">
          <cell r="W12">
            <v>3</v>
          </cell>
          <cell r="X12" t="str">
            <v>Dell</v>
          </cell>
          <cell r="Y12">
            <v>3.3960519999999994E-2</v>
          </cell>
          <cell r="Z12" t="str">
            <v>NCR</v>
          </cell>
          <cell r="AA12">
            <v>-2.0916999999999998E-4</v>
          </cell>
          <cell r="AB12" t="str">
            <v>Sun</v>
          </cell>
          <cell r="AC12">
            <v>0.11111109</v>
          </cell>
          <cell r="AD12">
            <v>3</v>
          </cell>
          <cell r="AE12" t="str">
            <v>Sun</v>
          </cell>
          <cell r="AF12">
            <v>0.28364390000000006</v>
          </cell>
          <cell r="AH12" t="str">
            <v>52 Week</v>
          </cell>
          <cell r="AI12">
            <v>-0.24294350000000001</v>
          </cell>
          <cell r="AJ12">
            <v>0.16637230000000003</v>
          </cell>
          <cell r="AK12">
            <v>0.13065323999999998</v>
          </cell>
          <cell r="AL12">
            <v>0.25428510000000004</v>
          </cell>
          <cell r="AM12">
            <v>0.21975500000000001</v>
          </cell>
          <cell r="AN12">
            <v>0.28364390000000006</v>
          </cell>
          <cell r="AO12">
            <v>0.42959840000000005</v>
          </cell>
          <cell r="AP12">
            <v>-1.244812E-2</v>
          </cell>
          <cell r="AQ12">
            <v>-9.1416570000000003E-2</v>
          </cell>
          <cell r="AR12" t="str">
            <v>-</v>
          </cell>
          <cell r="AS12">
            <v>5.4410130000000001E-2</v>
          </cell>
          <cell r="AT12">
            <v>-1.5199969999999998E-2</v>
          </cell>
        </row>
        <row r="13">
          <cell r="W13">
            <v>2</v>
          </cell>
          <cell r="X13" t="str">
            <v>Apple</v>
          </cell>
          <cell r="Y13">
            <v>3.4841650000000002E-2</v>
          </cell>
          <cell r="Z13" t="str">
            <v>Apple</v>
          </cell>
          <cell r="AA13">
            <v>6.495927E-2</v>
          </cell>
          <cell r="AB13" t="str">
            <v>NCR</v>
          </cell>
          <cell r="AC13">
            <v>0.13192799999999999</v>
          </cell>
          <cell r="AD13">
            <v>2</v>
          </cell>
          <cell r="AE13" t="str">
            <v>Apple</v>
          </cell>
          <cell r="AF13">
            <v>0.42959840000000005</v>
          </cell>
          <cell r="AI13">
            <v>12</v>
          </cell>
          <cell r="AJ13">
            <v>6</v>
          </cell>
          <cell r="AK13">
            <v>7</v>
          </cell>
          <cell r="AL13">
            <v>4</v>
          </cell>
          <cell r="AM13">
            <v>5</v>
          </cell>
          <cell r="AN13">
            <v>3</v>
          </cell>
          <cell r="AO13">
            <v>2</v>
          </cell>
          <cell r="AP13">
            <v>9</v>
          </cell>
          <cell r="AQ13">
            <v>11</v>
          </cell>
          <cell r="AR13" t="e">
            <v>#VALUE!</v>
          </cell>
          <cell r="AS13">
            <v>8</v>
          </cell>
          <cell r="AT13">
            <v>10</v>
          </cell>
        </row>
        <row r="14">
          <cell r="W14">
            <v>1</v>
          </cell>
          <cell r="X14" t="str">
            <v>Gateway</v>
          </cell>
          <cell r="Y14">
            <v>0.11737088</v>
          </cell>
          <cell r="Z14" t="str">
            <v>Gateway</v>
          </cell>
          <cell r="AA14">
            <v>0.2142858</v>
          </cell>
          <cell r="AB14" t="str">
            <v>Gateway</v>
          </cell>
          <cell r="AC14">
            <v>0.13875608</v>
          </cell>
          <cell r="AD14">
            <v>1</v>
          </cell>
          <cell r="AE14" t="e">
            <v>#N/A</v>
          </cell>
          <cell r="AF14" t="e">
            <v>#N/A</v>
          </cell>
        </row>
        <row r="15">
          <cell r="X15" t="str">
            <v>Coverage Universe</v>
          </cell>
          <cell r="Y15" t="e">
            <v>#VALUE!</v>
          </cell>
          <cell r="Z15" t="str">
            <v>Coverage Universe</v>
          </cell>
          <cell r="AA15" t="e">
            <v>#VALUE!</v>
          </cell>
          <cell r="AB15" t="str">
            <v>Coverage Universe</v>
          </cell>
          <cell r="AC15" t="e">
            <v>#VALUE!</v>
          </cell>
          <cell r="AE15" t="str">
            <v>Coverage Universe</v>
          </cell>
          <cell r="AF15" t="e">
            <v>#VALUE!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#11"/>
      <sheetName val="#12"/>
      <sheetName val="DATASHEET"/>
      <sheetName val="Demographic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US / EU</v>
          </cell>
          <cell r="B1" t="str">
            <v>Industry</v>
          </cell>
          <cell r="C1" t="str">
            <v>Revenue</v>
          </cell>
          <cell r="D1" t="str">
            <v>Annual IT Budget</v>
          </cell>
          <cell r="E1" t="str">
            <v>1 External 2011 vs 2010</v>
          </cell>
          <cell r="F1" t="str">
            <v>1 External 2012 vs 2011</v>
          </cell>
          <cell r="G1" t="str">
            <v>2 Hardware 2011 vs 2010</v>
          </cell>
          <cell r="H1" t="str">
            <v>2 Software 2011 vs 2010</v>
          </cell>
          <cell r="I1" t="str">
            <v>2 Communication Equipment  2011 vs 2010</v>
          </cell>
          <cell r="J1" t="str">
            <v>2 Services 2011 vs 2010</v>
          </cell>
          <cell r="K1" t="str">
            <v>2 Hardware 2012 vs 2011</v>
          </cell>
          <cell r="L1" t="str">
            <v>2 Software 2012 vs 2011</v>
          </cell>
          <cell r="M1" t="str">
            <v>2 Communication Equipment 2012 vs 2011</v>
          </cell>
          <cell r="N1" t="str">
            <v>2 Services 2012 vs 2011</v>
          </cell>
          <cell r="O1" t="str">
            <v>3 Current IT spending mind-set</v>
          </cell>
          <cell r="P1" t="str">
            <v>4 1H11</v>
          </cell>
          <cell r="Q1" t="str">
            <v>4 2H11</v>
          </cell>
          <cell r="R1" t="str">
            <v>4 1H12</v>
          </cell>
          <cell r="S1" t="str">
            <v>4 2H12</v>
          </cell>
          <cell r="T1" t="str">
            <v>5 Increase Project 1</v>
          </cell>
          <cell r="U1" t="str">
            <v>5 Increase Project 2</v>
          </cell>
          <cell r="V1" t="str">
            <v>5 Increase Project 3</v>
          </cell>
          <cell r="W1" t="str">
            <v>6 Decrease Project 1</v>
          </cell>
          <cell r="X1" t="str">
            <v>6 Decrease Project 2</v>
          </cell>
          <cell r="Y1" t="str">
            <v>6 Decrease Project 3</v>
          </cell>
          <cell r="Z1" t="str">
            <v>7 Revisions to 2012 IT Budget</v>
          </cell>
          <cell r="AA1" t="str">
            <v>8 Most likely to get cut</v>
          </cell>
          <cell r="AB1" t="str">
            <v>8 Least likely to get cut</v>
          </cell>
          <cell r="AC1" t="str">
            <v>9 Vendors willingness to discount</v>
          </cell>
          <cell r="AD1" t="str">
            <v>10 Time to make purchasing decisions</v>
          </cell>
          <cell r="AE1" t="str">
            <v>S1 Necessary Projects</v>
          </cell>
          <cell r="AF1" t="str">
            <v>S1 Stable economy</v>
          </cell>
          <cell r="AG1" t="str">
            <v>S1 Improving economy</v>
          </cell>
          <cell r="AH1" t="str">
            <v>S2 1H12 vs 2H12</v>
          </cell>
          <cell r="AI1" t="str">
            <v>S2 Spending vs Budget</v>
          </cell>
          <cell r="AJ1" t="str">
            <v>S3 Consulting &amp; Systems Integration Spending Change 2011 vs. 2010</v>
          </cell>
          <cell r="AK1" t="str">
            <v>S4 Offshore Spending 2011 vs 2010</v>
          </cell>
          <cell r="AL1" t="str">
            <v>S5 ITO 2011 vs 2010</v>
          </cell>
          <cell r="AM1" t="str">
            <v>S6 BPO 2011 vs 2010</v>
          </cell>
          <cell r="AN1" t="str">
            <v>S3 Consulting &amp; Systems Integration Spending Change 2012 vs. 2011</v>
          </cell>
          <cell r="AO1" t="str">
            <v>S4 Offshore Spending 2012 vs 2011</v>
          </cell>
          <cell r="AP1" t="str">
            <v>S5 ITO 2012 vs 2011</v>
          </cell>
          <cell r="AQ1" t="str">
            <v>S6 BPO 2012 vs 2011</v>
          </cell>
          <cell r="AR1" t="str">
            <v>S7 Accenture</v>
          </cell>
          <cell r="AS1" t="str">
            <v>S7 ACS (Xerox)</v>
          </cell>
          <cell r="AT1" t="str">
            <v>S7 Atos</v>
          </cell>
          <cell r="AU1" t="str">
            <v>S7 Cap Gemini</v>
          </cell>
          <cell r="AV1" t="str">
            <v>S7 Cognizant</v>
          </cell>
          <cell r="AW1" t="str">
            <v>S7 CSC</v>
          </cell>
          <cell r="AX1" t="str">
            <v>S7 Deloitte</v>
          </cell>
          <cell r="AY1" t="str">
            <v>S7 ExlService Holdings</v>
          </cell>
          <cell r="AZ1" t="str">
            <v>S7 Genpact</v>
          </cell>
          <cell r="BA1" t="str">
            <v>S7 Hewlett Packard</v>
          </cell>
          <cell r="BB1" t="str">
            <v>S7 IBM</v>
          </cell>
          <cell r="BC1" t="str">
            <v>S7 Infosys</v>
          </cell>
          <cell r="BD1" t="str">
            <v>S7 Logica</v>
          </cell>
          <cell r="BE1" t="str">
            <v>S7 KPMG</v>
          </cell>
          <cell r="BF1" t="str">
            <v>S7 Tata Consultancy Services</v>
          </cell>
          <cell r="BG1" t="str">
            <v>S7 Wipro</v>
          </cell>
          <cell r="BH1" t="str">
            <v>S7 WNS Service Holdings</v>
          </cell>
          <cell r="BI1" t="str">
            <v>S8 Major software upgrade</v>
          </cell>
          <cell r="BJ1" t="str">
            <v>S8 Network upgrade</v>
          </cell>
          <cell r="BK1" t="str">
            <v>S8 Security / Cyber</v>
          </cell>
          <cell r="BL1" t="str">
            <v>S8 Mobile / Tablet</v>
          </cell>
          <cell r="BM1" t="str">
            <v>S8 Hardware refresh</v>
          </cell>
          <cell r="BN1" t="str">
            <v>S8 Cloud computing</v>
          </cell>
          <cell r="BO1" t="str">
            <v>S8 Server virtualization</v>
          </cell>
          <cell r="BP1" t="str">
            <v>S8 Desktop virtualization</v>
          </cell>
          <cell r="BQ1" t="str">
            <v>S8 BI / Analytics</v>
          </cell>
          <cell r="BR1" t="str">
            <v>S8 Data center consolidation</v>
          </cell>
          <cell r="BS1" t="str">
            <v>S8 Rationalizing the software stack</v>
          </cell>
          <cell r="BT1" t="str">
            <v>S8 BPO</v>
          </cell>
          <cell r="BU1" t="str">
            <v>S9 Price</v>
          </cell>
          <cell r="BV1" t="str">
            <v>S9 Offshore capability</v>
          </cell>
          <cell r="BW1" t="str">
            <v>S9 Industry expertise</v>
          </cell>
          <cell r="BX1" t="str">
            <v>S9  Ability to deliver integrated hardware/software/services solution </v>
          </cell>
          <cell r="BY1" t="str">
            <v>S9 Your importance to the vendor as a priority client</v>
          </cell>
          <cell r="BZ1" t="str">
            <v>S9 Technology Competency &amp; experience</v>
          </cell>
          <cell r="CA1" t="str">
            <v>S9 Existing relationship </v>
          </cell>
          <cell r="CB1" t="str">
            <v>S10 Services vendors discounts</v>
          </cell>
        </row>
        <row r="2">
          <cell r="A2" t="str">
            <v>EU</v>
          </cell>
          <cell r="B2" t="str">
            <v>Business services</v>
          </cell>
          <cell r="C2" t="str">
            <v>$1-5 Billion</v>
          </cell>
          <cell r="D2" t="str">
            <v>$200-300 Million</v>
          </cell>
          <cell r="E2">
            <v>-5</v>
          </cell>
          <cell r="F2">
            <v>-5</v>
          </cell>
          <cell r="G2">
            <v>-10</v>
          </cell>
          <cell r="H2">
            <v>0</v>
          </cell>
          <cell r="I2">
            <v>0</v>
          </cell>
          <cell r="J2">
            <v>2</v>
          </cell>
          <cell r="K2">
            <v>-10</v>
          </cell>
          <cell r="L2">
            <v>0</v>
          </cell>
          <cell r="M2">
            <v>0</v>
          </cell>
          <cell r="N2">
            <v>2</v>
          </cell>
          <cell r="O2">
            <v>5</v>
          </cell>
          <cell r="P2">
            <v>20</v>
          </cell>
          <cell r="Q2">
            <v>80</v>
          </cell>
          <cell r="R2">
            <v>20</v>
          </cell>
          <cell r="S2">
            <v>80</v>
          </cell>
          <cell r="T2" t="str">
            <v>Server updates</v>
          </cell>
          <cell r="W2" t="str">
            <v>Storage</v>
          </cell>
          <cell r="Z2" t="str">
            <v>Downward revision is more likely</v>
          </cell>
          <cell r="AA2" t="str">
            <v>Servers</v>
          </cell>
          <cell r="AB2" t="str">
            <v>Everything subject to cuts</v>
          </cell>
          <cell r="AC2" t="str">
            <v>No change in level of discounting</v>
          </cell>
          <cell r="AD2" t="str">
            <v>Somewhat longer</v>
          </cell>
          <cell r="AE2">
            <v>100</v>
          </cell>
          <cell r="AF2">
            <v>0</v>
          </cell>
          <cell r="AG2">
            <v>0</v>
          </cell>
          <cell r="AH2" t="str">
            <v>20/80</v>
          </cell>
          <cell r="AI2" t="str">
            <v>In-Line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 t="str">
            <v>Don't Use</v>
          </cell>
          <cell r="AS2" t="str">
            <v>Don't Use</v>
          </cell>
          <cell r="AT2" t="str">
            <v>Don't Use</v>
          </cell>
          <cell r="AU2" t="str">
            <v>Don't Use</v>
          </cell>
          <cell r="AV2" t="str">
            <v>Don't Use</v>
          </cell>
          <cell r="AW2" t="str">
            <v>Don't Use</v>
          </cell>
          <cell r="AX2" t="str">
            <v>Don't Use</v>
          </cell>
          <cell r="AY2" t="str">
            <v>Don't Use</v>
          </cell>
          <cell r="AZ2" t="str">
            <v>Don't Use</v>
          </cell>
          <cell r="BA2" t="str">
            <v>Don't Use</v>
          </cell>
          <cell r="BB2" t="str">
            <v>Flat</v>
          </cell>
          <cell r="BC2" t="str">
            <v>Don't Use</v>
          </cell>
          <cell r="BD2" t="str">
            <v>Don't Use</v>
          </cell>
          <cell r="BE2" t="str">
            <v>Don't Use</v>
          </cell>
          <cell r="BF2" t="str">
            <v>Don't Use</v>
          </cell>
          <cell r="BG2" t="str">
            <v>Don't Use</v>
          </cell>
          <cell r="BH2" t="str">
            <v>Don't Use</v>
          </cell>
          <cell r="BI2" t="str">
            <v>Already using services provider</v>
          </cell>
          <cell r="BJ2" t="str">
            <v>Not Priority</v>
          </cell>
          <cell r="BK2" t="str">
            <v>Doing work internally</v>
          </cell>
          <cell r="BL2" t="str">
            <v>Doing work internally</v>
          </cell>
          <cell r="BM2" t="str">
            <v>Doing work internally</v>
          </cell>
          <cell r="BN2" t="str">
            <v>Not Priority</v>
          </cell>
          <cell r="BO2" t="str">
            <v>Doing work internally</v>
          </cell>
          <cell r="BP2" t="str">
            <v>Not Priority</v>
          </cell>
          <cell r="BQ2" t="str">
            <v>Not Priority</v>
          </cell>
          <cell r="BR2" t="str">
            <v>Doing work internally</v>
          </cell>
          <cell r="BS2" t="str">
            <v>Not Priority</v>
          </cell>
          <cell r="BT2" t="str">
            <v>Not Priority</v>
          </cell>
          <cell r="BU2">
            <v>4</v>
          </cell>
          <cell r="BV2">
            <v>7</v>
          </cell>
          <cell r="BW2">
            <v>3</v>
          </cell>
          <cell r="BX2">
            <v>1</v>
          </cell>
          <cell r="BY2">
            <v>5</v>
          </cell>
          <cell r="BZ2">
            <v>2</v>
          </cell>
          <cell r="CA2">
            <v>6</v>
          </cell>
          <cell r="CB2" t="str">
            <v>No change in level of discounting</v>
          </cell>
        </row>
        <row r="3">
          <cell r="A3" t="str">
            <v>EU</v>
          </cell>
          <cell r="B3" t="str">
            <v>Business services</v>
          </cell>
          <cell r="C3" t="str">
            <v>$1-5 Billion</v>
          </cell>
          <cell r="D3" t="str">
            <v>$500-600 Million</v>
          </cell>
          <cell r="E3">
            <v>8</v>
          </cell>
          <cell r="F3">
            <v>10</v>
          </cell>
          <cell r="G3">
            <v>5</v>
          </cell>
          <cell r="H3">
            <v>5</v>
          </cell>
          <cell r="I3">
            <v>5</v>
          </cell>
          <cell r="J3">
            <v>5</v>
          </cell>
          <cell r="K3">
            <v>0</v>
          </cell>
          <cell r="L3">
            <v>-5</v>
          </cell>
          <cell r="M3">
            <v>0</v>
          </cell>
          <cell r="N3">
            <v>-5</v>
          </cell>
          <cell r="O3">
            <v>5</v>
          </cell>
          <cell r="P3">
            <v>50</v>
          </cell>
          <cell r="Q3">
            <v>50</v>
          </cell>
          <cell r="R3">
            <v>40</v>
          </cell>
          <cell r="S3">
            <v>60</v>
          </cell>
          <cell r="T3" t="str">
            <v>Server virtualization</v>
          </cell>
          <cell r="U3" t="str">
            <v>VoIP</v>
          </cell>
          <cell r="V3" t="str">
            <v>Backup moved to virtual tape</v>
          </cell>
          <cell r="W3" t="str">
            <v>Use of services for app development</v>
          </cell>
          <cell r="X3" t="str">
            <v>Hardware</v>
          </cell>
          <cell r="Y3" t="str">
            <v>CRM</v>
          </cell>
          <cell r="Z3" t="str">
            <v>‘No change’ to the budget is likely</v>
          </cell>
          <cell r="AA3" t="str">
            <v>VoIP</v>
          </cell>
          <cell r="AB3" t="str">
            <v>Backup and recovery</v>
          </cell>
          <cell r="AC3" t="str">
            <v>Somewhat more aggressive in discounting</v>
          </cell>
          <cell r="AD3" t="str">
            <v>Somewhat quicker</v>
          </cell>
          <cell r="AE3">
            <v>100</v>
          </cell>
          <cell r="AF3">
            <v>0</v>
          </cell>
          <cell r="AG3">
            <v>0</v>
          </cell>
          <cell r="AH3" t="str">
            <v>50/50</v>
          </cell>
          <cell r="AI3" t="str">
            <v>In-Line</v>
          </cell>
          <cell r="AJ3">
            <v>7</v>
          </cell>
          <cell r="AK3">
            <v>0</v>
          </cell>
          <cell r="AL3">
            <v>3</v>
          </cell>
          <cell r="AM3">
            <v>5</v>
          </cell>
          <cell r="AN3">
            <v>3</v>
          </cell>
          <cell r="AO3">
            <v>-10</v>
          </cell>
          <cell r="AP3">
            <v>5</v>
          </cell>
          <cell r="AQ3">
            <v>5</v>
          </cell>
          <cell r="AR3" t="str">
            <v>Don't Use</v>
          </cell>
          <cell r="AS3" t="str">
            <v>Don't Use</v>
          </cell>
          <cell r="AT3" t="str">
            <v>Don't Use</v>
          </cell>
          <cell r="AU3" t="str">
            <v>Don't Use</v>
          </cell>
          <cell r="AV3" t="str">
            <v>Don't Use</v>
          </cell>
          <cell r="AW3" t="str">
            <v>Don't Use</v>
          </cell>
          <cell r="AX3" t="str">
            <v>Don't Use</v>
          </cell>
          <cell r="AY3" t="str">
            <v>Flat</v>
          </cell>
          <cell r="AZ3" t="str">
            <v>Flat</v>
          </cell>
          <cell r="BA3" t="str">
            <v>Flat</v>
          </cell>
          <cell r="BB3" t="str">
            <v>Flat</v>
          </cell>
          <cell r="BC3" t="str">
            <v>Don't Use</v>
          </cell>
          <cell r="BD3" t="str">
            <v>Don't Use</v>
          </cell>
          <cell r="BE3" t="str">
            <v>Don't Use</v>
          </cell>
          <cell r="BF3" t="str">
            <v>Don't Use</v>
          </cell>
          <cell r="BG3" t="str">
            <v>Don't Use</v>
          </cell>
          <cell r="BH3" t="str">
            <v>Don't Use</v>
          </cell>
          <cell r="BI3" t="str">
            <v>Not Priority</v>
          </cell>
          <cell r="BJ3" t="str">
            <v>Doing work internally</v>
          </cell>
          <cell r="BK3" t="str">
            <v>Doing work internally</v>
          </cell>
          <cell r="BL3" t="str">
            <v>Not Priority</v>
          </cell>
          <cell r="BM3" t="str">
            <v>Doing work internally</v>
          </cell>
          <cell r="BN3" t="str">
            <v>Already using services provider</v>
          </cell>
          <cell r="BO3" t="str">
            <v>Already using services provider</v>
          </cell>
          <cell r="BP3" t="str">
            <v>Already using services provider</v>
          </cell>
          <cell r="BQ3" t="str">
            <v>Already using services provider</v>
          </cell>
          <cell r="BR3" t="str">
            <v>Not Priority</v>
          </cell>
          <cell r="BS3" t="str">
            <v>Not Priority</v>
          </cell>
          <cell r="BT3" t="str">
            <v>Doing work internally</v>
          </cell>
          <cell r="BU3">
            <v>4</v>
          </cell>
          <cell r="BV3">
            <v>1</v>
          </cell>
          <cell r="BW3">
            <v>5</v>
          </cell>
          <cell r="BX3">
            <v>2</v>
          </cell>
          <cell r="BY3">
            <v>6</v>
          </cell>
          <cell r="BZ3">
            <v>7</v>
          </cell>
          <cell r="CA3">
            <v>3</v>
          </cell>
          <cell r="CB3" t="str">
            <v>No change in level of discounting</v>
          </cell>
        </row>
        <row r="4">
          <cell r="A4" t="str">
            <v>EU</v>
          </cell>
          <cell r="B4" t="str">
            <v>Business services</v>
          </cell>
          <cell r="C4" t="str">
            <v>$1-5 Billion</v>
          </cell>
          <cell r="D4" t="str">
            <v>$200-300 Million</v>
          </cell>
          <cell r="E4">
            <v>-2</v>
          </cell>
          <cell r="F4">
            <v>5</v>
          </cell>
          <cell r="G4">
            <v>-5</v>
          </cell>
          <cell r="H4">
            <v>0</v>
          </cell>
          <cell r="I4">
            <v>-5</v>
          </cell>
          <cell r="J4">
            <v>-2</v>
          </cell>
          <cell r="K4">
            <v>5</v>
          </cell>
          <cell r="L4">
            <v>5</v>
          </cell>
          <cell r="M4">
            <v>5</v>
          </cell>
          <cell r="N4">
            <v>0</v>
          </cell>
          <cell r="O4">
            <v>4</v>
          </cell>
          <cell r="P4">
            <v>50</v>
          </cell>
          <cell r="Q4">
            <v>50</v>
          </cell>
          <cell r="R4">
            <v>60</v>
          </cell>
          <cell r="S4">
            <v>40</v>
          </cell>
          <cell r="T4" t="str">
            <v>Green data center</v>
          </cell>
          <cell r="U4" t="str">
            <v>Increasing datacenter efficiency</v>
          </cell>
          <cell r="V4" t="str">
            <v>ERP</v>
          </cell>
          <cell r="W4" t="str">
            <v>Backup and recovery</v>
          </cell>
          <cell r="X4" t="str">
            <v>Blade servers purchased</v>
          </cell>
          <cell r="Z4" t="str">
            <v>Downward revision is more likely</v>
          </cell>
          <cell r="AA4" t="str">
            <v>New purchases</v>
          </cell>
          <cell r="AB4" t="str">
            <v>Maintenance spending</v>
          </cell>
          <cell r="AC4" t="str">
            <v>No change in level of discounting</v>
          </cell>
          <cell r="AD4" t="str">
            <v>Somewhat longer</v>
          </cell>
          <cell r="AE4">
            <v>85</v>
          </cell>
          <cell r="AF4">
            <v>10</v>
          </cell>
          <cell r="AG4">
            <v>5</v>
          </cell>
          <cell r="AH4" t="str">
            <v>60/40</v>
          </cell>
          <cell r="AI4" t="str">
            <v>Under</v>
          </cell>
          <cell r="AJ4">
            <v>-5</v>
          </cell>
          <cell r="AK4">
            <v>5</v>
          </cell>
          <cell r="AL4" t="str">
            <v>NA / DK</v>
          </cell>
          <cell r="AM4">
            <v>0</v>
          </cell>
          <cell r="AN4">
            <v>-8</v>
          </cell>
          <cell r="AO4">
            <v>-5</v>
          </cell>
          <cell r="AP4">
            <v>-8</v>
          </cell>
          <cell r="AQ4">
            <v>-5</v>
          </cell>
          <cell r="AR4" t="str">
            <v>Decrease</v>
          </cell>
          <cell r="AS4" t="str">
            <v>Don't Use</v>
          </cell>
          <cell r="AT4" t="str">
            <v>Don't Use</v>
          </cell>
          <cell r="AU4" t="str">
            <v>Don't Use</v>
          </cell>
          <cell r="AV4" t="str">
            <v>Don't Use</v>
          </cell>
          <cell r="AW4" t="str">
            <v>Don't Use</v>
          </cell>
          <cell r="AX4" t="str">
            <v>Decrease</v>
          </cell>
          <cell r="AY4" t="str">
            <v>Don't Use</v>
          </cell>
          <cell r="AZ4" t="str">
            <v>Don't Use</v>
          </cell>
          <cell r="BA4" t="str">
            <v>Flat</v>
          </cell>
          <cell r="BB4" t="str">
            <v>Don't Use</v>
          </cell>
          <cell r="BC4" t="str">
            <v>Flat</v>
          </cell>
          <cell r="BD4" t="str">
            <v>Don't Use</v>
          </cell>
          <cell r="BE4" t="str">
            <v>Don't Use</v>
          </cell>
          <cell r="BF4" t="str">
            <v>Don't Use</v>
          </cell>
          <cell r="BG4" t="str">
            <v>Don't Use</v>
          </cell>
          <cell r="BH4" t="str">
            <v>Flat</v>
          </cell>
          <cell r="BI4" t="str">
            <v>Doing work internally</v>
          </cell>
          <cell r="BJ4" t="str">
            <v>Not Priority</v>
          </cell>
          <cell r="BK4" t="str">
            <v>Not Priority</v>
          </cell>
          <cell r="BL4" t="str">
            <v>Doing work internally</v>
          </cell>
          <cell r="BM4" t="str">
            <v>Will use services provider 2H12</v>
          </cell>
          <cell r="BN4" t="str">
            <v>Already using services provider</v>
          </cell>
          <cell r="BO4" t="str">
            <v>Will use services provider 2H12</v>
          </cell>
          <cell r="BP4" t="str">
            <v>Not Priority</v>
          </cell>
          <cell r="BQ4" t="str">
            <v>Already using services provider</v>
          </cell>
          <cell r="BR4" t="str">
            <v>Already using services provider</v>
          </cell>
          <cell r="BS4" t="str">
            <v>Not Priority</v>
          </cell>
          <cell r="BT4" t="str">
            <v>Will use services provider 2H12</v>
          </cell>
          <cell r="BU4">
            <v>1</v>
          </cell>
          <cell r="BV4">
            <v>7</v>
          </cell>
          <cell r="BW4">
            <v>2</v>
          </cell>
          <cell r="BX4">
            <v>6</v>
          </cell>
          <cell r="BY4">
            <v>4</v>
          </cell>
          <cell r="BZ4">
            <v>3</v>
          </cell>
          <cell r="CA4">
            <v>5</v>
          </cell>
          <cell r="CB4" t="str">
            <v>No change in level of discounting</v>
          </cell>
        </row>
        <row r="5">
          <cell r="A5" t="str">
            <v>EU</v>
          </cell>
          <cell r="B5" t="str">
            <v>Business services</v>
          </cell>
          <cell r="C5" t="str">
            <v>$1-5 Billion</v>
          </cell>
          <cell r="D5" t="str">
            <v>&lt;$100 Million</v>
          </cell>
          <cell r="E5">
            <v>5</v>
          </cell>
          <cell r="F5">
            <v>5</v>
          </cell>
          <cell r="G5">
            <v>5</v>
          </cell>
          <cell r="H5">
            <v>5</v>
          </cell>
          <cell r="I5">
            <v>5</v>
          </cell>
          <cell r="J5">
            <v>7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5</v>
          </cell>
          <cell r="P5">
            <v>50</v>
          </cell>
          <cell r="Q5">
            <v>50</v>
          </cell>
          <cell r="R5">
            <v>55</v>
          </cell>
          <cell r="S5">
            <v>45</v>
          </cell>
          <cell r="T5" t="str">
            <v>Access points</v>
          </cell>
          <cell r="U5" t="str">
            <v>WAN optimization</v>
          </cell>
          <cell r="V5" t="str">
            <v>Data analytics</v>
          </cell>
          <cell r="W5" t="str">
            <v>Desktop PCs</v>
          </cell>
          <cell r="X5" t="str">
            <v>CRM</v>
          </cell>
          <cell r="Y5" t="str">
            <v>ERP</v>
          </cell>
          <cell r="Z5" t="str">
            <v>Downward revision is more likely</v>
          </cell>
          <cell r="AA5" t="str">
            <v>Additional network access</v>
          </cell>
          <cell r="AB5" t="str">
            <v xml:space="preserve">Business continuity </v>
          </cell>
          <cell r="AC5" t="str">
            <v>Somewhat more aggressive in discounting</v>
          </cell>
          <cell r="AD5" t="str">
            <v>No Change</v>
          </cell>
          <cell r="AE5">
            <v>25</v>
          </cell>
          <cell r="AF5">
            <v>50</v>
          </cell>
          <cell r="AG5">
            <v>25</v>
          </cell>
          <cell r="AH5" t="str">
            <v>50/50</v>
          </cell>
          <cell r="AI5" t="str">
            <v>In-Line</v>
          </cell>
          <cell r="AJ5">
            <v>5</v>
          </cell>
          <cell r="AK5" t="str">
            <v>NA / DK</v>
          </cell>
          <cell r="AL5" t="str">
            <v>NA / DK</v>
          </cell>
          <cell r="AM5">
            <v>5</v>
          </cell>
          <cell r="AN5">
            <v>-10</v>
          </cell>
          <cell r="AO5" t="str">
            <v>NA / DK</v>
          </cell>
          <cell r="AP5" t="str">
            <v>NA / DK</v>
          </cell>
          <cell r="AQ5">
            <v>0</v>
          </cell>
          <cell r="AR5" t="str">
            <v>Flat</v>
          </cell>
          <cell r="AS5" t="str">
            <v>Don't Use</v>
          </cell>
          <cell r="AT5" t="str">
            <v>Don't Use</v>
          </cell>
          <cell r="AU5" t="str">
            <v>Flat</v>
          </cell>
          <cell r="AV5" t="str">
            <v>Don't Use</v>
          </cell>
          <cell r="AW5" t="str">
            <v>Don't Use</v>
          </cell>
          <cell r="AX5" t="str">
            <v>Don't Use</v>
          </cell>
          <cell r="AY5" t="str">
            <v>Don't Use</v>
          </cell>
          <cell r="AZ5" t="str">
            <v>Flat</v>
          </cell>
          <cell r="BA5" t="str">
            <v>Flat</v>
          </cell>
          <cell r="BB5" t="str">
            <v>Flat</v>
          </cell>
          <cell r="BC5" t="str">
            <v>Flat</v>
          </cell>
          <cell r="BD5" t="str">
            <v>Flat</v>
          </cell>
          <cell r="BE5" t="str">
            <v>Decrease</v>
          </cell>
          <cell r="BF5" t="str">
            <v>Don't Use</v>
          </cell>
          <cell r="BG5" t="str">
            <v>Don't Use</v>
          </cell>
          <cell r="BH5" t="str">
            <v>Don't Use</v>
          </cell>
          <cell r="BI5" t="str">
            <v>Already using services provider</v>
          </cell>
          <cell r="BJ5" t="str">
            <v>Doing work internally</v>
          </cell>
          <cell r="BK5" t="str">
            <v>Not Priority</v>
          </cell>
          <cell r="BL5" t="str">
            <v>Doing work internally</v>
          </cell>
          <cell r="BM5" t="str">
            <v>Not Priority</v>
          </cell>
          <cell r="BN5" t="str">
            <v>Doing work internally</v>
          </cell>
          <cell r="BO5" t="str">
            <v>Doing work internally</v>
          </cell>
          <cell r="BP5" t="str">
            <v>Already using services provider</v>
          </cell>
          <cell r="BQ5" t="str">
            <v>Not Priority</v>
          </cell>
          <cell r="BR5" t="str">
            <v>Doing work internally</v>
          </cell>
          <cell r="BS5" t="str">
            <v>Doing work internally</v>
          </cell>
          <cell r="BT5" t="str">
            <v>Already using services provider</v>
          </cell>
          <cell r="BU5">
            <v>6</v>
          </cell>
          <cell r="BV5">
            <v>7</v>
          </cell>
          <cell r="BW5">
            <v>2</v>
          </cell>
          <cell r="BX5">
            <v>5</v>
          </cell>
          <cell r="BY5">
            <v>3</v>
          </cell>
          <cell r="BZ5">
            <v>1</v>
          </cell>
          <cell r="CA5">
            <v>4</v>
          </cell>
          <cell r="CB5" t="str">
            <v>No change in level of discounting</v>
          </cell>
        </row>
        <row r="6">
          <cell r="A6" t="str">
            <v>EU</v>
          </cell>
          <cell r="B6" t="str">
            <v>Business services</v>
          </cell>
          <cell r="C6" t="str">
            <v>$1-5 Billion</v>
          </cell>
          <cell r="D6" t="str">
            <v>$100-200 Million</v>
          </cell>
          <cell r="E6">
            <v>10</v>
          </cell>
          <cell r="F6">
            <v>15</v>
          </cell>
          <cell r="G6">
            <v>10</v>
          </cell>
          <cell r="H6">
            <v>10</v>
          </cell>
          <cell r="I6">
            <v>8</v>
          </cell>
          <cell r="J6">
            <v>2</v>
          </cell>
          <cell r="K6">
            <v>-5</v>
          </cell>
          <cell r="L6">
            <v>0</v>
          </cell>
          <cell r="M6">
            <v>5</v>
          </cell>
          <cell r="N6">
            <v>5</v>
          </cell>
          <cell r="O6">
            <v>4</v>
          </cell>
          <cell r="P6">
            <v>60</v>
          </cell>
          <cell r="Q6">
            <v>40</v>
          </cell>
          <cell r="R6">
            <v>55</v>
          </cell>
          <cell r="S6">
            <v>45</v>
          </cell>
          <cell r="T6" t="str">
            <v>Employee messaging, collaborations</v>
          </cell>
          <cell r="U6" t="str">
            <v>Security in conjunction with collaboration tools</v>
          </cell>
          <cell r="V6" t="str">
            <v>Network upgrades</v>
          </cell>
          <cell r="W6" t="str">
            <v>Hardware</v>
          </cell>
          <cell r="X6" t="str">
            <v>Services</v>
          </cell>
          <cell r="Z6" t="str">
            <v>‘No change’ to the budget is likely</v>
          </cell>
          <cell r="AA6" t="str">
            <v>NA / DK</v>
          </cell>
          <cell r="AB6" t="str">
            <v>NA / DK</v>
          </cell>
          <cell r="AC6" t="str">
            <v>Somewhat more aggressive in discounting</v>
          </cell>
          <cell r="AD6" t="str">
            <v>Significantly longer</v>
          </cell>
          <cell r="AE6">
            <v>100</v>
          </cell>
          <cell r="AF6">
            <v>0</v>
          </cell>
          <cell r="AG6">
            <v>0</v>
          </cell>
          <cell r="AH6" t="str">
            <v>30/70</v>
          </cell>
          <cell r="AI6" t="str">
            <v>Under</v>
          </cell>
          <cell r="AJ6">
            <v>-5</v>
          </cell>
          <cell r="AK6">
            <v>0</v>
          </cell>
          <cell r="AL6">
            <v>5</v>
          </cell>
          <cell r="AM6" t="str">
            <v>NA / DK</v>
          </cell>
          <cell r="AN6">
            <v>-8</v>
          </cell>
          <cell r="AO6">
            <v>-10</v>
          </cell>
          <cell r="AP6" t="str">
            <v>NA / DK</v>
          </cell>
          <cell r="AQ6" t="str">
            <v>NA / DK</v>
          </cell>
          <cell r="AR6" t="str">
            <v>Don't Use</v>
          </cell>
          <cell r="AS6" t="str">
            <v>Don't Use</v>
          </cell>
          <cell r="AT6" t="str">
            <v>Don't Use</v>
          </cell>
          <cell r="AU6" t="str">
            <v>Don't Use</v>
          </cell>
          <cell r="AV6" t="str">
            <v>Don't Use</v>
          </cell>
          <cell r="AW6" t="str">
            <v>Decrease</v>
          </cell>
          <cell r="AX6" t="str">
            <v>Increase</v>
          </cell>
          <cell r="AY6" t="str">
            <v>Don't Use</v>
          </cell>
          <cell r="AZ6" t="str">
            <v>Don't Use</v>
          </cell>
          <cell r="BA6" t="str">
            <v>Don't Use</v>
          </cell>
          <cell r="BB6" t="str">
            <v>Increase</v>
          </cell>
          <cell r="BC6" t="str">
            <v>Don't Use</v>
          </cell>
          <cell r="BD6" t="str">
            <v>Don't Use</v>
          </cell>
          <cell r="BE6" t="str">
            <v>Don't Use</v>
          </cell>
          <cell r="BF6" t="str">
            <v>Don't Use</v>
          </cell>
          <cell r="BG6" t="str">
            <v>Don't Use</v>
          </cell>
          <cell r="BH6" t="str">
            <v>Don't Use</v>
          </cell>
          <cell r="BI6" t="str">
            <v>Already using services provider</v>
          </cell>
          <cell r="BJ6" t="str">
            <v>Already using services provider</v>
          </cell>
          <cell r="BK6" t="str">
            <v>Doing work internally</v>
          </cell>
          <cell r="BL6" t="str">
            <v>Doing work internally</v>
          </cell>
          <cell r="BM6" t="str">
            <v>Already using services provider</v>
          </cell>
          <cell r="BN6" t="str">
            <v>Doing work internally</v>
          </cell>
          <cell r="BO6" t="str">
            <v>Already using services provider</v>
          </cell>
          <cell r="BP6" t="str">
            <v>Doing work internally</v>
          </cell>
          <cell r="BQ6" t="str">
            <v>Doing work internally</v>
          </cell>
          <cell r="BR6" t="str">
            <v>Not Priority</v>
          </cell>
          <cell r="BS6" t="str">
            <v>Doing work internally</v>
          </cell>
          <cell r="BT6" t="str">
            <v>Not Priority</v>
          </cell>
          <cell r="BU6">
            <v>1</v>
          </cell>
          <cell r="BV6">
            <v>7</v>
          </cell>
          <cell r="BW6">
            <v>6</v>
          </cell>
          <cell r="BX6">
            <v>4</v>
          </cell>
          <cell r="BY6">
            <v>5</v>
          </cell>
          <cell r="BZ6">
            <v>3</v>
          </cell>
          <cell r="CA6">
            <v>2</v>
          </cell>
          <cell r="CB6" t="str">
            <v>Somewhat more aggressive in discounting</v>
          </cell>
        </row>
        <row r="7">
          <cell r="A7" t="str">
            <v>EU</v>
          </cell>
          <cell r="B7" t="str">
            <v>Business services</v>
          </cell>
          <cell r="C7" t="str">
            <v>$1-5 Billion</v>
          </cell>
          <cell r="D7" t="str">
            <v>$100-200 Million</v>
          </cell>
          <cell r="E7">
            <v>10</v>
          </cell>
          <cell r="F7">
            <v>10</v>
          </cell>
          <cell r="G7">
            <v>25</v>
          </cell>
          <cell r="H7">
            <v>10</v>
          </cell>
          <cell r="I7">
            <v>10</v>
          </cell>
          <cell r="J7">
            <v>-10</v>
          </cell>
          <cell r="K7">
            <v>8</v>
          </cell>
          <cell r="L7">
            <v>5</v>
          </cell>
          <cell r="M7">
            <v>8</v>
          </cell>
          <cell r="N7">
            <v>5</v>
          </cell>
          <cell r="O7">
            <v>6</v>
          </cell>
          <cell r="P7">
            <v>65</v>
          </cell>
          <cell r="Q7">
            <v>35</v>
          </cell>
          <cell r="R7">
            <v>50</v>
          </cell>
          <cell r="S7">
            <v>50</v>
          </cell>
          <cell r="T7" t="str">
            <v>ERP</v>
          </cell>
          <cell r="U7" t="str">
            <v xml:space="preserve">Storage capacity </v>
          </cell>
          <cell r="V7" t="str">
            <v>BI tools</v>
          </cell>
          <cell r="W7" t="str">
            <v>Use of Linux</v>
          </cell>
          <cell r="X7" t="str">
            <v>VDI</v>
          </cell>
          <cell r="Y7" t="str">
            <v>New hires</v>
          </cell>
          <cell r="Z7" t="str">
            <v>‘No change’ to the budget is likely</v>
          </cell>
          <cell r="AA7" t="str">
            <v>Non-essential spending</v>
          </cell>
          <cell r="AB7" t="str">
            <v>Any spending to stay operational</v>
          </cell>
          <cell r="AC7" t="str">
            <v>No change in level of discounting</v>
          </cell>
          <cell r="AD7" t="str">
            <v>Significantly longer</v>
          </cell>
          <cell r="AE7">
            <v>75</v>
          </cell>
          <cell r="AF7">
            <v>25</v>
          </cell>
          <cell r="AG7">
            <v>0</v>
          </cell>
          <cell r="AH7" t="str">
            <v>50/50</v>
          </cell>
          <cell r="AI7" t="str">
            <v>In-Line</v>
          </cell>
          <cell r="AJ7">
            <v>-5</v>
          </cell>
          <cell r="AK7">
            <v>5</v>
          </cell>
          <cell r="AL7">
            <v>0</v>
          </cell>
          <cell r="AM7">
            <v>5</v>
          </cell>
          <cell r="AN7">
            <v>11</v>
          </cell>
          <cell r="AO7">
            <v>3</v>
          </cell>
          <cell r="AP7">
            <v>-7</v>
          </cell>
          <cell r="AQ7">
            <v>-5</v>
          </cell>
          <cell r="AR7" t="str">
            <v>Flat</v>
          </cell>
          <cell r="AS7" t="str">
            <v>Flat</v>
          </cell>
          <cell r="AT7" t="str">
            <v>Don't Use</v>
          </cell>
          <cell r="AU7" t="str">
            <v>Don't Use</v>
          </cell>
          <cell r="AV7" t="str">
            <v>Flat</v>
          </cell>
          <cell r="AW7" t="str">
            <v>Don't Use</v>
          </cell>
          <cell r="AX7" t="str">
            <v>Flat</v>
          </cell>
          <cell r="AY7" t="str">
            <v>Don't Use</v>
          </cell>
          <cell r="AZ7" t="str">
            <v>Increase</v>
          </cell>
          <cell r="BA7" t="str">
            <v>Don't Use</v>
          </cell>
          <cell r="BB7" t="str">
            <v>Don't Use</v>
          </cell>
          <cell r="BC7" t="str">
            <v>Don't Use</v>
          </cell>
          <cell r="BD7" t="str">
            <v>Flat</v>
          </cell>
          <cell r="BE7" t="str">
            <v>Flat</v>
          </cell>
          <cell r="BF7" t="str">
            <v>Don't Use</v>
          </cell>
          <cell r="BG7" t="str">
            <v>Don't Use</v>
          </cell>
          <cell r="BH7" t="str">
            <v>Don't Use</v>
          </cell>
          <cell r="BI7" t="str">
            <v>Will use services provider 2H12</v>
          </cell>
          <cell r="BJ7" t="str">
            <v>Already using services provider</v>
          </cell>
          <cell r="BK7" t="str">
            <v>Already using services provider</v>
          </cell>
          <cell r="BL7" t="str">
            <v>Doing work internally</v>
          </cell>
          <cell r="BM7" t="str">
            <v>Not Priority</v>
          </cell>
          <cell r="BN7" t="str">
            <v>Not Priority</v>
          </cell>
          <cell r="BO7" t="str">
            <v>Already using services provider</v>
          </cell>
          <cell r="BP7" t="str">
            <v>Already using services provider</v>
          </cell>
          <cell r="BQ7" t="str">
            <v>Not Priority</v>
          </cell>
          <cell r="BR7" t="str">
            <v>Already using services provider</v>
          </cell>
          <cell r="BS7" t="str">
            <v>Doing work internally</v>
          </cell>
          <cell r="BT7" t="str">
            <v>Already using services provider</v>
          </cell>
          <cell r="BU7">
            <v>1</v>
          </cell>
          <cell r="BV7">
            <v>5</v>
          </cell>
          <cell r="BW7">
            <v>4</v>
          </cell>
          <cell r="BX7">
            <v>2</v>
          </cell>
          <cell r="BY7">
            <v>6</v>
          </cell>
          <cell r="BZ7">
            <v>3</v>
          </cell>
          <cell r="CA7">
            <v>7</v>
          </cell>
          <cell r="CB7" t="str">
            <v>Somewhat more aggressive in discounting</v>
          </cell>
        </row>
        <row r="8">
          <cell r="A8" t="str">
            <v>EU</v>
          </cell>
          <cell r="B8" t="str">
            <v>Business services</v>
          </cell>
          <cell r="C8" t="str">
            <v>$500 Million - $1 Billion</v>
          </cell>
          <cell r="D8" t="str">
            <v>$300-400 Million</v>
          </cell>
          <cell r="E8">
            <v>-27</v>
          </cell>
          <cell r="F8">
            <v>-25</v>
          </cell>
          <cell r="G8">
            <v>-5</v>
          </cell>
          <cell r="H8">
            <v>-25</v>
          </cell>
          <cell r="I8">
            <v>-35</v>
          </cell>
          <cell r="J8">
            <v>0</v>
          </cell>
          <cell r="K8">
            <v>-25</v>
          </cell>
          <cell r="L8">
            <v>-10</v>
          </cell>
          <cell r="M8">
            <v>-10</v>
          </cell>
          <cell r="N8">
            <v>-30</v>
          </cell>
          <cell r="O8">
            <v>1</v>
          </cell>
          <cell r="P8">
            <v>70</v>
          </cell>
          <cell r="Q8">
            <v>30</v>
          </cell>
          <cell r="R8">
            <v>60</v>
          </cell>
          <cell r="S8">
            <v>40</v>
          </cell>
          <cell r="T8" t="str">
            <v>Security dashboard</v>
          </cell>
          <cell r="U8" t="str">
            <v>Tablets</v>
          </cell>
          <cell r="V8" t="str">
            <v>Security monitoring</v>
          </cell>
          <cell r="W8" t="str">
            <v>Remote access for nontraditional HW</v>
          </cell>
          <cell r="X8" t="str">
            <v>Software upgrades</v>
          </cell>
          <cell r="Z8" t="str">
            <v>‘No change’ to the budget is likely</v>
          </cell>
          <cell r="AA8" t="str">
            <v>PC refresh</v>
          </cell>
          <cell r="AB8" t="str">
            <v>Salaries, people</v>
          </cell>
          <cell r="AC8" t="str">
            <v>Somewhat more aggressive in discounting</v>
          </cell>
          <cell r="AD8" t="str">
            <v>Somewhat longer</v>
          </cell>
          <cell r="AE8">
            <v>100</v>
          </cell>
          <cell r="AF8">
            <v>0</v>
          </cell>
          <cell r="AG8">
            <v>0</v>
          </cell>
          <cell r="AH8" t="str">
            <v>50/50</v>
          </cell>
          <cell r="AI8" t="str">
            <v>Over</v>
          </cell>
          <cell r="AJ8">
            <v>0</v>
          </cell>
          <cell r="AK8">
            <v>0</v>
          </cell>
          <cell r="AL8" t="str">
            <v>NA / DK</v>
          </cell>
          <cell r="AM8">
            <v>0</v>
          </cell>
          <cell r="AN8">
            <v>-20</v>
          </cell>
          <cell r="AO8">
            <v>-15</v>
          </cell>
          <cell r="AP8">
            <v>-5</v>
          </cell>
          <cell r="AQ8">
            <v>-30</v>
          </cell>
          <cell r="AR8" t="str">
            <v>Don't Use</v>
          </cell>
          <cell r="AS8" t="str">
            <v>Don't Use</v>
          </cell>
          <cell r="AT8" t="str">
            <v>Don't Use</v>
          </cell>
          <cell r="AU8" t="str">
            <v>Don't Use</v>
          </cell>
          <cell r="AV8" t="str">
            <v>Don't Use</v>
          </cell>
          <cell r="AW8" t="str">
            <v>Flat</v>
          </cell>
          <cell r="AX8" t="str">
            <v>Don't Use</v>
          </cell>
          <cell r="AY8" t="str">
            <v>Don't Use</v>
          </cell>
          <cell r="AZ8" t="str">
            <v>Don't Use</v>
          </cell>
          <cell r="BA8" t="str">
            <v>Flat</v>
          </cell>
          <cell r="BB8" t="str">
            <v>Don't Use</v>
          </cell>
          <cell r="BC8" t="str">
            <v>Flat</v>
          </cell>
          <cell r="BD8" t="str">
            <v>Don't Use</v>
          </cell>
          <cell r="BE8" t="str">
            <v>Don't Use</v>
          </cell>
          <cell r="BF8" t="str">
            <v>Don't Use</v>
          </cell>
          <cell r="BG8" t="str">
            <v>Don't Use</v>
          </cell>
          <cell r="BH8" t="str">
            <v>Flat</v>
          </cell>
          <cell r="BI8" t="str">
            <v>Doing work internally</v>
          </cell>
          <cell r="BJ8" t="str">
            <v>Doing work internally</v>
          </cell>
          <cell r="BK8" t="str">
            <v>Doing work internally</v>
          </cell>
          <cell r="BL8" t="str">
            <v>Doing work internally</v>
          </cell>
          <cell r="BM8" t="str">
            <v>Doing work internally</v>
          </cell>
          <cell r="BN8" t="str">
            <v>Not Priority</v>
          </cell>
          <cell r="BO8" t="str">
            <v>Doing work internally</v>
          </cell>
          <cell r="BP8" t="str">
            <v>Not Priority</v>
          </cell>
          <cell r="BQ8" t="str">
            <v>Doing work internally</v>
          </cell>
          <cell r="BR8" t="str">
            <v>Will use services provider 2H12</v>
          </cell>
          <cell r="BS8" t="str">
            <v>Not Priority</v>
          </cell>
          <cell r="BT8" t="str">
            <v>Not Priority</v>
          </cell>
          <cell r="BU8">
            <v>1</v>
          </cell>
          <cell r="BV8">
            <v>7</v>
          </cell>
          <cell r="BW8">
            <v>3</v>
          </cell>
          <cell r="BX8">
            <v>5</v>
          </cell>
          <cell r="BY8">
            <v>4</v>
          </cell>
          <cell r="BZ8">
            <v>6</v>
          </cell>
          <cell r="CA8">
            <v>2</v>
          </cell>
          <cell r="CB8" t="str">
            <v>No change in level of discounting</v>
          </cell>
        </row>
        <row r="9">
          <cell r="A9" t="str">
            <v>EU</v>
          </cell>
          <cell r="B9" t="str">
            <v>Communications</v>
          </cell>
          <cell r="C9" t="str">
            <v>$5-10 Billion</v>
          </cell>
          <cell r="D9" t="str">
            <v>$300-400 Million</v>
          </cell>
          <cell r="E9">
            <v>5</v>
          </cell>
          <cell r="F9">
            <v>10</v>
          </cell>
          <cell r="G9">
            <v>5</v>
          </cell>
          <cell r="H9">
            <v>8</v>
          </cell>
          <cell r="I9">
            <v>10</v>
          </cell>
          <cell r="J9">
            <v>8</v>
          </cell>
          <cell r="K9">
            <v>10</v>
          </cell>
          <cell r="L9">
            <v>10</v>
          </cell>
          <cell r="M9">
            <v>10</v>
          </cell>
          <cell r="N9">
            <v>10</v>
          </cell>
          <cell r="O9">
            <v>6</v>
          </cell>
          <cell r="P9">
            <v>25</v>
          </cell>
          <cell r="Q9">
            <v>75</v>
          </cell>
          <cell r="R9">
            <v>40</v>
          </cell>
          <cell r="S9">
            <v>60</v>
          </cell>
          <cell r="T9" t="str">
            <v>Exploring efficiency gains</v>
          </cell>
          <cell r="U9" t="str">
            <v>Enterrpise Monitoring</v>
          </cell>
          <cell r="V9" t="str">
            <v>Virtualization</v>
          </cell>
          <cell r="W9" t="str">
            <v>NA / No Decrease</v>
          </cell>
          <cell r="Z9" t="str">
            <v>Downward revision is more likely</v>
          </cell>
          <cell r="AA9" t="str">
            <v>NA / DK</v>
          </cell>
          <cell r="AB9" t="str">
            <v>NA / DK</v>
          </cell>
          <cell r="AC9" t="str">
            <v>Somewhat less aggressive in discounting</v>
          </cell>
          <cell r="AD9" t="str">
            <v>Somewhat longer</v>
          </cell>
          <cell r="AE9">
            <v>40</v>
          </cell>
          <cell r="AF9">
            <v>35</v>
          </cell>
          <cell r="AG9">
            <v>25</v>
          </cell>
          <cell r="AH9" t="str">
            <v>50/50</v>
          </cell>
          <cell r="AI9" t="str">
            <v>Under</v>
          </cell>
          <cell r="AJ9">
            <v>10</v>
          </cell>
          <cell r="AK9">
            <v>10</v>
          </cell>
          <cell r="AL9">
            <v>10</v>
          </cell>
          <cell r="AM9">
            <v>5</v>
          </cell>
          <cell r="AN9">
            <v>0</v>
          </cell>
          <cell r="AO9">
            <v>5</v>
          </cell>
          <cell r="AP9">
            <v>2</v>
          </cell>
          <cell r="AQ9">
            <v>3</v>
          </cell>
          <cell r="AR9" t="str">
            <v>Don't Use</v>
          </cell>
          <cell r="AS9" t="str">
            <v>Don't Use</v>
          </cell>
          <cell r="AT9" t="str">
            <v>Don't Use</v>
          </cell>
          <cell r="AU9" t="str">
            <v>Don't Use</v>
          </cell>
          <cell r="AV9" t="str">
            <v>Don't Use</v>
          </cell>
          <cell r="AW9" t="str">
            <v>Don't Use</v>
          </cell>
          <cell r="AX9" t="str">
            <v>Don't Use</v>
          </cell>
          <cell r="AY9" t="str">
            <v>Don't Use</v>
          </cell>
          <cell r="AZ9" t="str">
            <v>Don't Use</v>
          </cell>
          <cell r="BA9" t="str">
            <v>Flat</v>
          </cell>
          <cell r="BB9" t="str">
            <v>Decrease</v>
          </cell>
          <cell r="BC9" t="str">
            <v>Flat</v>
          </cell>
          <cell r="BD9" t="str">
            <v>Don't Use</v>
          </cell>
          <cell r="BE9" t="str">
            <v>Don't Use</v>
          </cell>
          <cell r="BF9" t="str">
            <v>Don't Use</v>
          </cell>
          <cell r="BG9" t="str">
            <v>Flat</v>
          </cell>
          <cell r="BH9" t="str">
            <v>Don't Use</v>
          </cell>
          <cell r="BI9" t="str">
            <v>Not Priority</v>
          </cell>
          <cell r="BJ9" t="str">
            <v>Doing work internally</v>
          </cell>
          <cell r="BK9" t="str">
            <v>Not Priority</v>
          </cell>
          <cell r="BL9" t="str">
            <v>Not Priority</v>
          </cell>
          <cell r="BM9" t="str">
            <v>Not Priority</v>
          </cell>
          <cell r="BN9" t="str">
            <v>Will use services provider 2H12</v>
          </cell>
          <cell r="BO9" t="str">
            <v>Doing work internally</v>
          </cell>
          <cell r="BP9" t="str">
            <v>Doing work internally</v>
          </cell>
          <cell r="BQ9" t="str">
            <v>Already using services provider</v>
          </cell>
          <cell r="BR9" t="str">
            <v>Doing work internally</v>
          </cell>
          <cell r="BS9" t="str">
            <v>Doing work internally</v>
          </cell>
          <cell r="BT9" t="str">
            <v>Already using services provider</v>
          </cell>
          <cell r="BU9">
            <v>2</v>
          </cell>
          <cell r="BV9">
            <v>7</v>
          </cell>
          <cell r="BW9">
            <v>5</v>
          </cell>
          <cell r="BX9">
            <v>3</v>
          </cell>
          <cell r="BY9">
            <v>4</v>
          </cell>
          <cell r="BZ9">
            <v>1</v>
          </cell>
          <cell r="CA9">
            <v>6</v>
          </cell>
          <cell r="CB9" t="str">
            <v>Somewhat more aggressive in discounting</v>
          </cell>
        </row>
        <row r="10">
          <cell r="A10" t="str">
            <v>EU</v>
          </cell>
          <cell r="B10" t="str">
            <v>Communications</v>
          </cell>
          <cell r="C10" t="str">
            <v>$500 Million - $1 Billion</v>
          </cell>
          <cell r="D10" t="str">
            <v>$100-200 Million</v>
          </cell>
          <cell r="E10">
            <v>3</v>
          </cell>
          <cell r="F10">
            <v>10</v>
          </cell>
          <cell r="G10">
            <v>5</v>
          </cell>
          <cell r="H10">
            <v>5</v>
          </cell>
          <cell r="I10">
            <v>0</v>
          </cell>
          <cell r="J10">
            <v>5</v>
          </cell>
          <cell r="K10">
            <v>10</v>
          </cell>
          <cell r="L10">
            <v>5</v>
          </cell>
          <cell r="M10">
            <v>5</v>
          </cell>
          <cell r="N10">
            <v>-5</v>
          </cell>
          <cell r="O10">
            <v>7</v>
          </cell>
          <cell r="P10">
            <v>50</v>
          </cell>
          <cell r="Q10">
            <v>50</v>
          </cell>
          <cell r="R10">
            <v>50</v>
          </cell>
          <cell r="S10">
            <v>50</v>
          </cell>
          <cell r="T10" t="str">
            <v>.Net</v>
          </cell>
          <cell r="U10" t="str">
            <v>Order management system</v>
          </cell>
          <cell r="V10" t="str">
            <v>Oracle 11</v>
          </cell>
          <cell r="W10" t="str">
            <v>Internal servers</v>
          </cell>
          <cell r="Z10" t="str">
            <v>‘No change’ to the budget is likely</v>
          </cell>
          <cell r="AA10" t="str">
            <v>Delay hardware upgrades</v>
          </cell>
          <cell r="AB10" t="str">
            <v>Oracle update</v>
          </cell>
          <cell r="AC10" t="str">
            <v>No change in level of discounting</v>
          </cell>
          <cell r="AD10" t="str">
            <v>Significantly longer</v>
          </cell>
          <cell r="AE10">
            <v>50</v>
          </cell>
          <cell r="AF10">
            <v>45</v>
          </cell>
          <cell r="AG10">
            <v>5</v>
          </cell>
          <cell r="AH10" t="str">
            <v>50/50</v>
          </cell>
          <cell r="AI10" t="str">
            <v>In-Line</v>
          </cell>
          <cell r="AJ10">
            <v>-5</v>
          </cell>
          <cell r="AK10">
            <v>5</v>
          </cell>
          <cell r="AL10" t="str">
            <v>NA / DK</v>
          </cell>
          <cell r="AM10">
            <v>0</v>
          </cell>
          <cell r="AN10">
            <v>0</v>
          </cell>
          <cell r="AO10" t="str">
            <v>NA / DK</v>
          </cell>
          <cell r="AP10" t="str">
            <v>NA / DK</v>
          </cell>
          <cell r="AQ10">
            <v>5</v>
          </cell>
          <cell r="AR10" t="str">
            <v>Flat</v>
          </cell>
          <cell r="AS10" t="str">
            <v>Flat</v>
          </cell>
          <cell r="AT10" t="str">
            <v>Don't Use</v>
          </cell>
          <cell r="AU10" t="str">
            <v>Don't Use</v>
          </cell>
          <cell r="AV10" t="str">
            <v>Don't Use</v>
          </cell>
          <cell r="AW10" t="str">
            <v>Don't Use</v>
          </cell>
          <cell r="AX10" t="str">
            <v>Flat</v>
          </cell>
          <cell r="AY10" t="str">
            <v>Don't Use</v>
          </cell>
          <cell r="AZ10" t="str">
            <v>Flat</v>
          </cell>
          <cell r="BA10" t="str">
            <v>Flat</v>
          </cell>
          <cell r="BB10" t="str">
            <v>Decrease</v>
          </cell>
          <cell r="BC10" t="str">
            <v>Flat</v>
          </cell>
          <cell r="BD10" t="str">
            <v>Don't Use</v>
          </cell>
          <cell r="BE10" t="str">
            <v>Increase</v>
          </cell>
          <cell r="BF10" t="str">
            <v>Flat</v>
          </cell>
          <cell r="BG10" t="str">
            <v>Flat</v>
          </cell>
          <cell r="BH10" t="str">
            <v>Don't Use</v>
          </cell>
          <cell r="BI10" t="str">
            <v>Doing work internally</v>
          </cell>
          <cell r="BJ10" t="str">
            <v>Doing work internally</v>
          </cell>
          <cell r="BK10" t="str">
            <v>Doing work internally</v>
          </cell>
          <cell r="BL10" t="str">
            <v>Doing work internally</v>
          </cell>
          <cell r="BM10" t="str">
            <v>Doing work internally</v>
          </cell>
          <cell r="BN10" t="str">
            <v>Doing work internally</v>
          </cell>
          <cell r="BO10" t="str">
            <v>Doing work internally</v>
          </cell>
          <cell r="BP10" t="str">
            <v>Doing work internally</v>
          </cell>
          <cell r="BQ10" t="str">
            <v>Doing work internally</v>
          </cell>
          <cell r="BR10" t="str">
            <v>Doing work internally</v>
          </cell>
          <cell r="BS10" t="str">
            <v>Not Priority</v>
          </cell>
          <cell r="BT10" t="str">
            <v>Not Priority</v>
          </cell>
          <cell r="BU10">
            <v>5</v>
          </cell>
          <cell r="BV10">
            <v>2</v>
          </cell>
          <cell r="BW10">
            <v>1</v>
          </cell>
          <cell r="BX10">
            <v>4</v>
          </cell>
          <cell r="BY10">
            <v>6</v>
          </cell>
          <cell r="BZ10">
            <v>3</v>
          </cell>
          <cell r="CA10">
            <v>7</v>
          </cell>
          <cell r="CB10" t="str">
            <v>No change in level of discounting</v>
          </cell>
        </row>
        <row r="11">
          <cell r="A11" t="str">
            <v>EU</v>
          </cell>
          <cell r="B11" t="str">
            <v>Communications</v>
          </cell>
          <cell r="C11" t="str">
            <v>$1-5 Billion</v>
          </cell>
          <cell r="D11" t="str">
            <v>$300-400 Million</v>
          </cell>
          <cell r="E11">
            <v>-10</v>
          </cell>
          <cell r="F11">
            <v>0</v>
          </cell>
          <cell r="G11">
            <v>-5</v>
          </cell>
          <cell r="H11">
            <v>-10</v>
          </cell>
          <cell r="I11">
            <v>-7</v>
          </cell>
          <cell r="J11">
            <v>-5</v>
          </cell>
          <cell r="K11">
            <v>5</v>
          </cell>
          <cell r="L11">
            <v>0</v>
          </cell>
          <cell r="M11">
            <v>5</v>
          </cell>
          <cell r="N11">
            <v>0</v>
          </cell>
          <cell r="O11">
            <v>7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 t="str">
            <v>Virtualization</v>
          </cell>
          <cell r="U11" t="str">
            <v>ERP</v>
          </cell>
          <cell r="V11" t="str">
            <v>Cloud based apps</v>
          </cell>
          <cell r="W11" t="str">
            <v>SAP integration</v>
          </cell>
          <cell r="X11" t="str">
            <v>Hardware, PCs</v>
          </cell>
          <cell r="Z11" t="str">
            <v>‘No change’ to the budget is likely</v>
          </cell>
          <cell r="AA11" t="str">
            <v>Capital spending</v>
          </cell>
          <cell r="AB11" t="str">
            <v>Virtualization</v>
          </cell>
          <cell r="AC11" t="str">
            <v>No change in level of discounting</v>
          </cell>
          <cell r="AD11" t="str">
            <v>Somewhat longer</v>
          </cell>
          <cell r="AE11">
            <v>55</v>
          </cell>
          <cell r="AF11">
            <v>45</v>
          </cell>
          <cell r="AG11">
            <v>0</v>
          </cell>
          <cell r="AH11" t="str">
            <v>50/50</v>
          </cell>
          <cell r="AI11" t="str">
            <v>In-Line</v>
          </cell>
          <cell r="AJ11">
            <v>12</v>
          </cell>
          <cell r="AK11">
            <v>10</v>
          </cell>
          <cell r="AL11">
            <v>10</v>
          </cell>
          <cell r="AM11">
            <v>15</v>
          </cell>
          <cell r="AN11">
            <v>7</v>
          </cell>
          <cell r="AO11">
            <v>8</v>
          </cell>
          <cell r="AP11">
            <v>3</v>
          </cell>
          <cell r="AQ11">
            <v>15</v>
          </cell>
          <cell r="AR11" t="str">
            <v>Don't Use</v>
          </cell>
          <cell r="AS11" t="str">
            <v>Don't Use</v>
          </cell>
          <cell r="AT11" t="str">
            <v>Flat</v>
          </cell>
          <cell r="AU11" t="str">
            <v>Flat</v>
          </cell>
          <cell r="AV11" t="str">
            <v>Flat</v>
          </cell>
          <cell r="AW11" t="str">
            <v>Don't Use</v>
          </cell>
          <cell r="AX11" t="str">
            <v>Increase</v>
          </cell>
          <cell r="AY11" t="str">
            <v>Don't Use</v>
          </cell>
          <cell r="AZ11" t="str">
            <v>Flat</v>
          </cell>
          <cell r="BA11" t="str">
            <v>Don't Use</v>
          </cell>
          <cell r="BB11" t="str">
            <v>Don't Use</v>
          </cell>
          <cell r="BC11" t="str">
            <v>Increase</v>
          </cell>
          <cell r="BD11" t="str">
            <v>Increase</v>
          </cell>
          <cell r="BE11" t="str">
            <v>Don't Use</v>
          </cell>
          <cell r="BF11" t="str">
            <v>Don't Use</v>
          </cell>
          <cell r="BG11" t="str">
            <v>Flat</v>
          </cell>
          <cell r="BH11" t="str">
            <v>Flat</v>
          </cell>
          <cell r="BI11" t="str">
            <v>Not Priority</v>
          </cell>
          <cell r="BJ11" t="str">
            <v>Not Priority</v>
          </cell>
          <cell r="BK11" t="str">
            <v>Already using services provider</v>
          </cell>
          <cell r="BL11" t="str">
            <v>Already using services provider</v>
          </cell>
          <cell r="BM11" t="str">
            <v>Doing work internally</v>
          </cell>
          <cell r="BN11" t="str">
            <v>Not Priority</v>
          </cell>
          <cell r="BO11" t="str">
            <v>Doing work internally</v>
          </cell>
          <cell r="BP11" t="str">
            <v>Not Priority</v>
          </cell>
          <cell r="BQ11" t="str">
            <v>Not Priority</v>
          </cell>
          <cell r="BR11" t="str">
            <v>Already using services provider</v>
          </cell>
          <cell r="BS11" t="str">
            <v>Not Priority</v>
          </cell>
          <cell r="BT11" t="str">
            <v>Not Priority</v>
          </cell>
          <cell r="BU11">
            <v>2</v>
          </cell>
          <cell r="BV11">
            <v>6</v>
          </cell>
          <cell r="BW11">
            <v>3</v>
          </cell>
          <cell r="BX11">
            <v>5</v>
          </cell>
          <cell r="BY11">
            <v>4</v>
          </cell>
          <cell r="BZ11">
            <v>1</v>
          </cell>
          <cell r="CA11">
            <v>7</v>
          </cell>
          <cell r="CB11" t="str">
            <v>Somewhat more aggressive in discounting</v>
          </cell>
        </row>
        <row r="12">
          <cell r="A12" t="str">
            <v>EU</v>
          </cell>
          <cell r="B12" t="str">
            <v>Communications</v>
          </cell>
          <cell r="C12" t="str">
            <v>&lt;$500 Million</v>
          </cell>
          <cell r="D12" t="str">
            <v>&lt;$100 Million</v>
          </cell>
          <cell r="E12">
            <v>-5</v>
          </cell>
          <cell r="F12">
            <v>5</v>
          </cell>
          <cell r="G12">
            <v>-7</v>
          </cell>
          <cell r="H12">
            <v>-5</v>
          </cell>
          <cell r="I12">
            <v>-5</v>
          </cell>
          <cell r="J12">
            <v>-3</v>
          </cell>
          <cell r="K12">
            <v>0</v>
          </cell>
          <cell r="L12">
            <v>5</v>
          </cell>
          <cell r="M12">
            <v>5</v>
          </cell>
          <cell r="N12">
            <v>5</v>
          </cell>
          <cell r="O12">
            <v>6</v>
          </cell>
          <cell r="P12">
            <v>50</v>
          </cell>
          <cell r="Q12">
            <v>50</v>
          </cell>
          <cell r="R12">
            <v>50</v>
          </cell>
          <cell r="S12">
            <v>50</v>
          </cell>
          <cell r="T12" t="str">
            <v>Biometric ERP system</v>
          </cell>
          <cell r="U12" t="str">
            <v xml:space="preserve">Thin client </v>
          </cell>
          <cell r="V12" t="str">
            <v>Call center</v>
          </cell>
          <cell r="W12" t="str">
            <v>Any nonessential projects</v>
          </cell>
          <cell r="Z12" t="str">
            <v>Downward revision is more likely</v>
          </cell>
          <cell r="AA12" t="str">
            <v>BI apps</v>
          </cell>
          <cell r="AB12" t="str">
            <v>ERP</v>
          </cell>
          <cell r="AC12" t="str">
            <v>No change in level of discounting</v>
          </cell>
          <cell r="AD12" t="str">
            <v>No Change</v>
          </cell>
          <cell r="AE12">
            <v>100</v>
          </cell>
          <cell r="AF12">
            <v>0</v>
          </cell>
          <cell r="AG12">
            <v>0</v>
          </cell>
          <cell r="AH12" t="str">
            <v>40/60</v>
          </cell>
          <cell r="AI12" t="str">
            <v>In-Line</v>
          </cell>
          <cell r="AJ12">
            <v>-3</v>
          </cell>
          <cell r="AK12" t="str">
            <v>NA / DK</v>
          </cell>
          <cell r="AL12">
            <v>-5</v>
          </cell>
          <cell r="AM12">
            <v>10</v>
          </cell>
          <cell r="AN12">
            <v>5</v>
          </cell>
          <cell r="AO12" t="str">
            <v>NA / DK</v>
          </cell>
          <cell r="AP12" t="str">
            <v>NA / DK</v>
          </cell>
          <cell r="AQ12" t="str">
            <v>NA / DK</v>
          </cell>
          <cell r="AR12" t="str">
            <v>Don't Use</v>
          </cell>
          <cell r="AS12" t="str">
            <v>Don't Use</v>
          </cell>
          <cell r="AT12" t="str">
            <v>Don't Use</v>
          </cell>
          <cell r="AU12" t="str">
            <v>Don't Use</v>
          </cell>
          <cell r="AV12" t="str">
            <v>Flat</v>
          </cell>
          <cell r="AW12" t="str">
            <v>Don't Use</v>
          </cell>
          <cell r="AX12" t="str">
            <v>Don't Use</v>
          </cell>
          <cell r="AY12" t="str">
            <v>Don't Use</v>
          </cell>
          <cell r="AZ12" t="str">
            <v>Don't Use</v>
          </cell>
          <cell r="BA12" t="str">
            <v>Increase</v>
          </cell>
          <cell r="BB12" t="str">
            <v>Don't Use</v>
          </cell>
          <cell r="BC12" t="str">
            <v>Don't Use</v>
          </cell>
          <cell r="BD12" t="str">
            <v>Increase</v>
          </cell>
          <cell r="BE12" t="str">
            <v>Don't Use</v>
          </cell>
          <cell r="BF12" t="str">
            <v>Don't Use</v>
          </cell>
          <cell r="BG12" t="str">
            <v>Flat</v>
          </cell>
          <cell r="BH12" t="str">
            <v>Don't Use</v>
          </cell>
          <cell r="BI12" t="str">
            <v>Doing work internally</v>
          </cell>
          <cell r="BJ12" t="str">
            <v>Doing work internally</v>
          </cell>
          <cell r="BK12" t="str">
            <v>Doing work internally</v>
          </cell>
          <cell r="BL12" t="str">
            <v>Already using services provider</v>
          </cell>
          <cell r="BM12" t="str">
            <v>Doing work internally</v>
          </cell>
          <cell r="BN12" t="str">
            <v>Already using services provider</v>
          </cell>
          <cell r="BO12" t="str">
            <v>Already using services provider</v>
          </cell>
          <cell r="BP12" t="str">
            <v>Already using services provider</v>
          </cell>
          <cell r="BQ12" t="str">
            <v>Will use services provider 2H12</v>
          </cell>
          <cell r="BR12" t="str">
            <v>Doing work internally</v>
          </cell>
          <cell r="BS12" t="str">
            <v>Not Priority</v>
          </cell>
          <cell r="BT12" t="str">
            <v>Not Priority</v>
          </cell>
          <cell r="BU12">
            <v>1</v>
          </cell>
          <cell r="BV12">
            <v>6</v>
          </cell>
          <cell r="BW12">
            <v>3</v>
          </cell>
          <cell r="BX12">
            <v>1</v>
          </cell>
          <cell r="BY12">
            <v>5</v>
          </cell>
          <cell r="BZ12">
            <v>2</v>
          </cell>
          <cell r="CA12">
            <v>7</v>
          </cell>
          <cell r="CB12" t="str">
            <v>No change in level of discounting</v>
          </cell>
        </row>
        <row r="13">
          <cell r="A13" t="str">
            <v>EU</v>
          </cell>
          <cell r="B13" t="str">
            <v>Energy</v>
          </cell>
          <cell r="C13" t="str">
            <v>&gt;$20 Billion</v>
          </cell>
          <cell r="D13" t="str">
            <v>&gt;$700 Million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7</v>
          </cell>
          <cell r="K13">
            <v>5</v>
          </cell>
          <cell r="L13">
            <v>0</v>
          </cell>
          <cell r="M13">
            <v>-2</v>
          </cell>
          <cell r="N13">
            <v>0</v>
          </cell>
          <cell r="O13">
            <v>5</v>
          </cell>
          <cell r="P13">
            <v>60</v>
          </cell>
          <cell r="Q13">
            <v>40</v>
          </cell>
          <cell r="R13">
            <v>40</v>
          </cell>
          <cell r="S13">
            <v>60</v>
          </cell>
          <cell r="T13" t="str">
            <v>NA / No Increase</v>
          </cell>
          <cell r="W13" t="str">
            <v>NA / No Decrease</v>
          </cell>
          <cell r="Z13" t="str">
            <v>‘No change’ to the budget is likely</v>
          </cell>
          <cell r="AA13" t="str">
            <v>Everything subject to cuts</v>
          </cell>
          <cell r="AB13" t="str">
            <v>Mission critical systems</v>
          </cell>
          <cell r="AC13" t="str">
            <v>No change in level of discounting</v>
          </cell>
          <cell r="AD13" t="str">
            <v>No Change</v>
          </cell>
          <cell r="AE13">
            <v>85</v>
          </cell>
          <cell r="AF13">
            <v>15</v>
          </cell>
          <cell r="AG13">
            <v>0</v>
          </cell>
          <cell r="AH13" t="str">
            <v>40/60</v>
          </cell>
          <cell r="AI13" t="str">
            <v>In-Line</v>
          </cell>
          <cell r="AJ13">
            <v>3</v>
          </cell>
          <cell r="AK13">
            <v>7</v>
          </cell>
          <cell r="AL13">
            <v>1</v>
          </cell>
          <cell r="AM13">
            <v>1</v>
          </cell>
          <cell r="AN13">
            <v>3</v>
          </cell>
          <cell r="AO13">
            <v>5</v>
          </cell>
          <cell r="AP13">
            <v>5</v>
          </cell>
          <cell r="AQ13">
            <v>5</v>
          </cell>
          <cell r="AR13" t="str">
            <v>Flat</v>
          </cell>
          <cell r="AS13" t="str">
            <v>Flat</v>
          </cell>
          <cell r="AT13" t="str">
            <v>Increase</v>
          </cell>
          <cell r="AU13" t="str">
            <v>Increase</v>
          </cell>
          <cell r="AV13" t="str">
            <v>Don't Use</v>
          </cell>
          <cell r="AW13" t="str">
            <v>Don't Use</v>
          </cell>
          <cell r="AX13" t="str">
            <v>Don't Use</v>
          </cell>
          <cell r="AY13" t="str">
            <v>Don't Use</v>
          </cell>
          <cell r="AZ13" t="str">
            <v>Don't Use</v>
          </cell>
          <cell r="BA13" t="str">
            <v>Don't Use</v>
          </cell>
          <cell r="BB13" t="str">
            <v>Flat</v>
          </cell>
          <cell r="BC13" t="str">
            <v>Increase</v>
          </cell>
          <cell r="BD13" t="str">
            <v>Don't Use</v>
          </cell>
          <cell r="BE13" t="str">
            <v>Increase</v>
          </cell>
          <cell r="BF13" t="str">
            <v>Decrease</v>
          </cell>
          <cell r="BG13" t="str">
            <v>Decrease</v>
          </cell>
          <cell r="BH13" t="str">
            <v>Don't Use</v>
          </cell>
          <cell r="BI13" t="str">
            <v>Already using services provider</v>
          </cell>
          <cell r="BJ13" t="str">
            <v>Not Priority</v>
          </cell>
          <cell r="BK13" t="str">
            <v>Doing work internally</v>
          </cell>
          <cell r="BL13" t="str">
            <v>Doing work internally</v>
          </cell>
          <cell r="BM13" t="str">
            <v>Doing work internally</v>
          </cell>
          <cell r="BN13" t="str">
            <v>Will use services provider 1H12</v>
          </cell>
          <cell r="BO13" t="str">
            <v>Already using services provider</v>
          </cell>
          <cell r="BP13" t="str">
            <v>Will use services provider 2H12</v>
          </cell>
          <cell r="BQ13" t="str">
            <v>Not Priority</v>
          </cell>
          <cell r="BR13" t="str">
            <v>Not Priority</v>
          </cell>
          <cell r="BS13" t="str">
            <v>Doing work internally</v>
          </cell>
          <cell r="BT13" t="str">
            <v>Not Priority</v>
          </cell>
          <cell r="BU13">
            <v>1</v>
          </cell>
          <cell r="BV13">
            <v>4</v>
          </cell>
          <cell r="BW13">
            <v>3</v>
          </cell>
          <cell r="BX13">
            <v>7</v>
          </cell>
          <cell r="BY13">
            <v>6</v>
          </cell>
          <cell r="BZ13">
            <v>2</v>
          </cell>
          <cell r="CA13">
            <v>5</v>
          </cell>
          <cell r="CB13" t="str">
            <v>No change in level of discounting</v>
          </cell>
        </row>
        <row r="14">
          <cell r="A14" t="str">
            <v>EU</v>
          </cell>
          <cell r="B14" t="str">
            <v>Engineering / Construction</v>
          </cell>
          <cell r="C14" t="str">
            <v>$1-5 Billion</v>
          </cell>
          <cell r="D14" t="str">
            <v>&lt;$100 Million</v>
          </cell>
          <cell r="E14">
            <v>20</v>
          </cell>
          <cell r="F14">
            <v>5</v>
          </cell>
          <cell r="G14">
            <v>15</v>
          </cell>
          <cell r="H14">
            <v>10</v>
          </cell>
          <cell r="I14">
            <v>15</v>
          </cell>
          <cell r="J14">
            <v>5</v>
          </cell>
          <cell r="K14">
            <v>5</v>
          </cell>
          <cell r="L14">
            <v>0</v>
          </cell>
          <cell r="M14">
            <v>0</v>
          </cell>
          <cell r="N14">
            <v>5</v>
          </cell>
          <cell r="O14">
            <v>8</v>
          </cell>
          <cell r="P14">
            <v>50</v>
          </cell>
          <cell r="Q14">
            <v>50</v>
          </cell>
          <cell r="R14">
            <v>45</v>
          </cell>
          <cell r="S14">
            <v>55</v>
          </cell>
          <cell r="T14" t="str">
            <v>Remote use authentication</v>
          </cell>
          <cell r="U14" t="str">
            <v>Better utilization rates on servers</v>
          </cell>
          <cell r="V14" t="str">
            <v>Data consolidation</v>
          </cell>
          <cell r="W14" t="str">
            <v>Desktop PCs</v>
          </cell>
          <cell r="X14" t="str">
            <v>Data migration</v>
          </cell>
          <cell r="Z14" t="str">
            <v>Upward revision is more likely</v>
          </cell>
          <cell r="AA14" t="str">
            <v xml:space="preserve">Remote access </v>
          </cell>
          <cell r="AB14" t="str">
            <v>Mission critical systems</v>
          </cell>
          <cell r="AC14" t="str">
            <v>Somewhat less aggressive in discounting</v>
          </cell>
          <cell r="AD14" t="str">
            <v>No Change</v>
          </cell>
          <cell r="AE14">
            <v>65</v>
          </cell>
          <cell r="AF14">
            <v>5</v>
          </cell>
          <cell r="AG14">
            <v>30</v>
          </cell>
          <cell r="AH14" t="str">
            <v>50/50</v>
          </cell>
          <cell r="AI14" t="str">
            <v>In-Line</v>
          </cell>
          <cell r="AJ14">
            <v>5</v>
          </cell>
          <cell r="AK14">
            <v>0</v>
          </cell>
          <cell r="AL14">
            <v>0</v>
          </cell>
          <cell r="AM14">
            <v>0</v>
          </cell>
          <cell r="AN14">
            <v>5</v>
          </cell>
          <cell r="AO14">
            <v>0</v>
          </cell>
          <cell r="AP14">
            <v>0</v>
          </cell>
          <cell r="AQ14">
            <v>0</v>
          </cell>
          <cell r="AR14" t="str">
            <v>Don't Use</v>
          </cell>
          <cell r="AS14" t="str">
            <v>Flat</v>
          </cell>
          <cell r="AT14" t="str">
            <v>Don't Use</v>
          </cell>
          <cell r="AU14" t="str">
            <v>Don't Use</v>
          </cell>
          <cell r="AV14" t="str">
            <v>Don't Use</v>
          </cell>
          <cell r="AW14" t="str">
            <v>Don't Use</v>
          </cell>
          <cell r="AX14" t="str">
            <v>Don't Use</v>
          </cell>
          <cell r="AY14" t="str">
            <v>Don't Use</v>
          </cell>
          <cell r="AZ14" t="str">
            <v>Don't Use</v>
          </cell>
          <cell r="BA14" t="str">
            <v>Decrease</v>
          </cell>
          <cell r="BB14" t="str">
            <v>Don't Use</v>
          </cell>
          <cell r="BC14" t="str">
            <v>Don't Use</v>
          </cell>
          <cell r="BD14" t="str">
            <v>Don't Use</v>
          </cell>
          <cell r="BE14" t="str">
            <v>Don't Use</v>
          </cell>
          <cell r="BF14" t="str">
            <v>Don't Use</v>
          </cell>
          <cell r="BG14" t="str">
            <v>Don't Use</v>
          </cell>
          <cell r="BH14" t="str">
            <v>Don't Use</v>
          </cell>
          <cell r="BI14" t="str">
            <v>Doing work internally</v>
          </cell>
          <cell r="BJ14" t="str">
            <v>Doing work internally</v>
          </cell>
          <cell r="BK14" t="str">
            <v>Doing work internally</v>
          </cell>
          <cell r="BL14" t="str">
            <v>Not Priority</v>
          </cell>
          <cell r="BM14" t="str">
            <v>Not Priority</v>
          </cell>
          <cell r="BN14" t="str">
            <v>Not Priority</v>
          </cell>
          <cell r="BO14" t="str">
            <v>Doing work internally</v>
          </cell>
          <cell r="BP14" t="str">
            <v>Not Priority</v>
          </cell>
          <cell r="BQ14" t="str">
            <v>Will use services provider 2H12</v>
          </cell>
          <cell r="BR14" t="str">
            <v>Will use services provider 2H12</v>
          </cell>
          <cell r="BS14" t="str">
            <v>Not Priority</v>
          </cell>
          <cell r="BT14" t="str">
            <v>Not Priority</v>
          </cell>
          <cell r="BU14">
            <v>2</v>
          </cell>
          <cell r="BV14">
            <v>7</v>
          </cell>
          <cell r="BW14">
            <v>1</v>
          </cell>
          <cell r="BX14">
            <v>3</v>
          </cell>
          <cell r="BY14">
            <v>2</v>
          </cell>
          <cell r="BZ14">
            <v>4</v>
          </cell>
          <cell r="CA14">
            <v>6</v>
          </cell>
          <cell r="CB14" t="str">
            <v>No change in level of discounting</v>
          </cell>
        </row>
        <row r="15">
          <cell r="A15" t="str">
            <v>EU</v>
          </cell>
          <cell r="B15" t="str">
            <v>Financial services</v>
          </cell>
          <cell r="C15" t="str">
            <v>$5-10 Billion</v>
          </cell>
          <cell r="D15" t="str">
            <v>$100-200 Million</v>
          </cell>
          <cell r="E15">
            <v>-5</v>
          </cell>
          <cell r="F15">
            <v>3</v>
          </cell>
          <cell r="G15">
            <v>0</v>
          </cell>
          <cell r="H15">
            <v>0</v>
          </cell>
          <cell r="I15">
            <v>2</v>
          </cell>
          <cell r="J15">
            <v>-10</v>
          </cell>
          <cell r="K15">
            <v>2</v>
          </cell>
          <cell r="L15">
            <v>3</v>
          </cell>
          <cell r="M15">
            <v>3</v>
          </cell>
          <cell r="N15">
            <v>0</v>
          </cell>
          <cell r="O15">
            <v>8</v>
          </cell>
          <cell r="P15">
            <v>50</v>
          </cell>
          <cell r="Q15">
            <v>50</v>
          </cell>
          <cell r="R15">
            <v>60</v>
          </cell>
          <cell r="S15">
            <v>40</v>
          </cell>
          <cell r="T15" t="str">
            <v>Business planning management software</v>
          </cell>
          <cell r="U15" t="str">
            <v>Data warehouse integration</v>
          </cell>
          <cell r="V15" t="str">
            <v>SharePoint</v>
          </cell>
          <cell r="W15" t="str">
            <v>VoIP</v>
          </cell>
          <cell r="X15" t="str">
            <v>Financial apps</v>
          </cell>
          <cell r="Y15" t="str">
            <v>PC upgrades</v>
          </cell>
          <cell r="Z15" t="str">
            <v>Equal chance of upward or downward revision</v>
          </cell>
          <cell r="AA15" t="str">
            <v>NA / DK</v>
          </cell>
          <cell r="AB15" t="str">
            <v>NA / DK</v>
          </cell>
          <cell r="AC15" t="str">
            <v>No change in level of discounting</v>
          </cell>
          <cell r="AD15" t="str">
            <v>Somewhat longer</v>
          </cell>
          <cell r="AE15">
            <v>90</v>
          </cell>
          <cell r="AF15">
            <v>5</v>
          </cell>
          <cell r="AG15">
            <v>5</v>
          </cell>
          <cell r="AH15" t="str">
            <v>40/60</v>
          </cell>
          <cell r="AI15" t="str">
            <v>In-Line</v>
          </cell>
          <cell r="AJ15">
            <v>0</v>
          </cell>
          <cell r="AK15">
            <v>-10</v>
          </cell>
          <cell r="AL15">
            <v>-5</v>
          </cell>
          <cell r="AM15">
            <v>0</v>
          </cell>
          <cell r="AN15">
            <v>12</v>
          </cell>
          <cell r="AO15">
            <v>0</v>
          </cell>
          <cell r="AP15">
            <v>7</v>
          </cell>
          <cell r="AQ15">
            <v>-6</v>
          </cell>
          <cell r="AR15" t="str">
            <v>Flat</v>
          </cell>
          <cell r="AS15" t="str">
            <v>Don't Use</v>
          </cell>
          <cell r="AT15" t="str">
            <v>Don't Use</v>
          </cell>
          <cell r="AU15" t="str">
            <v>Don't Use</v>
          </cell>
          <cell r="AV15" t="str">
            <v>Don't Use</v>
          </cell>
          <cell r="AW15" t="str">
            <v>Don't Use</v>
          </cell>
          <cell r="AX15" t="str">
            <v>Flat</v>
          </cell>
          <cell r="AY15" t="str">
            <v>Don't Use</v>
          </cell>
          <cell r="AZ15" t="str">
            <v>Don't Use</v>
          </cell>
          <cell r="BA15" t="str">
            <v>Flat</v>
          </cell>
          <cell r="BB15" t="str">
            <v>Increase</v>
          </cell>
          <cell r="BC15" t="str">
            <v>Don't Use</v>
          </cell>
          <cell r="BD15" t="str">
            <v>Don't Use</v>
          </cell>
          <cell r="BE15" t="str">
            <v>Flat</v>
          </cell>
          <cell r="BF15" t="str">
            <v>Don't Use</v>
          </cell>
          <cell r="BG15" t="str">
            <v>Don't Use</v>
          </cell>
          <cell r="BH15" t="str">
            <v>Don't Use</v>
          </cell>
          <cell r="BI15" t="str">
            <v>Already using services provider</v>
          </cell>
          <cell r="BJ15" t="str">
            <v>Not Priority</v>
          </cell>
          <cell r="BK15" t="str">
            <v>Doing work internally</v>
          </cell>
          <cell r="BL15" t="str">
            <v>Doing work internally</v>
          </cell>
          <cell r="BM15" t="str">
            <v>Doing work internally</v>
          </cell>
          <cell r="BN15" t="str">
            <v>Not Priority</v>
          </cell>
          <cell r="BO15" t="str">
            <v>Doing work internally</v>
          </cell>
          <cell r="BP15" t="str">
            <v>Not Priority</v>
          </cell>
          <cell r="BQ15" t="str">
            <v>Already using services provider</v>
          </cell>
          <cell r="BR15" t="str">
            <v>Doing work internally</v>
          </cell>
          <cell r="BS15" t="str">
            <v>Doing work internally</v>
          </cell>
          <cell r="BT15" t="str">
            <v>Not Priority</v>
          </cell>
          <cell r="BU15">
            <v>5</v>
          </cell>
          <cell r="BV15">
            <v>7</v>
          </cell>
          <cell r="BW15">
            <v>2</v>
          </cell>
          <cell r="BX15">
            <v>6</v>
          </cell>
          <cell r="BY15">
            <v>4</v>
          </cell>
          <cell r="BZ15">
            <v>1</v>
          </cell>
          <cell r="CA15">
            <v>3</v>
          </cell>
          <cell r="CB15" t="str">
            <v>Somewhat more aggressive in discounting</v>
          </cell>
        </row>
        <row r="16">
          <cell r="A16" t="str">
            <v>EU</v>
          </cell>
          <cell r="B16" t="str">
            <v>Financial services</v>
          </cell>
          <cell r="C16" t="str">
            <v>$500 Million - $1 Billion</v>
          </cell>
          <cell r="D16" t="str">
            <v>&lt;$100 Million</v>
          </cell>
          <cell r="E16">
            <v>0</v>
          </cell>
          <cell r="F16">
            <v>5</v>
          </cell>
          <cell r="G16">
            <v>0</v>
          </cell>
          <cell r="H16">
            <v>2</v>
          </cell>
          <cell r="I16">
            <v>3</v>
          </cell>
          <cell r="J16">
            <v>5</v>
          </cell>
          <cell r="K16">
            <v>10</v>
          </cell>
          <cell r="L16">
            <v>10</v>
          </cell>
          <cell r="M16">
            <v>3</v>
          </cell>
          <cell r="N16">
            <v>-5</v>
          </cell>
          <cell r="O16">
            <v>5</v>
          </cell>
          <cell r="P16">
            <v>50</v>
          </cell>
          <cell r="Q16">
            <v>50</v>
          </cell>
          <cell r="R16">
            <v>50</v>
          </cell>
          <cell r="S16">
            <v>50</v>
          </cell>
          <cell r="T16" t="str">
            <v>Thin client  for reps</v>
          </cell>
          <cell r="U16" t="str">
            <v>Data dedup</v>
          </cell>
          <cell r="V16" t="str">
            <v>Intigration of non-standard data</v>
          </cell>
          <cell r="W16" t="str">
            <v>VoIP</v>
          </cell>
          <cell r="X16" t="str">
            <v>Videoconferencing</v>
          </cell>
          <cell r="Z16" t="str">
            <v>Downward revision is more likely</v>
          </cell>
          <cell r="AA16" t="str">
            <v>Thin client project</v>
          </cell>
          <cell r="AB16" t="str">
            <v>Data integration</v>
          </cell>
          <cell r="AC16" t="str">
            <v>Somewhat more aggressive in discounting</v>
          </cell>
          <cell r="AD16" t="str">
            <v>No Change</v>
          </cell>
          <cell r="AE16">
            <v>100</v>
          </cell>
          <cell r="AF16">
            <v>0</v>
          </cell>
          <cell r="AG16">
            <v>0</v>
          </cell>
          <cell r="AH16" t="str">
            <v>60/40</v>
          </cell>
          <cell r="AI16" t="str">
            <v>In-Line</v>
          </cell>
          <cell r="AJ16">
            <v>8</v>
          </cell>
          <cell r="AK16">
            <v>0</v>
          </cell>
          <cell r="AL16">
            <v>0</v>
          </cell>
          <cell r="AM16">
            <v>0</v>
          </cell>
          <cell r="AN16">
            <v>-5</v>
          </cell>
          <cell r="AO16">
            <v>-10</v>
          </cell>
          <cell r="AP16">
            <v>0</v>
          </cell>
          <cell r="AQ16">
            <v>0</v>
          </cell>
          <cell r="AR16" t="str">
            <v>Don't Use</v>
          </cell>
          <cell r="AS16" t="str">
            <v>Flat</v>
          </cell>
          <cell r="AT16" t="str">
            <v>Don't Use</v>
          </cell>
          <cell r="AU16" t="str">
            <v>Don't Use</v>
          </cell>
          <cell r="AV16" t="str">
            <v>Don't Use</v>
          </cell>
          <cell r="AW16" t="str">
            <v>Don't Use</v>
          </cell>
          <cell r="AX16" t="str">
            <v>Decrease</v>
          </cell>
          <cell r="AY16" t="str">
            <v>Don't Use</v>
          </cell>
          <cell r="AZ16" t="str">
            <v>Increase</v>
          </cell>
          <cell r="BA16" t="str">
            <v>Flat</v>
          </cell>
          <cell r="BB16" t="str">
            <v>Don't Use</v>
          </cell>
          <cell r="BC16" t="str">
            <v>Don't Use</v>
          </cell>
          <cell r="BD16" t="str">
            <v>Don't Use</v>
          </cell>
          <cell r="BE16" t="str">
            <v>Don't Use</v>
          </cell>
          <cell r="BF16" t="str">
            <v>Flat</v>
          </cell>
          <cell r="BG16" t="str">
            <v>Don't Use</v>
          </cell>
          <cell r="BH16" t="str">
            <v>Don't Use</v>
          </cell>
          <cell r="BI16" t="str">
            <v>Doing work internally</v>
          </cell>
          <cell r="BJ16" t="str">
            <v>Not Priority</v>
          </cell>
          <cell r="BK16" t="str">
            <v>Will use services provider 1H12</v>
          </cell>
          <cell r="BL16" t="str">
            <v>Already using services provider</v>
          </cell>
          <cell r="BM16" t="str">
            <v>Doing work internally</v>
          </cell>
          <cell r="BN16" t="str">
            <v>Not Priority</v>
          </cell>
          <cell r="BO16" t="str">
            <v>Doing work internally</v>
          </cell>
          <cell r="BP16" t="str">
            <v>Will use services provider 2H12</v>
          </cell>
          <cell r="BQ16" t="str">
            <v>Already using services provider</v>
          </cell>
          <cell r="BR16" t="str">
            <v>Already using services provider</v>
          </cell>
          <cell r="BS16" t="str">
            <v>Doing work internally</v>
          </cell>
          <cell r="BT16" t="str">
            <v>Not Priority</v>
          </cell>
          <cell r="BU16">
            <v>3</v>
          </cell>
          <cell r="BV16">
            <v>7</v>
          </cell>
          <cell r="BW16">
            <v>4</v>
          </cell>
          <cell r="BX16">
            <v>1</v>
          </cell>
          <cell r="BY16">
            <v>5</v>
          </cell>
          <cell r="BZ16">
            <v>2</v>
          </cell>
          <cell r="CA16">
            <v>6</v>
          </cell>
          <cell r="CB16" t="str">
            <v>No change in level of discounting</v>
          </cell>
        </row>
        <row r="17">
          <cell r="A17" t="str">
            <v>EU</v>
          </cell>
          <cell r="B17" t="str">
            <v>Financial services</v>
          </cell>
          <cell r="C17" t="str">
            <v>$1-5 Billion</v>
          </cell>
          <cell r="D17" t="str">
            <v>&lt;$100 Million</v>
          </cell>
          <cell r="E17">
            <v>5</v>
          </cell>
          <cell r="F17">
            <v>5</v>
          </cell>
          <cell r="G17">
            <v>5</v>
          </cell>
          <cell r="H17">
            <v>5</v>
          </cell>
          <cell r="I17">
            <v>3</v>
          </cell>
          <cell r="J17">
            <v>5</v>
          </cell>
          <cell r="K17">
            <v>10</v>
          </cell>
          <cell r="L17">
            <v>15</v>
          </cell>
          <cell r="M17">
            <v>5</v>
          </cell>
          <cell r="N17">
            <v>12</v>
          </cell>
          <cell r="O17">
            <v>7</v>
          </cell>
          <cell r="P17">
            <v>50</v>
          </cell>
          <cell r="Q17">
            <v>50</v>
          </cell>
          <cell r="R17">
            <v>60</v>
          </cell>
          <cell r="S17">
            <v>40</v>
          </cell>
          <cell r="T17" t="str">
            <v>In-Sourcing Dev work</v>
          </cell>
          <cell r="U17" t="str">
            <v>QA</v>
          </cell>
          <cell r="V17" t="str">
            <v>Virtualization</v>
          </cell>
          <cell r="W17" t="str">
            <v>Less Outside Dev Work</v>
          </cell>
          <cell r="Z17" t="str">
            <v>Equal chance of upward or downward revision</v>
          </cell>
          <cell r="AA17" t="str">
            <v>Virtualization projects</v>
          </cell>
          <cell r="AB17" t="str">
            <v>Quality control</v>
          </cell>
          <cell r="AC17" t="str">
            <v>No change in level of discounting</v>
          </cell>
          <cell r="AD17" t="str">
            <v>No Change</v>
          </cell>
          <cell r="AE17">
            <v>15</v>
          </cell>
          <cell r="AF17">
            <v>25</v>
          </cell>
          <cell r="AG17">
            <v>60</v>
          </cell>
          <cell r="AH17" t="str">
            <v>50/50</v>
          </cell>
          <cell r="AI17" t="str">
            <v>Over</v>
          </cell>
          <cell r="AJ17">
            <v>10</v>
          </cell>
          <cell r="AK17">
            <v>5</v>
          </cell>
          <cell r="AL17">
            <v>0</v>
          </cell>
          <cell r="AM17">
            <v>0</v>
          </cell>
          <cell r="AN17">
            <v>5</v>
          </cell>
          <cell r="AO17">
            <v>0</v>
          </cell>
          <cell r="AP17">
            <v>5</v>
          </cell>
          <cell r="AQ17">
            <v>10</v>
          </cell>
          <cell r="AR17" t="str">
            <v>Flat</v>
          </cell>
          <cell r="AS17" t="str">
            <v>Don't Use</v>
          </cell>
          <cell r="AT17" t="str">
            <v>Decrease</v>
          </cell>
          <cell r="AU17" t="str">
            <v>Don't Use</v>
          </cell>
          <cell r="AV17" t="str">
            <v>Flat</v>
          </cell>
          <cell r="AW17" t="str">
            <v>Don't Use</v>
          </cell>
          <cell r="AX17" t="str">
            <v>Don't Use</v>
          </cell>
          <cell r="AY17" t="str">
            <v>Don't Use</v>
          </cell>
          <cell r="AZ17" t="str">
            <v>Don't Use</v>
          </cell>
          <cell r="BA17" t="str">
            <v>Flat</v>
          </cell>
          <cell r="BB17" t="str">
            <v>Flat</v>
          </cell>
          <cell r="BC17" t="str">
            <v>Increase</v>
          </cell>
          <cell r="BD17" t="str">
            <v>Don't Use</v>
          </cell>
          <cell r="BE17" t="str">
            <v>Don't Use</v>
          </cell>
          <cell r="BF17" t="str">
            <v>Don't Use</v>
          </cell>
          <cell r="BG17" t="str">
            <v>Don't Use</v>
          </cell>
          <cell r="BH17" t="str">
            <v>Flat</v>
          </cell>
          <cell r="BI17" t="str">
            <v>Already using services provider</v>
          </cell>
          <cell r="BJ17" t="str">
            <v>Doing work internally</v>
          </cell>
          <cell r="BK17" t="str">
            <v>Doing work internally</v>
          </cell>
          <cell r="BL17" t="str">
            <v>Will use services provider 2H12</v>
          </cell>
          <cell r="BM17" t="str">
            <v>Not Priority</v>
          </cell>
          <cell r="BN17" t="str">
            <v>Will use services provider 1H12</v>
          </cell>
          <cell r="BO17" t="str">
            <v>Will use services provider 1H12</v>
          </cell>
          <cell r="BP17" t="str">
            <v>Already using services provider</v>
          </cell>
          <cell r="BQ17" t="str">
            <v>Doing work internally</v>
          </cell>
          <cell r="BR17" t="str">
            <v>Not Priority</v>
          </cell>
          <cell r="BS17" t="str">
            <v>Not Priority</v>
          </cell>
          <cell r="BT17" t="str">
            <v>Not Priority</v>
          </cell>
          <cell r="BU17">
            <v>4</v>
          </cell>
          <cell r="BV17">
            <v>6</v>
          </cell>
          <cell r="BW17">
            <v>3</v>
          </cell>
          <cell r="BX17">
            <v>2</v>
          </cell>
          <cell r="BY17">
            <v>5</v>
          </cell>
          <cell r="BZ17">
            <v>1</v>
          </cell>
          <cell r="CA17">
            <v>7</v>
          </cell>
          <cell r="CB17" t="str">
            <v>Somewhat less aggressive in discounting</v>
          </cell>
        </row>
        <row r="18">
          <cell r="A18" t="str">
            <v>EU</v>
          </cell>
          <cell r="B18" t="str">
            <v>Financial services</v>
          </cell>
          <cell r="C18" t="str">
            <v>$15-20 Billion</v>
          </cell>
          <cell r="D18" t="str">
            <v>&gt;$700 Million</v>
          </cell>
          <cell r="E18">
            <v>15</v>
          </cell>
          <cell r="F18">
            <v>12</v>
          </cell>
          <cell r="G18">
            <v>10</v>
          </cell>
          <cell r="H18">
            <v>5</v>
          </cell>
          <cell r="I18">
            <v>-5</v>
          </cell>
          <cell r="J18">
            <v>-10</v>
          </cell>
          <cell r="K18">
            <v>12</v>
          </cell>
          <cell r="L18">
            <v>10</v>
          </cell>
          <cell r="M18">
            <v>1</v>
          </cell>
          <cell r="N18">
            <v>0</v>
          </cell>
          <cell r="O18">
            <v>7</v>
          </cell>
          <cell r="P18">
            <v>50</v>
          </cell>
          <cell r="Q18">
            <v>50</v>
          </cell>
          <cell r="R18">
            <v>50</v>
          </cell>
          <cell r="S18">
            <v>50</v>
          </cell>
          <cell r="T18" t="str">
            <v>Windows 7</v>
          </cell>
          <cell r="U18" t="str">
            <v>SAP upgrades</v>
          </cell>
          <cell r="V18" t="str">
            <v>New server purchases</v>
          </cell>
          <cell r="W18" t="str">
            <v>Web portal project complete</v>
          </cell>
          <cell r="Z18" t="str">
            <v>‘No change’ to the budget is likely</v>
          </cell>
          <cell r="AA18" t="str">
            <v>Software licenceses</v>
          </cell>
          <cell r="AB18" t="str">
            <v>SAP upgrades</v>
          </cell>
          <cell r="AC18" t="str">
            <v>No change in level of discounting</v>
          </cell>
          <cell r="AD18" t="str">
            <v>Somewhat longer</v>
          </cell>
          <cell r="AE18">
            <v>80</v>
          </cell>
          <cell r="AF18">
            <v>10</v>
          </cell>
          <cell r="AG18">
            <v>10</v>
          </cell>
          <cell r="AH18" t="str">
            <v>30/70</v>
          </cell>
          <cell r="AI18" t="str">
            <v>In-Line</v>
          </cell>
          <cell r="AJ18">
            <v>-10</v>
          </cell>
          <cell r="AK18">
            <v>5</v>
          </cell>
          <cell r="AL18">
            <v>0</v>
          </cell>
          <cell r="AM18">
            <v>5</v>
          </cell>
          <cell r="AN18">
            <v>5</v>
          </cell>
          <cell r="AO18">
            <v>10</v>
          </cell>
          <cell r="AP18">
            <v>8</v>
          </cell>
          <cell r="AQ18">
            <v>5</v>
          </cell>
          <cell r="AR18" t="str">
            <v>Don't Use</v>
          </cell>
          <cell r="AS18" t="str">
            <v>Flat</v>
          </cell>
          <cell r="AT18" t="str">
            <v>Don't Use</v>
          </cell>
          <cell r="AU18" t="str">
            <v>Flat</v>
          </cell>
          <cell r="AV18" t="str">
            <v>Decrease</v>
          </cell>
          <cell r="AW18" t="str">
            <v>Flat</v>
          </cell>
          <cell r="AX18" t="str">
            <v>Flat</v>
          </cell>
          <cell r="AY18" t="str">
            <v>Don't Use</v>
          </cell>
          <cell r="AZ18" t="str">
            <v>Don't Use</v>
          </cell>
          <cell r="BA18" t="str">
            <v>Don't Use</v>
          </cell>
          <cell r="BB18" t="str">
            <v>Flat</v>
          </cell>
          <cell r="BC18" t="str">
            <v>Decrease</v>
          </cell>
          <cell r="BD18" t="str">
            <v>Don't Use</v>
          </cell>
          <cell r="BE18" t="str">
            <v>Flat</v>
          </cell>
          <cell r="BF18" t="str">
            <v>Flat</v>
          </cell>
          <cell r="BG18" t="str">
            <v>Don't Use</v>
          </cell>
          <cell r="BH18" t="str">
            <v>Don't Use</v>
          </cell>
          <cell r="BI18" t="str">
            <v>Already using services provider</v>
          </cell>
          <cell r="BJ18" t="str">
            <v>Not Priority</v>
          </cell>
          <cell r="BK18" t="str">
            <v>Will use services provider 2H12</v>
          </cell>
          <cell r="BL18" t="str">
            <v>Not Priority</v>
          </cell>
          <cell r="BM18" t="str">
            <v>Doing work internally</v>
          </cell>
          <cell r="BN18" t="str">
            <v>Already using services provider</v>
          </cell>
          <cell r="BO18" t="str">
            <v>Doing work internally</v>
          </cell>
          <cell r="BP18" t="str">
            <v>Not Priority</v>
          </cell>
          <cell r="BQ18" t="str">
            <v>Doing work internally</v>
          </cell>
          <cell r="BR18" t="str">
            <v>Already using services provider</v>
          </cell>
          <cell r="BS18" t="str">
            <v>Not Priority</v>
          </cell>
          <cell r="BT18" t="str">
            <v>Not Priority</v>
          </cell>
          <cell r="BU18">
            <v>3</v>
          </cell>
          <cell r="BV18">
            <v>5</v>
          </cell>
          <cell r="BW18">
            <v>1</v>
          </cell>
          <cell r="BX18">
            <v>2</v>
          </cell>
          <cell r="BY18">
            <v>4</v>
          </cell>
          <cell r="BZ18">
            <v>7</v>
          </cell>
          <cell r="CA18">
            <v>6</v>
          </cell>
          <cell r="CB18" t="str">
            <v>No change in level of discounting</v>
          </cell>
        </row>
        <row r="19">
          <cell r="A19" t="str">
            <v>EU</v>
          </cell>
          <cell r="B19" t="str">
            <v>Financial services</v>
          </cell>
          <cell r="C19" t="str">
            <v>$500 Million - $1 Billion</v>
          </cell>
          <cell r="D19" t="str">
            <v>&lt;$100 Million</v>
          </cell>
          <cell r="E19">
            <v>-5</v>
          </cell>
          <cell r="F19">
            <v>-10</v>
          </cell>
          <cell r="G19">
            <v>0</v>
          </cell>
          <cell r="H19">
            <v>-5</v>
          </cell>
          <cell r="I19">
            <v>-5</v>
          </cell>
          <cell r="J19">
            <v>2</v>
          </cell>
          <cell r="K19">
            <v>-5</v>
          </cell>
          <cell r="L19">
            <v>-5</v>
          </cell>
          <cell r="M19">
            <v>-15</v>
          </cell>
          <cell r="N19">
            <v>-5</v>
          </cell>
          <cell r="O19">
            <v>5</v>
          </cell>
          <cell r="P19">
            <v>50</v>
          </cell>
          <cell r="Q19">
            <v>50</v>
          </cell>
          <cell r="R19">
            <v>50</v>
          </cell>
          <cell r="S19">
            <v>50</v>
          </cell>
          <cell r="T19" t="str">
            <v>Consulting projects</v>
          </cell>
          <cell r="U19" t="str">
            <v>Remote access</v>
          </cell>
          <cell r="V19" t="str">
            <v>Security</v>
          </cell>
          <cell r="W19" t="str">
            <v>Spending expected to be flat</v>
          </cell>
          <cell r="Z19" t="str">
            <v>Equal chance of upward or downward revision</v>
          </cell>
          <cell r="AA19" t="str">
            <v>Consulting / Outsourcing</v>
          </cell>
          <cell r="AB19" t="str">
            <v>Internal staff</v>
          </cell>
          <cell r="AC19" t="str">
            <v>No change in level of discounting</v>
          </cell>
          <cell r="AD19" t="str">
            <v>No Change</v>
          </cell>
          <cell r="AE19">
            <v>100</v>
          </cell>
          <cell r="AF19">
            <v>0</v>
          </cell>
          <cell r="AG19">
            <v>0</v>
          </cell>
          <cell r="AH19" t="str">
            <v>50/50</v>
          </cell>
          <cell r="AI19" t="str">
            <v>In-Line</v>
          </cell>
          <cell r="AJ19">
            <v>5</v>
          </cell>
          <cell r="AK19">
            <v>-8</v>
          </cell>
          <cell r="AL19">
            <v>3</v>
          </cell>
          <cell r="AM19">
            <v>5</v>
          </cell>
          <cell r="AN19">
            <v>5</v>
          </cell>
          <cell r="AO19">
            <v>5</v>
          </cell>
          <cell r="AP19">
            <v>0</v>
          </cell>
          <cell r="AQ19">
            <v>5</v>
          </cell>
          <cell r="AR19" t="str">
            <v>Don't Use</v>
          </cell>
          <cell r="AS19" t="str">
            <v>Don't Use</v>
          </cell>
          <cell r="AT19" t="str">
            <v>Flat</v>
          </cell>
          <cell r="AU19" t="str">
            <v>Don't Use</v>
          </cell>
          <cell r="AV19" t="str">
            <v>Don't Use</v>
          </cell>
          <cell r="AW19" t="str">
            <v>Don't Use</v>
          </cell>
          <cell r="AX19" t="str">
            <v>Don't Use</v>
          </cell>
          <cell r="AY19" t="str">
            <v>Flat</v>
          </cell>
          <cell r="AZ19" t="str">
            <v>Flat</v>
          </cell>
          <cell r="BA19" t="str">
            <v>Flat</v>
          </cell>
          <cell r="BB19" t="str">
            <v>Decrease</v>
          </cell>
          <cell r="BC19" t="str">
            <v>Don't Use</v>
          </cell>
          <cell r="BD19" t="str">
            <v>Flat</v>
          </cell>
          <cell r="BE19" t="str">
            <v>Don't Use</v>
          </cell>
          <cell r="BF19" t="str">
            <v>Increase</v>
          </cell>
          <cell r="BG19" t="str">
            <v>Don't Use</v>
          </cell>
          <cell r="BH19" t="str">
            <v>Flat</v>
          </cell>
          <cell r="BI19" t="str">
            <v>Not Priority</v>
          </cell>
          <cell r="BJ19" t="str">
            <v>Not Priority</v>
          </cell>
          <cell r="BK19" t="str">
            <v>Will use services provider 2H12</v>
          </cell>
          <cell r="BL19" t="str">
            <v>Doing work internally</v>
          </cell>
          <cell r="BM19" t="str">
            <v>Not Priority</v>
          </cell>
          <cell r="BN19" t="str">
            <v>Doing work internally</v>
          </cell>
          <cell r="BO19" t="str">
            <v>Doing work internally</v>
          </cell>
          <cell r="BP19" t="str">
            <v>Already using services provider</v>
          </cell>
          <cell r="BQ19" t="str">
            <v>Doing work internally</v>
          </cell>
          <cell r="BR19" t="str">
            <v>Already using services provider</v>
          </cell>
          <cell r="BS19" t="str">
            <v>Doing work internally</v>
          </cell>
          <cell r="BT19" t="str">
            <v>Will use services provider 2H12</v>
          </cell>
          <cell r="BU19">
            <v>4</v>
          </cell>
          <cell r="BV19">
            <v>6</v>
          </cell>
          <cell r="BW19">
            <v>2</v>
          </cell>
          <cell r="BX19">
            <v>3</v>
          </cell>
          <cell r="BY19">
            <v>5</v>
          </cell>
          <cell r="BZ19">
            <v>1</v>
          </cell>
          <cell r="CA19">
            <v>7</v>
          </cell>
          <cell r="CB19" t="str">
            <v>No change in level of discounting</v>
          </cell>
        </row>
        <row r="20">
          <cell r="A20" t="str">
            <v>EU</v>
          </cell>
          <cell r="B20" t="str">
            <v>Financial services</v>
          </cell>
          <cell r="C20" t="str">
            <v>$1-5 Billion</v>
          </cell>
          <cell r="D20" t="str">
            <v>$100-200 Million</v>
          </cell>
          <cell r="E20">
            <v>0</v>
          </cell>
          <cell r="F20">
            <v>7</v>
          </cell>
          <cell r="G20">
            <v>5</v>
          </cell>
          <cell r="H20">
            <v>5</v>
          </cell>
          <cell r="I20">
            <v>0</v>
          </cell>
          <cell r="J20">
            <v>5</v>
          </cell>
          <cell r="K20">
            <v>8</v>
          </cell>
          <cell r="L20">
            <v>5</v>
          </cell>
          <cell r="M20">
            <v>10</v>
          </cell>
          <cell r="N20">
            <v>5</v>
          </cell>
          <cell r="O20">
            <v>6</v>
          </cell>
          <cell r="P20">
            <v>50</v>
          </cell>
          <cell r="Q20">
            <v>50</v>
          </cell>
          <cell r="R20">
            <v>50</v>
          </cell>
          <cell r="S20">
            <v>50</v>
          </cell>
          <cell r="T20" t="str">
            <v>Professional services projects</v>
          </cell>
          <cell r="U20" t="str">
            <v>CRM project</v>
          </cell>
          <cell r="V20" t="str">
            <v>ERP</v>
          </cell>
          <cell r="W20" t="str">
            <v>Multimedia apps, like video</v>
          </cell>
          <cell r="X20" t="str">
            <v>Virtualization projects</v>
          </cell>
          <cell r="Z20" t="str">
            <v>Downward revision is more likely</v>
          </cell>
          <cell r="AA20" t="str">
            <v xml:space="preserve">New Projects  </v>
          </cell>
          <cell r="AB20" t="str">
            <v>Maintenance spending</v>
          </cell>
          <cell r="AC20" t="str">
            <v>Significantly more aggressive in discounting</v>
          </cell>
          <cell r="AD20" t="str">
            <v>Somewhat longer</v>
          </cell>
          <cell r="AE20">
            <v>85</v>
          </cell>
          <cell r="AF20">
            <v>15</v>
          </cell>
          <cell r="AG20">
            <v>0</v>
          </cell>
          <cell r="AH20" t="str">
            <v>50/50</v>
          </cell>
          <cell r="AI20" t="str">
            <v>In-Line</v>
          </cell>
          <cell r="AJ20">
            <v>10</v>
          </cell>
          <cell r="AK20">
            <v>-10</v>
          </cell>
          <cell r="AL20">
            <v>-5</v>
          </cell>
          <cell r="AM20">
            <v>-5</v>
          </cell>
          <cell r="AN20">
            <v>5</v>
          </cell>
          <cell r="AO20">
            <v>5</v>
          </cell>
          <cell r="AP20">
            <v>0</v>
          </cell>
          <cell r="AQ20">
            <v>0</v>
          </cell>
          <cell r="AR20" t="str">
            <v>Don't Use</v>
          </cell>
          <cell r="AS20" t="str">
            <v>Don't Use</v>
          </cell>
          <cell r="AT20" t="str">
            <v>Don't Use</v>
          </cell>
          <cell r="AU20" t="str">
            <v>Don't Use</v>
          </cell>
          <cell r="AV20" t="str">
            <v>Flat</v>
          </cell>
          <cell r="AW20" t="str">
            <v>Don't Use</v>
          </cell>
          <cell r="AX20" t="str">
            <v>Don't Use</v>
          </cell>
          <cell r="AY20" t="str">
            <v>Don't Use</v>
          </cell>
          <cell r="AZ20" t="str">
            <v>Don't Use</v>
          </cell>
          <cell r="BA20" t="str">
            <v>Decrease</v>
          </cell>
          <cell r="BB20" t="str">
            <v>Don't Use</v>
          </cell>
          <cell r="BC20" t="str">
            <v>Don't Use</v>
          </cell>
          <cell r="BD20" t="str">
            <v>Don't Use</v>
          </cell>
          <cell r="BE20" t="str">
            <v>Don't Use</v>
          </cell>
          <cell r="BF20" t="str">
            <v>Don't Use</v>
          </cell>
          <cell r="BG20" t="str">
            <v>Don't Use</v>
          </cell>
          <cell r="BH20" t="str">
            <v>Don't Use</v>
          </cell>
          <cell r="BI20" t="str">
            <v>Already using services provider</v>
          </cell>
          <cell r="BJ20" t="str">
            <v>Doing work internally</v>
          </cell>
          <cell r="BK20" t="str">
            <v>Doing work internally</v>
          </cell>
          <cell r="BL20" t="str">
            <v>Will use services provider 2H12</v>
          </cell>
          <cell r="BM20" t="str">
            <v>Doing work internally</v>
          </cell>
          <cell r="BN20" t="str">
            <v>Will use services provider 2H12</v>
          </cell>
          <cell r="BO20" t="str">
            <v>Will use services provider 2H12</v>
          </cell>
          <cell r="BP20" t="str">
            <v>Will use services provider 2H12</v>
          </cell>
          <cell r="BQ20" t="str">
            <v>Will use services provider 2H12</v>
          </cell>
          <cell r="BR20" t="str">
            <v>Doing work internally</v>
          </cell>
          <cell r="BS20" t="str">
            <v>Doing work internally</v>
          </cell>
          <cell r="BT20" t="str">
            <v>Already using services provider</v>
          </cell>
          <cell r="BU20">
            <v>5</v>
          </cell>
          <cell r="BV20">
            <v>7</v>
          </cell>
          <cell r="BW20">
            <v>1</v>
          </cell>
          <cell r="BX20">
            <v>2</v>
          </cell>
          <cell r="BY20">
            <v>6</v>
          </cell>
          <cell r="BZ20">
            <v>3</v>
          </cell>
          <cell r="CA20">
            <v>4</v>
          </cell>
          <cell r="CB20" t="str">
            <v>Somewhat less aggressive in discounting</v>
          </cell>
        </row>
        <row r="21">
          <cell r="A21" t="str">
            <v>EU</v>
          </cell>
          <cell r="B21" t="str">
            <v>Financial services</v>
          </cell>
          <cell r="C21" t="str">
            <v>$1-5 Billion</v>
          </cell>
          <cell r="D21" t="str">
            <v>$100-200 Million</v>
          </cell>
          <cell r="E21">
            <v>10</v>
          </cell>
          <cell r="F21">
            <v>3</v>
          </cell>
          <cell r="G21">
            <v>10</v>
          </cell>
          <cell r="H21">
            <v>5</v>
          </cell>
          <cell r="I21">
            <v>5</v>
          </cell>
          <cell r="J21">
            <v>5</v>
          </cell>
          <cell r="K21">
            <v>2</v>
          </cell>
          <cell r="L21">
            <v>2</v>
          </cell>
          <cell r="M21">
            <v>3</v>
          </cell>
          <cell r="N21">
            <v>5</v>
          </cell>
          <cell r="O21">
            <v>7</v>
          </cell>
          <cell r="P21">
            <v>60</v>
          </cell>
          <cell r="Q21">
            <v>40</v>
          </cell>
          <cell r="R21">
            <v>50</v>
          </cell>
          <cell r="S21">
            <v>50</v>
          </cell>
          <cell r="T21" t="str">
            <v>NA / No Increase</v>
          </cell>
          <cell r="W21" t="str">
            <v>NA / No Decrease</v>
          </cell>
          <cell r="Z21" t="str">
            <v>Equal chance of upward or downward revision</v>
          </cell>
          <cell r="AA21" t="str">
            <v>NA / DK</v>
          </cell>
          <cell r="AB21" t="str">
            <v>NA / DK</v>
          </cell>
          <cell r="AC21" t="str">
            <v>Somewhat more aggressive in discounting</v>
          </cell>
          <cell r="AD21" t="str">
            <v>No Change</v>
          </cell>
          <cell r="AE21">
            <v>30</v>
          </cell>
          <cell r="AF21">
            <v>30</v>
          </cell>
          <cell r="AG21">
            <v>40</v>
          </cell>
          <cell r="AH21" t="str">
            <v>60/40</v>
          </cell>
          <cell r="AI21" t="str">
            <v>In-Line</v>
          </cell>
          <cell r="AJ21">
            <v>7</v>
          </cell>
          <cell r="AK21">
            <v>5</v>
          </cell>
          <cell r="AL21">
            <v>5</v>
          </cell>
          <cell r="AM21">
            <v>5</v>
          </cell>
          <cell r="AN21">
            <v>13</v>
          </cell>
          <cell r="AO21">
            <v>10</v>
          </cell>
          <cell r="AP21">
            <v>10</v>
          </cell>
          <cell r="AQ21">
            <v>10</v>
          </cell>
          <cell r="AR21" t="str">
            <v>Don't Use</v>
          </cell>
          <cell r="AS21" t="str">
            <v>Don't Use</v>
          </cell>
          <cell r="AT21" t="str">
            <v>Don't Use</v>
          </cell>
          <cell r="AU21" t="str">
            <v>Don't Use</v>
          </cell>
          <cell r="AV21" t="str">
            <v>Don't Use</v>
          </cell>
          <cell r="AW21" t="str">
            <v>Don't Use</v>
          </cell>
          <cell r="AX21" t="str">
            <v>Don't Use</v>
          </cell>
          <cell r="AY21" t="str">
            <v>Don't Use</v>
          </cell>
          <cell r="AZ21" t="str">
            <v>Flat</v>
          </cell>
          <cell r="BA21" t="str">
            <v>Don't Use</v>
          </cell>
          <cell r="BB21" t="str">
            <v>Don't Use</v>
          </cell>
          <cell r="BC21" t="str">
            <v>Flat</v>
          </cell>
          <cell r="BD21" t="str">
            <v>Don't Use</v>
          </cell>
          <cell r="BE21" t="str">
            <v>Don't Use</v>
          </cell>
          <cell r="BF21" t="str">
            <v>Flat</v>
          </cell>
          <cell r="BG21" t="str">
            <v>Don't Use</v>
          </cell>
          <cell r="BH21" t="str">
            <v>Don't Use</v>
          </cell>
          <cell r="BI21" t="str">
            <v>Already using services provider</v>
          </cell>
          <cell r="BJ21" t="str">
            <v>Already using services provider</v>
          </cell>
          <cell r="BK21" t="str">
            <v>Already using services provider</v>
          </cell>
          <cell r="BL21" t="str">
            <v>Already using services provider</v>
          </cell>
          <cell r="BM21" t="str">
            <v>Doing work internally</v>
          </cell>
          <cell r="BN21" t="str">
            <v>Not Priority</v>
          </cell>
          <cell r="BO21" t="str">
            <v>Doing work internally</v>
          </cell>
          <cell r="BP21" t="str">
            <v>Not Priority</v>
          </cell>
          <cell r="BQ21" t="str">
            <v>Already using services provider</v>
          </cell>
          <cell r="BR21" t="str">
            <v>Already using services provider</v>
          </cell>
          <cell r="BS21" t="str">
            <v>Already using services provider</v>
          </cell>
          <cell r="BT21" t="str">
            <v>Already using services provider</v>
          </cell>
          <cell r="BU21">
            <v>2</v>
          </cell>
          <cell r="BV21">
            <v>7</v>
          </cell>
          <cell r="BW21">
            <v>1</v>
          </cell>
          <cell r="BX21">
            <v>3</v>
          </cell>
          <cell r="BY21">
            <v>2</v>
          </cell>
          <cell r="BZ21">
            <v>4</v>
          </cell>
          <cell r="CA21">
            <v>5</v>
          </cell>
          <cell r="CB21" t="str">
            <v>No change in level of discounting</v>
          </cell>
        </row>
        <row r="22">
          <cell r="A22" t="str">
            <v>EU</v>
          </cell>
          <cell r="B22" t="str">
            <v>Financial services</v>
          </cell>
          <cell r="C22" t="str">
            <v>$1-5 Billion</v>
          </cell>
          <cell r="D22" t="str">
            <v>$100-200 Million</v>
          </cell>
          <cell r="E22">
            <v>3</v>
          </cell>
          <cell r="F22">
            <v>5</v>
          </cell>
          <cell r="G22">
            <v>3</v>
          </cell>
          <cell r="H22">
            <v>5</v>
          </cell>
          <cell r="I22">
            <v>5</v>
          </cell>
          <cell r="J22">
            <v>3</v>
          </cell>
          <cell r="K22">
            <v>5</v>
          </cell>
          <cell r="L22">
            <v>5</v>
          </cell>
          <cell r="M22">
            <v>5</v>
          </cell>
          <cell r="N22">
            <v>0</v>
          </cell>
          <cell r="O22">
            <v>7</v>
          </cell>
          <cell r="P22">
            <v>60</v>
          </cell>
          <cell r="Q22">
            <v>40</v>
          </cell>
          <cell r="R22">
            <v>50</v>
          </cell>
          <cell r="S22">
            <v>50</v>
          </cell>
          <cell r="T22" t="str">
            <v>Cloud Technologies</v>
          </cell>
          <cell r="U22" t="str">
            <v>VDI</v>
          </cell>
          <cell r="V22" t="str">
            <v>Virtualization</v>
          </cell>
          <cell r="W22" t="str">
            <v>Mainframe</v>
          </cell>
          <cell r="X22" t="str">
            <v>Slow "New" initiatives</v>
          </cell>
          <cell r="Z22" t="str">
            <v>‘No change’ to the budget is likely</v>
          </cell>
          <cell r="AA22" t="str">
            <v>Cloud projects</v>
          </cell>
          <cell r="AB22" t="str">
            <v>Virtualization</v>
          </cell>
          <cell r="AC22" t="str">
            <v>Somewhat less aggressive in discounting</v>
          </cell>
          <cell r="AD22" t="str">
            <v>Somewhat longer</v>
          </cell>
          <cell r="AE22">
            <v>75</v>
          </cell>
          <cell r="AF22">
            <v>25</v>
          </cell>
          <cell r="AG22">
            <v>0</v>
          </cell>
          <cell r="AH22" t="str">
            <v>50/50</v>
          </cell>
          <cell r="AI22" t="str">
            <v>Over</v>
          </cell>
          <cell r="AJ22">
            <v>5</v>
          </cell>
          <cell r="AK22">
            <v>10</v>
          </cell>
          <cell r="AL22" t="str">
            <v>NA / DK</v>
          </cell>
          <cell r="AM22" t="str">
            <v>NA / DK</v>
          </cell>
          <cell r="AN22">
            <v>0</v>
          </cell>
          <cell r="AO22">
            <v>0</v>
          </cell>
          <cell r="AP22" t="str">
            <v>NA / DK</v>
          </cell>
          <cell r="AQ22" t="str">
            <v>NA / DK</v>
          </cell>
          <cell r="AR22" t="str">
            <v>Don't Use</v>
          </cell>
          <cell r="AS22" t="str">
            <v>Don't Use</v>
          </cell>
          <cell r="AT22" t="str">
            <v>Don't Use</v>
          </cell>
          <cell r="AU22" t="str">
            <v>Don't Use</v>
          </cell>
          <cell r="AV22" t="str">
            <v>Don't Use</v>
          </cell>
          <cell r="AW22" t="str">
            <v>Don't Use</v>
          </cell>
          <cell r="AX22" t="str">
            <v>Flat</v>
          </cell>
          <cell r="AY22" t="str">
            <v>Don't Use</v>
          </cell>
          <cell r="AZ22" t="str">
            <v>Don't Use</v>
          </cell>
          <cell r="BA22" t="str">
            <v>Increase</v>
          </cell>
          <cell r="BB22" t="str">
            <v>Don't Use</v>
          </cell>
          <cell r="BC22" t="str">
            <v>Don't Use</v>
          </cell>
          <cell r="BD22" t="str">
            <v>Increase</v>
          </cell>
          <cell r="BE22" t="str">
            <v>Don't Use</v>
          </cell>
          <cell r="BF22" t="str">
            <v>Don't Use</v>
          </cell>
          <cell r="BG22" t="str">
            <v>Don't Use</v>
          </cell>
          <cell r="BH22" t="str">
            <v>Don't Use</v>
          </cell>
          <cell r="BI22" t="str">
            <v>Not Priority</v>
          </cell>
          <cell r="BJ22" t="str">
            <v>Will use services provider 2H12</v>
          </cell>
          <cell r="BK22" t="str">
            <v>Already using services provider</v>
          </cell>
          <cell r="BL22" t="str">
            <v>Doing work internally</v>
          </cell>
          <cell r="BM22" t="str">
            <v>Doing work internally</v>
          </cell>
          <cell r="BN22" t="str">
            <v>Doing work internally</v>
          </cell>
          <cell r="BO22" t="str">
            <v>Will use services provider 2H12</v>
          </cell>
          <cell r="BP22" t="str">
            <v>Already using services provider</v>
          </cell>
          <cell r="BQ22" t="str">
            <v>Not Priority</v>
          </cell>
          <cell r="BR22" t="str">
            <v>Doing work internally</v>
          </cell>
          <cell r="BS22" t="str">
            <v>Not Priority</v>
          </cell>
          <cell r="BT22" t="str">
            <v>Not Priority</v>
          </cell>
          <cell r="BU22">
            <v>2</v>
          </cell>
          <cell r="BV22">
            <v>7</v>
          </cell>
          <cell r="BW22">
            <v>6</v>
          </cell>
          <cell r="BX22">
            <v>4</v>
          </cell>
          <cell r="BY22">
            <v>5</v>
          </cell>
          <cell r="BZ22">
            <v>3</v>
          </cell>
          <cell r="CA22">
            <v>1</v>
          </cell>
          <cell r="CB22" t="str">
            <v>No change in level of discounting</v>
          </cell>
        </row>
        <row r="23">
          <cell r="A23" t="str">
            <v>EU</v>
          </cell>
          <cell r="B23" t="str">
            <v>Financial services</v>
          </cell>
          <cell r="C23" t="str">
            <v>$1-5 Billion</v>
          </cell>
          <cell r="D23" t="str">
            <v>$500-600 Million</v>
          </cell>
          <cell r="E23">
            <v>5</v>
          </cell>
          <cell r="F23">
            <v>-8</v>
          </cell>
          <cell r="G23">
            <v>5</v>
          </cell>
          <cell r="H23">
            <v>0</v>
          </cell>
          <cell r="I23">
            <v>-5</v>
          </cell>
          <cell r="J23">
            <v>0</v>
          </cell>
          <cell r="K23">
            <v>0</v>
          </cell>
          <cell r="L23">
            <v>-5</v>
          </cell>
          <cell r="M23">
            <v>-5</v>
          </cell>
          <cell r="N23">
            <v>-5</v>
          </cell>
          <cell r="O23">
            <v>1</v>
          </cell>
          <cell r="P23">
            <v>65</v>
          </cell>
          <cell r="Q23">
            <v>35</v>
          </cell>
          <cell r="R23">
            <v>55</v>
          </cell>
          <cell r="S23">
            <v>45</v>
          </cell>
          <cell r="T23" t="str">
            <v>Thin clients</v>
          </cell>
          <cell r="U23" t="str">
            <v>Virtualization</v>
          </cell>
          <cell r="V23" t="str">
            <v>Web based applications</v>
          </cell>
          <cell r="W23" t="str">
            <v>Legacy servers</v>
          </cell>
          <cell r="Z23" t="str">
            <v>Downward revision is more likely</v>
          </cell>
          <cell r="AA23" t="str">
            <v>Any new projects</v>
          </cell>
          <cell r="AB23" t="str">
            <v>Mission critical systems</v>
          </cell>
          <cell r="AC23" t="str">
            <v>No change in level of discounting</v>
          </cell>
          <cell r="AD23" t="str">
            <v>No Change</v>
          </cell>
          <cell r="AE23">
            <v>60</v>
          </cell>
          <cell r="AF23">
            <v>40</v>
          </cell>
          <cell r="AG23">
            <v>0</v>
          </cell>
          <cell r="AH23" t="str">
            <v>50/50</v>
          </cell>
          <cell r="AI23" t="str">
            <v>Over</v>
          </cell>
          <cell r="AJ23">
            <v>2</v>
          </cell>
          <cell r="AK23">
            <v>0</v>
          </cell>
          <cell r="AL23">
            <v>0</v>
          </cell>
          <cell r="AM23">
            <v>7</v>
          </cell>
          <cell r="AN23">
            <v>-10</v>
          </cell>
          <cell r="AO23">
            <v>-5</v>
          </cell>
          <cell r="AP23">
            <v>-5</v>
          </cell>
          <cell r="AQ23">
            <v>-8</v>
          </cell>
          <cell r="AR23" t="str">
            <v>Flat</v>
          </cell>
          <cell r="AS23" t="str">
            <v>Don't Use</v>
          </cell>
          <cell r="AT23" t="str">
            <v>Flat</v>
          </cell>
          <cell r="AU23" t="str">
            <v>Don't Use</v>
          </cell>
          <cell r="AV23" t="str">
            <v>Don't Use</v>
          </cell>
          <cell r="AW23" t="str">
            <v>Decrease</v>
          </cell>
          <cell r="AX23" t="str">
            <v>Flat</v>
          </cell>
          <cell r="AY23" t="str">
            <v>Decrease</v>
          </cell>
          <cell r="AZ23" t="str">
            <v>Don't Use</v>
          </cell>
          <cell r="BA23" t="str">
            <v>Don't Use</v>
          </cell>
          <cell r="BB23" t="str">
            <v>Decrease</v>
          </cell>
          <cell r="BC23" t="str">
            <v>Don't Use</v>
          </cell>
          <cell r="BD23" t="str">
            <v>Don't Use</v>
          </cell>
          <cell r="BE23" t="str">
            <v>Don't Use</v>
          </cell>
          <cell r="BF23" t="str">
            <v>Flat</v>
          </cell>
          <cell r="BG23" t="str">
            <v>Don't Use</v>
          </cell>
          <cell r="BH23" t="str">
            <v>Don't Use</v>
          </cell>
          <cell r="BI23" t="str">
            <v>Doing work internally</v>
          </cell>
          <cell r="BJ23" t="str">
            <v>Doing work internally</v>
          </cell>
          <cell r="BK23" t="str">
            <v>Not Priority</v>
          </cell>
          <cell r="BL23" t="str">
            <v>Already using services provider</v>
          </cell>
          <cell r="BM23" t="str">
            <v>Not Priority</v>
          </cell>
          <cell r="BN23" t="str">
            <v>Not Priority</v>
          </cell>
          <cell r="BO23" t="str">
            <v>Will use services provider 2H12</v>
          </cell>
          <cell r="BP23" t="str">
            <v>Not Priority</v>
          </cell>
          <cell r="BQ23" t="str">
            <v>Not Priority</v>
          </cell>
          <cell r="BR23" t="str">
            <v>Doing work internally</v>
          </cell>
          <cell r="BS23" t="str">
            <v>Doing work internally</v>
          </cell>
          <cell r="BT23" t="str">
            <v>Already using services provider</v>
          </cell>
          <cell r="BU23">
            <v>1</v>
          </cell>
          <cell r="BV23">
            <v>6</v>
          </cell>
          <cell r="BW23">
            <v>3</v>
          </cell>
          <cell r="BX23">
            <v>2</v>
          </cell>
          <cell r="BY23">
            <v>5</v>
          </cell>
          <cell r="BZ23">
            <v>4</v>
          </cell>
          <cell r="CA23">
            <v>7</v>
          </cell>
          <cell r="CB23" t="str">
            <v>Somewhat more aggressive in discounting</v>
          </cell>
        </row>
        <row r="24">
          <cell r="A24" t="str">
            <v>EU</v>
          </cell>
          <cell r="B24" t="str">
            <v>Financial services</v>
          </cell>
          <cell r="C24" t="str">
            <v>$5-10 Billion</v>
          </cell>
          <cell r="D24" t="str">
            <v>$200-300 Million</v>
          </cell>
          <cell r="E24">
            <v>10</v>
          </cell>
          <cell r="F24">
            <v>20</v>
          </cell>
          <cell r="G24">
            <v>50</v>
          </cell>
          <cell r="H24">
            <v>20</v>
          </cell>
          <cell r="I24">
            <v>20</v>
          </cell>
          <cell r="J24">
            <v>10</v>
          </cell>
          <cell r="K24">
            <v>50</v>
          </cell>
          <cell r="L24">
            <v>10</v>
          </cell>
          <cell r="M24">
            <v>20</v>
          </cell>
          <cell r="N24">
            <v>20</v>
          </cell>
          <cell r="O24">
            <v>7</v>
          </cell>
          <cell r="P24">
            <v>70</v>
          </cell>
          <cell r="Q24">
            <v>30</v>
          </cell>
          <cell r="R24">
            <v>50</v>
          </cell>
          <cell r="S24">
            <v>50</v>
          </cell>
          <cell r="T24" t="str">
            <v>NA / No Increase</v>
          </cell>
          <cell r="W24" t="str">
            <v>NA / No Decrease</v>
          </cell>
          <cell r="Z24" t="str">
            <v>Upward revision is more likely</v>
          </cell>
          <cell r="AA24" t="str">
            <v>NA / DK</v>
          </cell>
          <cell r="AB24" t="str">
            <v>NA / DK</v>
          </cell>
          <cell r="AC24" t="str">
            <v>No change in level of discounting</v>
          </cell>
          <cell r="AD24" t="str">
            <v>Somewhat longer</v>
          </cell>
          <cell r="AE24">
            <v>60</v>
          </cell>
          <cell r="AF24">
            <v>30</v>
          </cell>
          <cell r="AG24">
            <v>10</v>
          </cell>
          <cell r="AH24" t="str">
            <v>60/40</v>
          </cell>
          <cell r="AI24" t="str">
            <v>In-Line</v>
          </cell>
          <cell r="AJ24">
            <v>30</v>
          </cell>
          <cell r="AK24">
            <v>0</v>
          </cell>
          <cell r="AL24">
            <v>5</v>
          </cell>
          <cell r="AM24">
            <v>10</v>
          </cell>
          <cell r="AN24">
            <v>20</v>
          </cell>
          <cell r="AO24">
            <v>0</v>
          </cell>
          <cell r="AP24">
            <v>10</v>
          </cell>
          <cell r="AQ24">
            <v>20</v>
          </cell>
          <cell r="AR24" t="str">
            <v>Don't Use</v>
          </cell>
          <cell r="AS24" t="str">
            <v>Don't Use</v>
          </cell>
          <cell r="AT24" t="str">
            <v>Don't Use</v>
          </cell>
          <cell r="AU24" t="str">
            <v>Don't Use</v>
          </cell>
          <cell r="AV24" t="str">
            <v>Don't Use</v>
          </cell>
          <cell r="AW24" t="str">
            <v>Don't Use</v>
          </cell>
          <cell r="AX24" t="str">
            <v>Don't Use</v>
          </cell>
          <cell r="AY24" t="str">
            <v>Don't Use</v>
          </cell>
          <cell r="AZ24" t="str">
            <v>Don't Use</v>
          </cell>
          <cell r="BA24" t="str">
            <v>Flat</v>
          </cell>
          <cell r="BB24" t="str">
            <v>Flat</v>
          </cell>
          <cell r="BC24" t="str">
            <v>Don't Use</v>
          </cell>
          <cell r="BD24" t="str">
            <v>Don't Use</v>
          </cell>
          <cell r="BE24" t="str">
            <v>Don't Use</v>
          </cell>
          <cell r="BF24" t="str">
            <v>Don't Use</v>
          </cell>
          <cell r="BG24" t="str">
            <v>Don't Use</v>
          </cell>
          <cell r="BH24" t="str">
            <v>Don't Use</v>
          </cell>
          <cell r="BI24" t="str">
            <v>Already using services provider</v>
          </cell>
          <cell r="BJ24" t="str">
            <v>Already using services provider</v>
          </cell>
          <cell r="BK24" t="str">
            <v>Doing work internally</v>
          </cell>
          <cell r="BL24" t="str">
            <v>Doing work internally</v>
          </cell>
          <cell r="BM24" t="str">
            <v>Doing work internally</v>
          </cell>
          <cell r="BN24" t="str">
            <v>Doing work internally</v>
          </cell>
          <cell r="BO24" t="str">
            <v>Doing work internally</v>
          </cell>
          <cell r="BP24" t="str">
            <v>Not Priority</v>
          </cell>
          <cell r="BQ24" t="str">
            <v>Doing work internally</v>
          </cell>
          <cell r="BR24" t="str">
            <v>Doing work internally</v>
          </cell>
          <cell r="BS24" t="str">
            <v>Doing work internally</v>
          </cell>
          <cell r="BT24" t="str">
            <v>Doing work internally</v>
          </cell>
          <cell r="BU24">
            <v>4</v>
          </cell>
          <cell r="BW24">
            <v>3</v>
          </cell>
          <cell r="BX24">
            <v>1</v>
          </cell>
          <cell r="BZ24">
            <v>2</v>
          </cell>
          <cell r="CB24" t="str">
            <v>No change in level of discounting</v>
          </cell>
        </row>
        <row r="25">
          <cell r="A25" t="str">
            <v>EU</v>
          </cell>
          <cell r="B25" t="str">
            <v>Healthcare</v>
          </cell>
          <cell r="C25" t="str">
            <v>$500 Million - $1 Billion</v>
          </cell>
          <cell r="D25" t="str">
            <v>&lt;$100 Million</v>
          </cell>
          <cell r="E25">
            <v>10</v>
          </cell>
          <cell r="F25">
            <v>20</v>
          </cell>
          <cell r="G25">
            <v>10</v>
          </cell>
          <cell r="H25">
            <v>10</v>
          </cell>
          <cell r="I25">
            <v>10</v>
          </cell>
          <cell r="J25">
            <v>10</v>
          </cell>
          <cell r="K25">
            <v>20</v>
          </cell>
          <cell r="L25">
            <v>20</v>
          </cell>
          <cell r="M25">
            <v>30</v>
          </cell>
          <cell r="N25">
            <v>10</v>
          </cell>
          <cell r="O25">
            <v>8</v>
          </cell>
          <cell r="P25">
            <v>50</v>
          </cell>
          <cell r="Q25">
            <v>50</v>
          </cell>
          <cell r="R25">
            <v>50</v>
          </cell>
          <cell r="S25">
            <v>50</v>
          </cell>
          <cell r="T25" t="str">
            <v>Narrowbanding radio project</v>
          </cell>
          <cell r="U25" t="str">
            <v>Next-generation EHR project</v>
          </cell>
          <cell r="V25" t="str">
            <v>Storage area network expansion</v>
          </cell>
          <cell r="W25" t="str">
            <v>NA / No Decrease</v>
          </cell>
          <cell r="Z25" t="str">
            <v>‘No change’ to the budget is likely</v>
          </cell>
          <cell r="AA25" t="str">
            <v>NA / DK</v>
          </cell>
          <cell r="AB25" t="str">
            <v>NA / DK</v>
          </cell>
          <cell r="AC25" t="str">
            <v>Somewhat more aggressive in discounting</v>
          </cell>
          <cell r="AD25" t="str">
            <v>No Change</v>
          </cell>
          <cell r="AE25">
            <v>100</v>
          </cell>
          <cell r="AF25">
            <v>0</v>
          </cell>
          <cell r="AG25">
            <v>0</v>
          </cell>
          <cell r="AH25" t="str">
            <v>50/50</v>
          </cell>
          <cell r="AI25" t="str">
            <v>In-Line</v>
          </cell>
          <cell r="AJ25">
            <v>10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 t="str">
            <v>Don't Use</v>
          </cell>
          <cell r="AS25" t="str">
            <v>Don't Use</v>
          </cell>
          <cell r="AT25" t="str">
            <v>Don't Use</v>
          </cell>
          <cell r="AU25" t="str">
            <v>Don't Use</v>
          </cell>
          <cell r="AV25" t="str">
            <v>Don't Use</v>
          </cell>
          <cell r="AW25" t="str">
            <v>Don't Use</v>
          </cell>
          <cell r="AX25" t="str">
            <v>Don't Use</v>
          </cell>
          <cell r="AY25" t="str">
            <v>Don't Use</v>
          </cell>
          <cell r="AZ25" t="str">
            <v>Don't Use</v>
          </cell>
          <cell r="BA25" t="str">
            <v>Don't Use</v>
          </cell>
          <cell r="BB25" t="str">
            <v>Don't Use</v>
          </cell>
          <cell r="BC25" t="str">
            <v>Don't Use</v>
          </cell>
          <cell r="BD25" t="str">
            <v>Don't Use</v>
          </cell>
          <cell r="BE25" t="str">
            <v>Don't Use</v>
          </cell>
          <cell r="BF25" t="str">
            <v>Don't Use</v>
          </cell>
          <cell r="BG25" t="str">
            <v>Don't Use</v>
          </cell>
          <cell r="BH25" t="str">
            <v>Don't Use</v>
          </cell>
          <cell r="BI25" t="str">
            <v>Doing work internally</v>
          </cell>
          <cell r="BJ25" t="str">
            <v>Will use services provider 2H12</v>
          </cell>
          <cell r="BK25" t="str">
            <v>Will use services provider 2H12</v>
          </cell>
          <cell r="BL25" t="str">
            <v>Already using services provider</v>
          </cell>
          <cell r="BM25" t="str">
            <v>Doing work internally</v>
          </cell>
          <cell r="BN25" t="str">
            <v>Not Priority</v>
          </cell>
          <cell r="BO25" t="str">
            <v>Doing work internally</v>
          </cell>
          <cell r="BP25" t="str">
            <v>Not Priority</v>
          </cell>
          <cell r="BQ25" t="str">
            <v>Already using services provider</v>
          </cell>
          <cell r="BR25" t="str">
            <v>Already using services provider</v>
          </cell>
          <cell r="BS25" t="str">
            <v>Not Priority</v>
          </cell>
          <cell r="BT25" t="str">
            <v>Not Priority</v>
          </cell>
          <cell r="BU25">
            <v>1</v>
          </cell>
          <cell r="BW25">
            <v>2</v>
          </cell>
          <cell r="BX25">
            <v>5</v>
          </cell>
          <cell r="BY25">
            <v>4</v>
          </cell>
          <cell r="BZ25">
            <v>3</v>
          </cell>
          <cell r="CB25" t="str">
            <v>No change in level of discounting</v>
          </cell>
        </row>
        <row r="26">
          <cell r="A26" t="str">
            <v>EU</v>
          </cell>
          <cell r="B26" t="str">
            <v>Hospitality / Leisure</v>
          </cell>
          <cell r="C26" t="str">
            <v>$10-15 Billion</v>
          </cell>
          <cell r="D26" t="str">
            <v>$300-400 Million</v>
          </cell>
          <cell r="E26">
            <v>7</v>
          </cell>
          <cell r="F26">
            <v>-5</v>
          </cell>
          <cell r="G26">
            <v>10</v>
          </cell>
          <cell r="H26">
            <v>5</v>
          </cell>
          <cell r="I26">
            <v>0</v>
          </cell>
          <cell r="J26">
            <v>5</v>
          </cell>
          <cell r="K26">
            <v>-5</v>
          </cell>
          <cell r="L26">
            <v>-5</v>
          </cell>
          <cell r="M26">
            <v>-5</v>
          </cell>
          <cell r="N26">
            <v>-10</v>
          </cell>
          <cell r="O26">
            <v>2</v>
          </cell>
          <cell r="P26">
            <v>60</v>
          </cell>
          <cell r="Q26">
            <v>40</v>
          </cell>
          <cell r="R26">
            <v>45</v>
          </cell>
          <cell r="S26">
            <v>55</v>
          </cell>
          <cell r="T26" t="str">
            <v>Hardware infrastructure</v>
          </cell>
          <cell r="U26" t="str">
            <v>ERP</v>
          </cell>
          <cell r="V26" t="str">
            <v>PaaS trial</v>
          </cell>
          <cell r="W26" t="str">
            <v>Software licenses</v>
          </cell>
          <cell r="X26" t="str">
            <v>Finished some application integration with international branches</v>
          </cell>
          <cell r="Z26" t="str">
            <v>Equal chance of upward or downward revision</v>
          </cell>
          <cell r="AA26" t="str">
            <v>NA / DK</v>
          </cell>
          <cell r="AB26" t="str">
            <v>NA / DK</v>
          </cell>
          <cell r="AC26" t="str">
            <v>No change in level of discounting</v>
          </cell>
          <cell r="AD26" t="str">
            <v>Somewhat longer</v>
          </cell>
          <cell r="AE26">
            <v>70</v>
          </cell>
          <cell r="AF26">
            <v>10</v>
          </cell>
          <cell r="AG26">
            <v>20</v>
          </cell>
          <cell r="AH26" t="str">
            <v>70/30</v>
          </cell>
          <cell r="AI26" t="str">
            <v>In-Line</v>
          </cell>
          <cell r="AJ26">
            <v>10</v>
          </cell>
          <cell r="AK26">
            <v>0</v>
          </cell>
          <cell r="AL26">
            <v>8</v>
          </cell>
          <cell r="AM26">
            <v>3</v>
          </cell>
          <cell r="AN26">
            <v>-15</v>
          </cell>
          <cell r="AO26">
            <v>-10</v>
          </cell>
          <cell r="AP26">
            <v>-10</v>
          </cell>
          <cell r="AQ26">
            <v>-10</v>
          </cell>
          <cell r="AR26" t="str">
            <v>Don't Use</v>
          </cell>
          <cell r="AS26" t="str">
            <v>Don't Use</v>
          </cell>
          <cell r="AT26" t="str">
            <v>Don't Use</v>
          </cell>
          <cell r="AU26" t="str">
            <v>Don't Use</v>
          </cell>
          <cell r="AV26" t="str">
            <v>Don't Use</v>
          </cell>
          <cell r="AW26" t="str">
            <v>Don't Use</v>
          </cell>
          <cell r="AX26" t="str">
            <v>Don't Use</v>
          </cell>
          <cell r="AY26" t="str">
            <v>Don't Use</v>
          </cell>
          <cell r="AZ26" t="str">
            <v>Don't Use</v>
          </cell>
          <cell r="BA26" t="str">
            <v>Flat</v>
          </cell>
          <cell r="BB26" t="str">
            <v>Flat</v>
          </cell>
          <cell r="BC26" t="str">
            <v>Don't Use</v>
          </cell>
          <cell r="BD26" t="str">
            <v>Don't Use</v>
          </cell>
          <cell r="BE26" t="str">
            <v>Don't Use</v>
          </cell>
          <cell r="BF26" t="str">
            <v>Don't Use</v>
          </cell>
          <cell r="BG26" t="str">
            <v>Don't Use</v>
          </cell>
          <cell r="BH26" t="str">
            <v>Don't Use</v>
          </cell>
          <cell r="BI26" t="str">
            <v>Doing work internally</v>
          </cell>
          <cell r="BJ26" t="str">
            <v>Already using services provider</v>
          </cell>
          <cell r="BK26" t="str">
            <v>Already using services provider</v>
          </cell>
          <cell r="BL26" t="str">
            <v>Not Priority</v>
          </cell>
          <cell r="BM26" t="str">
            <v>Doing work internally</v>
          </cell>
          <cell r="BN26" t="str">
            <v>Doing work internally</v>
          </cell>
          <cell r="BO26" t="str">
            <v>Doing work internally</v>
          </cell>
          <cell r="BP26" t="str">
            <v>Not Priority</v>
          </cell>
          <cell r="BQ26" t="str">
            <v>Doing work internally</v>
          </cell>
          <cell r="BR26" t="str">
            <v>Doing work internally</v>
          </cell>
          <cell r="BS26" t="str">
            <v>Not Priority</v>
          </cell>
          <cell r="BT26" t="str">
            <v>Not Priority</v>
          </cell>
          <cell r="BU26">
            <v>2</v>
          </cell>
          <cell r="BV26">
            <v>5</v>
          </cell>
          <cell r="BW26">
            <v>7</v>
          </cell>
          <cell r="BX26">
            <v>4</v>
          </cell>
          <cell r="BY26">
            <v>3</v>
          </cell>
          <cell r="BZ26">
            <v>1</v>
          </cell>
          <cell r="CA26">
            <v>6</v>
          </cell>
          <cell r="CB26" t="str">
            <v>Somewhat more aggressive in discounting</v>
          </cell>
        </row>
        <row r="27">
          <cell r="A27" t="str">
            <v>EU</v>
          </cell>
          <cell r="B27" t="str">
            <v>Manufacturing</v>
          </cell>
          <cell r="C27" t="str">
            <v>$5-10 Billion</v>
          </cell>
          <cell r="D27" t="str">
            <v>$100-200 Million</v>
          </cell>
          <cell r="E27">
            <v>-8</v>
          </cell>
          <cell r="F27">
            <v>5</v>
          </cell>
          <cell r="G27">
            <v>-9</v>
          </cell>
          <cell r="H27">
            <v>-10</v>
          </cell>
          <cell r="I27">
            <v>-5</v>
          </cell>
          <cell r="J27">
            <v>-3</v>
          </cell>
          <cell r="K27">
            <v>5</v>
          </cell>
          <cell r="L27">
            <v>5</v>
          </cell>
          <cell r="M27">
            <v>2</v>
          </cell>
          <cell r="N27">
            <v>-10</v>
          </cell>
          <cell r="O27">
            <v>2</v>
          </cell>
          <cell r="P27">
            <v>30</v>
          </cell>
          <cell r="Q27">
            <v>70</v>
          </cell>
          <cell r="R27">
            <v>40</v>
          </cell>
          <cell r="S27">
            <v>60</v>
          </cell>
          <cell r="T27" t="str">
            <v>Application development</v>
          </cell>
          <cell r="U27" t="str">
            <v>Open source software</v>
          </cell>
          <cell r="V27" t="str">
            <v>ERP</v>
          </cell>
          <cell r="W27" t="str">
            <v>Network updates</v>
          </cell>
          <cell r="X27" t="str">
            <v>Outside services</v>
          </cell>
          <cell r="Z27" t="str">
            <v>Equal chance of upward or downward revision</v>
          </cell>
          <cell r="AA27" t="str">
            <v>Everything subject to cuts</v>
          </cell>
          <cell r="AB27" t="str">
            <v>ERP project</v>
          </cell>
          <cell r="AC27" t="str">
            <v>No change in level of discounting</v>
          </cell>
          <cell r="AD27" t="str">
            <v>Somewhat longer</v>
          </cell>
          <cell r="AE27">
            <v>50</v>
          </cell>
          <cell r="AF27">
            <v>30</v>
          </cell>
          <cell r="AG27">
            <v>20</v>
          </cell>
          <cell r="AH27" t="str">
            <v>60/40</v>
          </cell>
          <cell r="AI27" t="str">
            <v>In-Line</v>
          </cell>
          <cell r="AJ27">
            <v>5</v>
          </cell>
          <cell r="AK27">
            <v>0</v>
          </cell>
          <cell r="AL27">
            <v>0</v>
          </cell>
          <cell r="AM27">
            <v>0</v>
          </cell>
          <cell r="AN27">
            <v>-10</v>
          </cell>
          <cell r="AO27">
            <v>-5</v>
          </cell>
          <cell r="AP27">
            <v>-8</v>
          </cell>
          <cell r="AQ27">
            <v>0</v>
          </cell>
          <cell r="AR27" t="str">
            <v>Don't Use</v>
          </cell>
          <cell r="AS27" t="str">
            <v>Don't Use</v>
          </cell>
          <cell r="AT27" t="str">
            <v>Decrease</v>
          </cell>
          <cell r="AU27" t="str">
            <v>Don't Use</v>
          </cell>
          <cell r="AV27" t="str">
            <v>Don't Use</v>
          </cell>
          <cell r="AW27" t="str">
            <v>Don't Use</v>
          </cell>
          <cell r="AX27" t="str">
            <v>Don't Use</v>
          </cell>
          <cell r="AY27" t="str">
            <v>Don't Use</v>
          </cell>
          <cell r="AZ27" t="str">
            <v>Don't Use</v>
          </cell>
          <cell r="BA27" t="str">
            <v>Decrease</v>
          </cell>
          <cell r="BB27" t="str">
            <v>Don't Use</v>
          </cell>
          <cell r="BC27" t="str">
            <v>Don't Use</v>
          </cell>
          <cell r="BD27" t="str">
            <v>Flat</v>
          </cell>
          <cell r="BE27" t="str">
            <v>Don't Use</v>
          </cell>
          <cell r="BF27" t="str">
            <v>Don't Use</v>
          </cell>
          <cell r="BG27" t="str">
            <v>Flat</v>
          </cell>
          <cell r="BH27" t="str">
            <v>Don't Use</v>
          </cell>
          <cell r="BI27" t="str">
            <v>Doing work internally</v>
          </cell>
          <cell r="BJ27" t="str">
            <v>Already using services provider</v>
          </cell>
          <cell r="BK27" t="str">
            <v>Not Priority</v>
          </cell>
          <cell r="BL27" t="str">
            <v>Doing work internally</v>
          </cell>
          <cell r="BM27" t="str">
            <v>Doing work internally</v>
          </cell>
          <cell r="BN27" t="str">
            <v>Already using services provider</v>
          </cell>
          <cell r="BO27" t="str">
            <v>Doing work internally</v>
          </cell>
          <cell r="BP27" t="str">
            <v>Not Priority</v>
          </cell>
          <cell r="BQ27" t="str">
            <v>Not Priority</v>
          </cell>
          <cell r="BR27" t="str">
            <v>Not Priority</v>
          </cell>
          <cell r="BS27" t="str">
            <v>Already using services provider</v>
          </cell>
          <cell r="BT27" t="str">
            <v>Doing work internally</v>
          </cell>
          <cell r="BU27">
            <v>3</v>
          </cell>
          <cell r="BV27">
            <v>5</v>
          </cell>
          <cell r="BW27">
            <v>4</v>
          </cell>
          <cell r="BX27">
            <v>2</v>
          </cell>
          <cell r="BY27">
            <v>7</v>
          </cell>
          <cell r="BZ27">
            <v>1</v>
          </cell>
          <cell r="CA27">
            <v>6</v>
          </cell>
          <cell r="CB27" t="str">
            <v>Significantly more aggressive in discounting</v>
          </cell>
        </row>
        <row r="28">
          <cell r="A28" t="str">
            <v>EU</v>
          </cell>
          <cell r="B28" t="str">
            <v>Manufacturing</v>
          </cell>
          <cell r="C28" t="str">
            <v>$1-5 Billion</v>
          </cell>
          <cell r="D28" t="str">
            <v>$100-200 Million</v>
          </cell>
          <cell r="E28">
            <v>10</v>
          </cell>
          <cell r="F28">
            <v>5</v>
          </cell>
          <cell r="G28">
            <v>10</v>
          </cell>
          <cell r="H28">
            <v>5</v>
          </cell>
          <cell r="I28">
            <v>5</v>
          </cell>
          <cell r="J28">
            <v>15</v>
          </cell>
          <cell r="K28">
            <v>20</v>
          </cell>
          <cell r="L28">
            <v>15</v>
          </cell>
          <cell r="M28">
            <v>5</v>
          </cell>
          <cell r="N28">
            <v>5</v>
          </cell>
          <cell r="O28">
            <v>8</v>
          </cell>
          <cell r="P28">
            <v>35</v>
          </cell>
          <cell r="Q28">
            <v>65</v>
          </cell>
          <cell r="R28">
            <v>50</v>
          </cell>
          <cell r="S28">
            <v>50</v>
          </cell>
          <cell r="T28" t="str">
            <v>Network redundancy</v>
          </cell>
          <cell r="U28" t="str">
            <v>Collaboration</v>
          </cell>
          <cell r="V28" t="str">
            <v>Virtualization</v>
          </cell>
          <cell r="W28" t="str">
            <v>3rd Party Services</v>
          </cell>
          <cell r="X28" t="str">
            <v>Off-Shore</v>
          </cell>
          <cell r="Y28" t="str">
            <v>Application Development</v>
          </cell>
          <cell r="Z28" t="str">
            <v>Downward revision is more likely</v>
          </cell>
          <cell r="AA28" t="str">
            <v>Collaboration tools</v>
          </cell>
          <cell r="AB28" t="str">
            <v>Mission critical systems</v>
          </cell>
          <cell r="AC28" t="str">
            <v>Somewhat less aggressive in discounting</v>
          </cell>
          <cell r="AD28" t="str">
            <v>Somewhat longer</v>
          </cell>
          <cell r="AE28">
            <v>50</v>
          </cell>
          <cell r="AF28">
            <v>50</v>
          </cell>
          <cell r="AG28">
            <v>0</v>
          </cell>
          <cell r="AH28" t="str">
            <v>40/60</v>
          </cell>
          <cell r="AI28" t="str">
            <v>In-Line</v>
          </cell>
          <cell r="AJ28">
            <v>13</v>
          </cell>
          <cell r="AK28">
            <v>12</v>
          </cell>
          <cell r="AL28">
            <v>10</v>
          </cell>
          <cell r="AM28">
            <v>0</v>
          </cell>
          <cell r="AN28">
            <v>0</v>
          </cell>
          <cell r="AO28">
            <v>0</v>
          </cell>
          <cell r="AP28">
            <v>3</v>
          </cell>
          <cell r="AQ28">
            <v>2.5</v>
          </cell>
          <cell r="AR28" t="str">
            <v>Don't Use</v>
          </cell>
          <cell r="AS28" t="str">
            <v>Don't Use</v>
          </cell>
          <cell r="AT28" t="str">
            <v>Don't Use</v>
          </cell>
          <cell r="AU28" t="str">
            <v>Don't Use</v>
          </cell>
          <cell r="AV28" t="str">
            <v>Don't Use</v>
          </cell>
          <cell r="AW28" t="str">
            <v>Don't Use</v>
          </cell>
          <cell r="AX28" t="str">
            <v>Don't Use</v>
          </cell>
          <cell r="AY28" t="str">
            <v>Don't Use</v>
          </cell>
          <cell r="AZ28" t="str">
            <v>Flat</v>
          </cell>
          <cell r="BA28" t="str">
            <v>Don't Use</v>
          </cell>
          <cell r="BB28" t="str">
            <v>Don't Use</v>
          </cell>
          <cell r="BC28" t="str">
            <v>Don't Use</v>
          </cell>
          <cell r="BD28" t="str">
            <v>Don't Use</v>
          </cell>
          <cell r="BE28" t="str">
            <v>Don't Use</v>
          </cell>
          <cell r="BF28" t="str">
            <v>Don't Use</v>
          </cell>
          <cell r="BG28" t="str">
            <v>Don't Use</v>
          </cell>
          <cell r="BH28" t="str">
            <v>Don't Use</v>
          </cell>
          <cell r="BI28" t="str">
            <v>Already using services provider</v>
          </cell>
          <cell r="BJ28" t="str">
            <v>Not Priority</v>
          </cell>
          <cell r="BK28" t="str">
            <v>Not Priority</v>
          </cell>
          <cell r="BL28" t="str">
            <v>Doing work internally</v>
          </cell>
          <cell r="BM28" t="str">
            <v>Will use services provider 2H12</v>
          </cell>
          <cell r="BN28" t="str">
            <v>Doing work internally</v>
          </cell>
          <cell r="BO28" t="str">
            <v>Will use services provider 1H12</v>
          </cell>
          <cell r="BP28" t="str">
            <v>Not Priority</v>
          </cell>
          <cell r="BQ28" t="str">
            <v>Doing work internally</v>
          </cell>
          <cell r="BR28" t="str">
            <v>Not Priority</v>
          </cell>
          <cell r="BS28" t="str">
            <v>Not Priority</v>
          </cell>
          <cell r="BT28" t="str">
            <v>Doing work internally</v>
          </cell>
          <cell r="BU28">
            <v>2</v>
          </cell>
          <cell r="BX28">
            <v>1</v>
          </cell>
          <cell r="BY28">
            <v>3</v>
          </cell>
          <cell r="BZ28">
            <v>4</v>
          </cell>
          <cell r="CB28" t="str">
            <v>No change in level of discounting</v>
          </cell>
        </row>
        <row r="29">
          <cell r="A29" t="str">
            <v>EU</v>
          </cell>
          <cell r="B29" t="str">
            <v>Manufacturing</v>
          </cell>
          <cell r="C29" t="str">
            <v>$1-5 Billion</v>
          </cell>
          <cell r="D29" t="str">
            <v>&lt;$100 Million</v>
          </cell>
          <cell r="E29">
            <v>-20</v>
          </cell>
          <cell r="F29">
            <v>-30</v>
          </cell>
          <cell r="G29">
            <v>-15</v>
          </cell>
          <cell r="H29">
            <v>-10</v>
          </cell>
          <cell r="I29">
            <v>-10</v>
          </cell>
          <cell r="J29">
            <v>-20</v>
          </cell>
          <cell r="K29">
            <v>-20</v>
          </cell>
          <cell r="L29">
            <v>-20</v>
          </cell>
          <cell r="M29">
            <v>-15</v>
          </cell>
          <cell r="N29">
            <v>-25</v>
          </cell>
          <cell r="O29">
            <v>1</v>
          </cell>
          <cell r="P29">
            <v>40</v>
          </cell>
          <cell r="Q29">
            <v>60</v>
          </cell>
          <cell r="R29">
            <v>50</v>
          </cell>
          <cell r="S29">
            <v>50</v>
          </cell>
          <cell r="T29" t="str">
            <v>Thin client initiative for certain functions</v>
          </cell>
          <cell r="U29" t="str">
            <v>VoIP</v>
          </cell>
          <cell r="V29" t="str">
            <v>Videoconferencing</v>
          </cell>
          <cell r="W29" t="str">
            <v>Server upgrades</v>
          </cell>
          <cell r="X29" t="str">
            <v>HR applications</v>
          </cell>
          <cell r="Z29" t="str">
            <v>Upward revision is more likely</v>
          </cell>
          <cell r="AA29" t="str">
            <v>New hires</v>
          </cell>
          <cell r="AB29" t="str">
            <v>Maintenance spending</v>
          </cell>
          <cell r="AC29" t="str">
            <v>Somewhat more aggressive in discounting</v>
          </cell>
          <cell r="AD29" t="str">
            <v>Somewhat longer</v>
          </cell>
          <cell r="AE29">
            <v>95</v>
          </cell>
          <cell r="AF29">
            <v>5</v>
          </cell>
          <cell r="AG29">
            <v>0</v>
          </cell>
          <cell r="AH29" t="str">
            <v>50/50</v>
          </cell>
          <cell r="AI29" t="str">
            <v>In-Line</v>
          </cell>
          <cell r="AJ29">
            <v>-15</v>
          </cell>
          <cell r="AK29">
            <v>-5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-5</v>
          </cell>
          <cell r="AR29" t="str">
            <v>Flat</v>
          </cell>
          <cell r="AS29" t="str">
            <v>Don't Use</v>
          </cell>
          <cell r="AT29" t="str">
            <v>Don't Use</v>
          </cell>
          <cell r="AU29" t="str">
            <v>Don't Use</v>
          </cell>
          <cell r="AV29" t="str">
            <v>Don't Use</v>
          </cell>
          <cell r="AW29" t="str">
            <v>Don't Use</v>
          </cell>
          <cell r="AX29" t="str">
            <v>Don't Use</v>
          </cell>
          <cell r="AY29" t="str">
            <v>Don't Use</v>
          </cell>
          <cell r="AZ29" t="str">
            <v>Increase</v>
          </cell>
          <cell r="BA29" t="str">
            <v>Don't Use</v>
          </cell>
          <cell r="BB29" t="str">
            <v>Flat</v>
          </cell>
          <cell r="BC29" t="str">
            <v>Don't Use</v>
          </cell>
          <cell r="BD29" t="str">
            <v>Don't Use</v>
          </cell>
          <cell r="BE29" t="str">
            <v>Don't Use</v>
          </cell>
          <cell r="BF29" t="str">
            <v>Flat</v>
          </cell>
          <cell r="BG29" t="str">
            <v>Flat</v>
          </cell>
          <cell r="BH29" t="str">
            <v>Don't Use</v>
          </cell>
          <cell r="BI29" t="str">
            <v>Not Priority</v>
          </cell>
          <cell r="BJ29" t="str">
            <v>Not Priority</v>
          </cell>
          <cell r="BK29" t="str">
            <v>Doing work internally</v>
          </cell>
          <cell r="BL29" t="str">
            <v>Doing work internally</v>
          </cell>
          <cell r="BM29" t="str">
            <v>Not Priority</v>
          </cell>
          <cell r="BN29" t="str">
            <v>Not Priority</v>
          </cell>
          <cell r="BO29" t="str">
            <v>Not Priority</v>
          </cell>
          <cell r="BP29" t="str">
            <v>Not Priority</v>
          </cell>
          <cell r="BQ29" t="str">
            <v>Not Priority</v>
          </cell>
          <cell r="BR29" t="str">
            <v>Not Priority</v>
          </cell>
          <cell r="BS29" t="str">
            <v>Not Priority</v>
          </cell>
          <cell r="BT29" t="str">
            <v>Will use services provider 2H12</v>
          </cell>
          <cell r="BU29">
            <v>5</v>
          </cell>
          <cell r="BV29">
            <v>7</v>
          </cell>
          <cell r="BW29">
            <v>6</v>
          </cell>
          <cell r="BX29">
            <v>1</v>
          </cell>
          <cell r="BY29">
            <v>3</v>
          </cell>
          <cell r="BZ29">
            <v>4</v>
          </cell>
          <cell r="CA29">
            <v>2</v>
          </cell>
          <cell r="CB29" t="str">
            <v>Somewhat more aggressive in discounting</v>
          </cell>
        </row>
        <row r="30">
          <cell r="A30" t="str">
            <v>EU</v>
          </cell>
          <cell r="B30" t="str">
            <v>Manufacturing</v>
          </cell>
          <cell r="C30" t="str">
            <v>$1-5 Billion</v>
          </cell>
          <cell r="D30" t="str">
            <v>$100-200 Million</v>
          </cell>
          <cell r="E30">
            <v>-10</v>
          </cell>
          <cell r="F30">
            <v>-8</v>
          </cell>
          <cell r="G30">
            <v>-5</v>
          </cell>
          <cell r="H30">
            <v>-5</v>
          </cell>
          <cell r="I30">
            <v>-5</v>
          </cell>
          <cell r="J30">
            <v>-10</v>
          </cell>
          <cell r="K30">
            <v>-5</v>
          </cell>
          <cell r="L30">
            <v>-8</v>
          </cell>
          <cell r="M30">
            <v>-10</v>
          </cell>
          <cell r="N30">
            <v>-5</v>
          </cell>
          <cell r="O30">
            <v>4</v>
          </cell>
          <cell r="P30">
            <v>45</v>
          </cell>
          <cell r="Q30">
            <v>55</v>
          </cell>
          <cell r="R30">
            <v>40</v>
          </cell>
          <cell r="S30">
            <v>60</v>
          </cell>
          <cell r="T30" t="str">
            <v>Talent management</v>
          </cell>
          <cell r="U30" t="str">
            <v>Data integration</v>
          </cell>
          <cell r="V30" t="str">
            <v>Cloud based initiatives</v>
          </cell>
          <cell r="W30" t="str">
            <v>Expanding network access</v>
          </cell>
          <cell r="X30" t="str">
            <v>Application development</v>
          </cell>
          <cell r="Z30" t="str">
            <v>Equal chance of upward or downward revision</v>
          </cell>
          <cell r="AA30" t="str">
            <v>Consulting / Outsourcing</v>
          </cell>
          <cell r="AB30" t="str">
            <v>Maintenance spending</v>
          </cell>
          <cell r="AC30" t="str">
            <v>Somewhat less aggressive in discounting</v>
          </cell>
          <cell r="AD30" t="str">
            <v>Somewhat longer</v>
          </cell>
          <cell r="AE30">
            <v>100</v>
          </cell>
          <cell r="AF30">
            <v>0</v>
          </cell>
          <cell r="AG30">
            <v>0</v>
          </cell>
          <cell r="AH30" t="str">
            <v>50/50</v>
          </cell>
          <cell r="AI30" t="str">
            <v>In-Line</v>
          </cell>
          <cell r="AJ30">
            <v>2</v>
          </cell>
          <cell r="AK30" t="str">
            <v>NA / DK</v>
          </cell>
          <cell r="AL30" t="str">
            <v>NA / DK</v>
          </cell>
          <cell r="AM30" t="str">
            <v>NA / DK</v>
          </cell>
          <cell r="AN30">
            <v>-5</v>
          </cell>
          <cell r="AO30" t="str">
            <v>NA / DK</v>
          </cell>
          <cell r="AP30" t="str">
            <v>NA / DK</v>
          </cell>
          <cell r="AQ30" t="str">
            <v>NA / DK</v>
          </cell>
          <cell r="AR30" t="str">
            <v>Don't Use</v>
          </cell>
          <cell r="AS30" t="str">
            <v>Don't Use</v>
          </cell>
          <cell r="AT30" t="str">
            <v>Don't Use</v>
          </cell>
          <cell r="AU30" t="str">
            <v>Don't Use</v>
          </cell>
          <cell r="AV30" t="str">
            <v>Don't Use</v>
          </cell>
          <cell r="AW30" t="str">
            <v>Don't Use</v>
          </cell>
          <cell r="AX30" t="str">
            <v>Don't Use</v>
          </cell>
          <cell r="AY30" t="str">
            <v>Don't Use</v>
          </cell>
          <cell r="AZ30" t="str">
            <v>Flat</v>
          </cell>
          <cell r="BA30" t="str">
            <v>Don't Use</v>
          </cell>
          <cell r="BB30" t="str">
            <v>Don't Use</v>
          </cell>
          <cell r="BC30" t="str">
            <v>Don't Use</v>
          </cell>
          <cell r="BD30" t="str">
            <v>Don't Use</v>
          </cell>
          <cell r="BE30" t="str">
            <v>Flat</v>
          </cell>
          <cell r="BF30" t="str">
            <v>Don't Use</v>
          </cell>
          <cell r="BG30" t="str">
            <v>Don't Use</v>
          </cell>
          <cell r="BH30" t="str">
            <v>Don't Use</v>
          </cell>
          <cell r="BI30" t="str">
            <v>Not Priority</v>
          </cell>
          <cell r="BJ30" t="str">
            <v>Not Priority</v>
          </cell>
          <cell r="BK30" t="str">
            <v>Doing work internally</v>
          </cell>
          <cell r="BL30" t="str">
            <v>Doing work internally</v>
          </cell>
          <cell r="BM30" t="str">
            <v>Doing work internally</v>
          </cell>
          <cell r="BN30" t="str">
            <v>Already using services provider</v>
          </cell>
          <cell r="BO30" t="str">
            <v>Doing work internally</v>
          </cell>
          <cell r="BP30" t="str">
            <v>Doing work internally</v>
          </cell>
          <cell r="BQ30" t="str">
            <v>Doing work internally</v>
          </cell>
          <cell r="BR30" t="str">
            <v>Not Priority</v>
          </cell>
          <cell r="BS30" t="str">
            <v>Not Priority</v>
          </cell>
          <cell r="BT30" t="str">
            <v>Already using services provider</v>
          </cell>
          <cell r="BU30">
            <v>3</v>
          </cell>
          <cell r="BV30">
            <v>5</v>
          </cell>
          <cell r="BW30">
            <v>6</v>
          </cell>
          <cell r="BX30">
            <v>1</v>
          </cell>
          <cell r="BY30">
            <v>7</v>
          </cell>
          <cell r="BZ30">
            <v>4</v>
          </cell>
          <cell r="CA30">
            <v>2</v>
          </cell>
          <cell r="CB30" t="str">
            <v>Somewhat more aggressive in discounting</v>
          </cell>
        </row>
        <row r="31">
          <cell r="A31" t="str">
            <v>EU</v>
          </cell>
          <cell r="B31" t="str">
            <v>Manufacturing</v>
          </cell>
          <cell r="C31" t="str">
            <v>$5-10 Billion</v>
          </cell>
          <cell r="D31" t="str">
            <v>&gt;$700 Million</v>
          </cell>
          <cell r="E31">
            <v>12</v>
          </cell>
          <cell r="F31">
            <v>15</v>
          </cell>
          <cell r="G31">
            <v>15</v>
          </cell>
          <cell r="H31">
            <v>10</v>
          </cell>
          <cell r="I31">
            <v>10</v>
          </cell>
          <cell r="J31">
            <v>8</v>
          </cell>
          <cell r="K31">
            <v>15</v>
          </cell>
          <cell r="L31">
            <v>10</v>
          </cell>
          <cell r="M31">
            <v>15</v>
          </cell>
          <cell r="N31">
            <v>10</v>
          </cell>
          <cell r="O31">
            <v>8</v>
          </cell>
          <cell r="P31">
            <v>50</v>
          </cell>
          <cell r="Q31">
            <v>50</v>
          </cell>
          <cell r="R31">
            <v>50</v>
          </cell>
          <cell r="S31">
            <v>50</v>
          </cell>
          <cell r="T31" t="str">
            <v>Server updates</v>
          </cell>
          <cell r="U31" t="str">
            <v>SCM applications</v>
          </cell>
          <cell r="V31" t="str">
            <v>Bandwidth speeds</v>
          </cell>
          <cell r="W31" t="str">
            <v>Budget set</v>
          </cell>
          <cell r="Z31" t="str">
            <v>‘No change’ to the budget is likely</v>
          </cell>
          <cell r="AA31" t="str">
            <v>Budget set, will not be changed</v>
          </cell>
          <cell r="AB31" t="str">
            <v>Budget set, will not be changed</v>
          </cell>
          <cell r="AC31" t="str">
            <v>Somewhat more aggressive in discounting</v>
          </cell>
          <cell r="AD31" t="str">
            <v>Significantly longer</v>
          </cell>
          <cell r="AE31">
            <v>85</v>
          </cell>
          <cell r="AF31">
            <v>15</v>
          </cell>
          <cell r="AG31">
            <v>0</v>
          </cell>
          <cell r="AH31" t="str">
            <v>50/50</v>
          </cell>
          <cell r="AI31" t="str">
            <v>Over</v>
          </cell>
          <cell r="AJ31">
            <v>5</v>
          </cell>
          <cell r="AK31" t="str">
            <v>NA / DK</v>
          </cell>
          <cell r="AL31">
            <v>5</v>
          </cell>
          <cell r="AM31">
            <v>2</v>
          </cell>
          <cell r="AN31">
            <v>3</v>
          </cell>
          <cell r="AO31" t="str">
            <v>NA / DK</v>
          </cell>
          <cell r="AP31">
            <v>0</v>
          </cell>
          <cell r="AQ31">
            <v>3</v>
          </cell>
          <cell r="AR31" t="str">
            <v>Flat</v>
          </cell>
          <cell r="AS31" t="str">
            <v>Flat</v>
          </cell>
          <cell r="AT31" t="str">
            <v>Flat</v>
          </cell>
          <cell r="AU31" t="str">
            <v>Flat</v>
          </cell>
          <cell r="AV31" t="str">
            <v>Increase</v>
          </cell>
          <cell r="AW31" t="str">
            <v>Don't Use</v>
          </cell>
          <cell r="AX31" t="str">
            <v>Don't Use</v>
          </cell>
          <cell r="AY31" t="str">
            <v>Don't Use</v>
          </cell>
          <cell r="AZ31" t="str">
            <v>Don't Use</v>
          </cell>
          <cell r="BA31" t="str">
            <v>Flat</v>
          </cell>
          <cell r="BB31" t="str">
            <v>Increase</v>
          </cell>
          <cell r="BC31" t="str">
            <v>Don't Use</v>
          </cell>
          <cell r="BD31" t="str">
            <v>Increase</v>
          </cell>
          <cell r="BE31" t="str">
            <v>Don't Use</v>
          </cell>
          <cell r="BF31" t="str">
            <v>Don't Use</v>
          </cell>
          <cell r="BG31" t="str">
            <v>Don't Use</v>
          </cell>
          <cell r="BH31" t="str">
            <v>Don't Use</v>
          </cell>
          <cell r="BI31" t="str">
            <v>Will use services provider 2H12</v>
          </cell>
          <cell r="BJ31" t="str">
            <v>Will use services provider 2H12</v>
          </cell>
          <cell r="BK31" t="str">
            <v>Not Priority</v>
          </cell>
          <cell r="BL31" t="str">
            <v>Doing work internally</v>
          </cell>
          <cell r="BM31" t="str">
            <v>Already using services provider</v>
          </cell>
          <cell r="BN31" t="str">
            <v>Already using services provider</v>
          </cell>
          <cell r="BO31" t="str">
            <v>Doing work internally</v>
          </cell>
          <cell r="BP31" t="str">
            <v>Not Priority</v>
          </cell>
          <cell r="BQ31" t="str">
            <v>Already using services provider</v>
          </cell>
          <cell r="BR31" t="str">
            <v>Will use services provider 2H12</v>
          </cell>
          <cell r="BS31" t="str">
            <v>Not Priority</v>
          </cell>
          <cell r="BT31" t="str">
            <v>Not Priority</v>
          </cell>
          <cell r="BU31">
            <v>5</v>
          </cell>
          <cell r="BV31">
            <v>2</v>
          </cell>
          <cell r="BW31">
            <v>6</v>
          </cell>
          <cell r="BX31">
            <v>1</v>
          </cell>
          <cell r="BY31">
            <v>7</v>
          </cell>
          <cell r="BZ31">
            <v>4</v>
          </cell>
          <cell r="CA31">
            <v>3</v>
          </cell>
          <cell r="CB31" t="str">
            <v>No change in level of discounting</v>
          </cell>
        </row>
        <row r="32">
          <cell r="A32" t="str">
            <v>EU</v>
          </cell>
          <cell r="B32" t="str">
            <v>Manufacturing</v>
          </cell>
          <cell r="C32" t="str">
            <v>$1-5 Billion</v>
          </cell>
          <cell r="D32" t="str">
            <v>$400-500 Million</v>
          </cell>
          <cell r="E32">
            <v>5</v>
          </cell>
          <cell r="F32">
            <v>8</v>
          </cell>
          <cell r="G32">
            <v>5</v>
          </cell>
          <cell r="H32">
            <v>3</v>
          </cell>
          <cell r="I32">
            <v>0</v>
          </cell>
          <cell r="J32">
            <v>0</v>
          </cell>
          <cell r="K32">
            <v>5</v>
          </cell>
          <cell r="L32">
            <v>3</v>
          </cell>
          <cell r="M32">
            <v>5</v>
          </cell>
          <cell r="N32">
            <v>0</v>
          </cell>
          <cell r="O32">
            <v>10</v>
          </cell>
          <cell r="P32">
            <v>50</v>
          </cell>
          <cell r="Q32">
            <v>50</v>
          </cell>
          <cell r="R32">
            <v>50</v>
          </cell>
          <cell r="S32">
            <v>50</v>
          </cell>
          <cell r="T32" t="str">
            <v>Online security monitoring</v>
          </cell>
          <cell r="U32" t="str">
            <v>Global maintenance program</v>
          </cell>
          <cell r="V32" t="str">
            <v>Windows 7</v>
          </cell>
          <cell r="W32" t="str">
            <v>Collaboration tools</v>
          </cell>
          <cell r="X32" t="str">
            <v>Virtualization</v>
          </cell>
          <cell r="Z32" t="str">
            <v>Upward revision is more likely</v>
          </cell>
          <cell r="AA32" t="str">
            <v>Windows upgrade</v>
          </cell>
          <cell r="AB32" t="str">
            <v>Security projects</v>
          </cell>
          <cell r="AC32" t="str">
            <v>Somewhat more aggressive in discounting</v>
          </cell>
          <cell r="AD32" t="str">
            <v>No Change</v>
          </cell>
          <cell r="AE32">
            <v>80</v>
          </cell>
          <cell r="AF32">
            <v>20</v>
          </cell>
          <cell r="AG32">
            <v>0</v>
          </cell>
          <cell r="AH32" t="str">
            <v>50/50</v>
          </cell>
          <cell r="AI32" t="str">
            <v>In-Line</v>
          </cell>
          <cell r="AJ32">
            <v>5</v>
          </cell>
          <cell r="AK32">
            <v>5</v>
          </cell>
          <cell r="AL32">
            <v>2</v>
          </cell>
          <cell r="AM32">
            <v>0</v>
          </cell>
          <cell r="AN32">
            <v>10</v>
          </cell>
          <cell r="AO32">
            <v>3</v>
          </cell>
          <cell r="AP32">
            <v>5</v>
          </cell>
          <cell r="AQ32">
            <v>5</v>
          </cell>
          <cell r="AR32" t="str">
            <v>Don't Use</v>
          </cell>
          <cell r="AS32" t="str">
            <v>Don't Use</v>
          </cell>
          <cell r="AT32" t="str">
            <v>Flat</v>
          </cell>
          <cell r="AU32" t="str">
            <v>Increase</v>
          </cell>
          <cell r="AV32" t="str">
            <v>Flat</v>
          </cell>
          <cell r="AW32" t="str">
            <v>Don't Use</v>
          </cell>
          <cell r="AX32" t="str">
            <v>Flat</v>
          </cell>
          <cell r="AY32" t="str">
            <v>Don't Use</v>
          </cell>
          <cell r="AZ32" t="str">
            <v>Don't Use</v>
          </cell>
          <cell r="BA32" t="str">
            <v>Don't Use</v>
          </cell>
          <cell r="BB32" t="str">
            <v>Increase</v>
          </cell>
          <cell r="BC32" t="str">
            <v>Don't Use</v>
          </cell>
          <cell r="BD32" t="str">
            <v>Don't Use</v>
          </cell>
          <cell r="BE32" t="str">
            <v>Increase</v>
          </cell>
          <cell r="BF32" t="str">
            <v>Don't Use</v>
          </cell>
          <cell r="BG32" t="str">
            <v>Don't Use</v>
          </cell>
          <cell r="BH32" t="str">
            <v>Don't Use</v>
          </cell>
          <cell r="BI32" t="str">
            <v>Will use services provider 2H12</v>
          </cell>
          <cell r="BJ32" t="str">
            <v>Will use services provider 2H12</v>
          </cell>
          <cell r="BK32" t="str">
            <v>Already using services provider</v>
          </cell>
          <cell r="BL32" t="str">
            <v>Not Priority</v>
          </cell>
          <cell r="BM32" t="str">
            <v>Doing work internally</v>
          </cell>
          <cell r="BN32" t="str">
            <v>Already using services provider</v>
          </cell>
          <cell r="BO32" t="str">
            <v>Already using services provider</v>
          </cell>
          <cell r="BP32" t="str">
            <v>Not Priority</v>
          </cell>
          <cell r="BQ32" t="str">
            <v>Doing work internally</v>
          </cell>
          <cell r="BR32" t="str">
            <v>Already using services provider</v>
          </cell>
          <cell r="BS32" t="str">
            <v>Already using services provider</v>
          </cell>
          <cell r="BT32" t="str">
            <v>Doing work internally</v>
          </cell>
          <cell r="BU32">
            <v>1</v>
          </cell>
          <cell r="BV32">
            <v>3</v>
          </cell>
          <cell r="BW32">
            <v>7</v>
          </cell>
          <cell r="BX32">
            <v>5</v>
          </cell>
          <cell r="BY32">
            <v>6</v>
          </cell>
          <cell r="BZ32">
            <v>2</v>
          </cell>
          <cell r="CA32">
            <v>4</v>
          </cell>
          <cell r="CB32" t="str">
            <v>Somewhat more aggressive in discounting</v>
          </cell>
        </row>
        <row r="33">
          <cell r="A33" t="str">
            <v>EU</v>
          </cell>
          <cell r="B33" t="str">
            <v>Manufacturing</v>
          </cell>
          <cell r="C33" t="str">
            <v>$5-10 Billion</v>
          </cell>
          <cell r="D33" t="str">
            <v>&lt;$100 Million</v>
          </cell>
          <cell r="E33">
            <v>-13</v>
          </cell>
          <cell r="F33">
            <v>-5</v>
          </cell>
          <cell r="G33" t="str">
            <v>DK</v>
          </cell>
          <cell r="H33" t="str">
            <v>DK</v>
          </cell>
          <cell r="I33" t="str">
            <v>DK</v>
          </cell>
          <cell r="J33" t="str">
            <v>DK</v>
          </cell>
          <cell r="K33">
            <v>-20</v>
          </cell>
          <cell r="L33">
            <v>0</v>
          </cell>
          <cell r="M33">
            <v>-10</v>
          </cell>
          <cell r="N33">
            <v>10</v>
          </cell>
          <cell r="O33">
            <v>3</v>
          </cell>
          <cell r="P33">
            <v>50</v>
          </cell>
          <cell r="Q33">
            <v>50</v>
          </cell>
          <cell r="R33">
            <v>50</v>
          </cell>
          <cell r="S33">
            <v>50</v>
          </cell>
          <cell r="T33" t="str">
            <v>Outsourcing Scope Increase</v>
          </cell>
          <cell r="U33" t="str">
            <v>ERP Rollout</v>
          </cell>
          <cell r="V33" t="str">
            <v>Customer Service Portals</v>
          </cell>
          <cell r="W33" t="str">
            <v>Hardware/Platform Refresh</v>
          </cell>
          <cell r="X33" t="str">
            <v>In-place upgrades (Win 7, e.g.)</v>
          </cell>
          <cell r="Z33" t="str">
            <v>Equal chance of upward or downward revision</v>
          </cell>
          <cell r="AA33" t="str">
            <v>Any discretionary spend without hard $ benefits</v>
          </cell>
          <cell r="AB33" t="str">
            <v>Cost savings or business-required projects</v>
          </cell>
          <cell r="AC33" t="str">
            <v>Somewhat more aggressive in discounting</v>
          </cell>
          <cell r="AD33" t="str">
            <v>No Change</v>
          </cell>
          <cell r="AE33">
            <v>60</v>
          </cell>
          <cell r="AF33">
            <v>30</v>
          </cell>
          <cell r="AG33">
            <v>10</v>
          </cell>
          <cell r="AH33" t="str">
            <v>50/50</v>
          </cell>
          <cell r="AI33" t="str">
            <v>In-Line</v>
          </cell>
          <cell r="AJ33">
            <v>-10</v>
          </cell>
          <cell r="AK33">
            <v>0</v>
          </cell>
          <cell r="AL33">
            <v>0</v>
          </cell>
          <cell r="AM33" t="str">
            <v>NA / DK</v>
          </cell>
          <cell r="AN33">
            <v>10</v>
          </cell>
          <cell r="AO33">
            <v>10</v>
          </cell>
          <cell r="AP33">
            <v>5</v>
          </cell>
          <cell r="AQ33">
            <v>5</v>
          </cell>
          <cell r="AR33" t="str">
            <v>Don't Use</v>
          </cell>
          <cell r="AS33" t="str">
            <v>Don't Use</v>
          </cell>
          <cell r="AT33" t="str">
            <v>Don't Use</v>
          </cell>
          <cell r="AU33" t="str">
            <v>Increase</v>
          </cell>
          <cell r="AV33" t="str">
            <v>Don't Use</v>
          </cell>
          <cell r="AW33" t="str">
            <v>Don't Use</v>
          </cell>
          <cell r="AX33" t="str">
            <v>Don't Use</v>
          </cell>
          <cell r="AY33" t="str">
            <v>Don't Use</v>
          </cell>
          <cell r="AZ33" t="str">
            <v>Increase</v>
          </cell>
          <cell r="BA33" t="str">
            <v>Flat</v>
          </cell>
          <cell r="BB33" t="str">
            <v>Flat</v>
          </cell>
          <cell r="BC33" t="str">
            <v>Don't Use</v>
          </cell>
          <cell r="BD33" t="str">
            <v>Don't Use</v>
          </cell>
          <cell r="BE33" t="str">
            <v>Don't Use</v>
          </cell>
          <cell r="BF33" t="str">
            <v>Don't Use</v>
          </cell>
          <cell r="BG33" t="str">
            <v>Don't Use</v>
          </cell>
          <cell r="BH33" t="str">
            <v>Flat</v>
          </cell>
          <cell r="BI33" t="str">
            <v>Doing work internally</v>
          </cell>
          <cell r="BJ33" t="str">
            <v>Not Priority</v>
          </cell>
          <cell r="BK33" t="str">
            <v>Doing work internally</v>
          </cell>
          <cell r="BL33" t="str">
            <v>Not Priority</v>
          </cell>
          <cell r="BM33" t="str">
            <v>Doing work internally</v>
          </cell>
          <cell r="BN33" t="str">
            <v>Doing work internally</v>
          </cell>
          <cell r="BO33" t="str">
            <v>Doing work internally</v>
          </cell>
          <cell r="BP33" t="str">
            <v>Doing work internally</v>
          </cell>
          <cell r="BQ33" t="str">
            <v>Doing work internally</v>
          </cell>
          <cell r="BR33" t="str">
            <v>Not Priority</v>
          </cell>
          <cell r="BS33" t="str">
            <v>Doing work internally</v>
          </cell>
          <cell r="BT33" t="str">
            <v>Already using services provider</v>
          </cell>
          <cell r="BU33">
            <v>3</v>
          </cell>
          <cell r="BV33">
            <v>4</v>
          </cell>
          <cell r="BW33">
            <v>6</v>
          </cell>
          <cell r="BX33">
            <v>5</v>
          </cell>
          <cell r="BY33">
            <v>7</v>
          </cell>
          <cell r="BZ33">
            <v>1</v>
          </cell>
          <cell r="CA33">
            <v>2</v>
          </cell>
          <cell r="CB33" t="str">
            <v>No change in level of discounting</v>
          </cell>
        </row>
        <row r="34">
          <cell r="A34" t="str">
            <v>EU</v>
          </cell>
          <cell r="B34" t="str">
            <v>Manufacturing</v>
          </cell>
          <cell r="C34" t="str">
            <v>$5-10 Billion</v>
          </cell>
          <cell r="D34" t="str">
            <v>$300-400 Million</v>
          </cell>
          <cell r="E34">
            <v>3</v>
          </cell>
          <cell r="F34">
            <v>3</v>
          </cell>
          <cell r="G34">
            <v>0</v>
          </cell>
          <cell r="H34">
            <v>5</v>
          </cell>
          <cell r="I34">
            <v>5</v>
          </cell>
          <cell r="J34">
            <v>5</v>
          </cell>
          <cell r="K34">
            <v>1</v>
          </cell>
          <cell r="L34">
            <v>5</v>
          </cell>
          <cell r="M34">
            <v>2</v>
          </cell>
          <cell r="N34">
            <v>-5</v>
          </cell>
          <cell r="O34">
            <v>9</v>
          </cell>
          <cell r="P34">
            <v>50</v>
          </cell>
          <cell r="Q34">
            <v>50</v>
          </cell>
          <cell r="R34">
            <v>60</v>
          </cell>
          <cell r="S34">
            <v>40</v>
          </cell>
          <cell r="T34" t="str">
            <v>Transition from tape to disk backup</v>
          </cell>
          <cell r="U34" t="str">
            <v>SAP upgrades</v>
          </cell>
          <cell r="V34" t="str">
            <v>CRM</v>
          </cell>
          <cell r="W34" t="str">
            <v xml:space="preserve">Networked storage </v>
          </cell>
          <cell r="X34" t="str">
            <v>ERP</v>
          </cell>
          <cell r="Y34" t="str">
            <v>Use of consultants</v>
          </cell>
          <cell r="Z34" t="str">
            <v>‘No change’ to the budget is likely</v>
          </cell>
          <cell r="AA34" t="str">
            <v>Everything subject to cuts</v>
          </cell>
          <cell r="AB34" t="str">
            <v>Maintenance</v>
          </cell>
          <cell r="AC34" t="str">
            <v>Somewhat less aggressive in discounting</v>
          </cell>
          <cell r="AD34" t="str">
            <v>No Change</v>
          </cell>
          <cell r="AE34">
            <v>50</v>
          </cell>
          <cell r="AF34">
            <v>20</v>
          </cell>
          <cell r="AG34">
            <v>30</v>
          </cell>
          <cell r="AH34" t="str">
            <v>40/60</v>
          </cell>
          <cell r="AI34" t="str">
            <v>Under</v>
          </cell>
          <cell r="AJ34">
            <v>5</v>
          </cell>
          <cell r="AK34">
            <v>-10</v>
          </cell>
          <cell r="AL34">
            <v>-5</v>
          </cell>
          <cell r="AM34">
            <v>-5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 t="str">
            <v>Increase</v>
          </cell>
          <cell r="AS34" t="str">
            <v>Don't Use</v>
          </cell>
          <cell r="AT34" t="str">
            <v>Don't Use</v>
          </cell>
          <cell r="AU34" t="str">
            <v>Don't Use</v>
          </cell>
          <cell r="AV34" t="str">
            <v>Flat</v>
          </cell>
          <cell r="AW34" t="str">
            <v>Don't Use</v>
          </cell>
          <cell r="AX34" t="str">
            <v>Don't Use</v>
          </cell>
          <cell r="AY34" t="str">
            <v>Don't Use</v>
          </cell>
          <cell r="AZ34" t="str">
            <v>Don't Use</v>
          </cell>
          <cell r="BA34" t="str">
            <v>Don't Use</v>
          </cell>
          <cell r="BB34" t="str">
            <v>Flat</v>
          </cell>
          <cell r="BC34" t="str">
            <v>Flat</v>
          </cell>
          <cell r="BD34" t="str">
            <v>Don't Use</v>
          </cell>
          <cell r="BE34" t="str">
            <v>Don't Use</v>
          </cell>
          <cell r="BF34" t="str">
            <v>Don't Use</v>
          </cell>
          <cell r="BG34" t="str">
            <v>Don't Use</v>
          </cell>
          <cell r="BH34" t="str">
            <v>Don't Use</v>
          </cell>
          <cell r="BI34" t="str">
            <v>Already using services provider</v>
          </cell>
          <cell r="BJ34" t="str">
            <v>Not Priority</v>
          </cell>
          <cell r="BK34" t="str">
            <v>Will use services provider 2H12</v>
          </cell>
          <cell r="BL34" t="str">
            <v>Already using services provider</v>
          </cell>
          <cell r="BM34" t="str">
            <v>Doing work internally</v>
          </cell>
          <cell r="BN34" t="str">
            <v>Will use services provider 2H12</v>
          </cell>
          <cell r="BO34" t="str">
            <v>Doing work internally</v>
          </cell>
          <cell r="BP34" t="str">
            <v>Doing work internally</v>
          </cell>
          <cell r="BQ34" t="str">
            <v>Will use services provider 2H12</v>
          </cell>
          <cell r="BR34" t="str">
            <v>Not Priority</v>
          </cell>
          <cell r="BS34" t="str">
            <v>Not Priority</v>
          </cell>
          <cell r="BT34" t="str">
            <v>Not Priority</v>
          </cell>
          <cell r="BU34">
            <v>4</v>
          </cell>
          <cell r="BV34">
            <v>6</v>
          </cell>
          <cell r="BW34">
            <v>2</v>
          </cell>
          <cell r="BX34">
            <v>5</v>
          </cell>
          <cell r="BY34">
            <v>3</v>
          </cell>
          <cell r="BZ34">
            <v>1</v>
          </cell>
          <cell r="CA34">
            <v>7</v>
          </cell>
          <cell r="CB34" t="str">
            <v>Somewhat less aggressive in discounting</v>
          </cell>
        </row>
        <row r="35">
          <cell r="A35" t="str">
            <v>EU</v>
          </cell>
          <cell r="B35" t="str">
            <v>Manufacturing</v>
          </cell>
          <cell r="C35" t="str">
            <v>$5-10 Billion</v>
          </cell>
          <cell r="D35" t="str">
            <v>&lt;$100 Million</v>
          </cell>
          <cell r="E35">
            <v>5</v>
          </cell>
          <cell r="F35">
            <v>10</v>
          </cell>
          <cell r="G35">
            <v>-5</v>
          </cell>
          <cell r="H35">
            <v>10</v>
          </cell>
          <cell r="I35">
            <v>0</v>
          </cell>
          <cell r="J35">
            <v>10</v>
          </cell>
          <cell r="K35">
            <v>-5</v>
          </cell>
          <cell r="L35">
            <v>5</v>
          </cell>
          <cell r="M35">
            <v>5</v>
          </cell>
          <cell r="N35">
            <v>5</v>
          </cell>
          <cell r="O35">
            <v>6</v>
          </cell>
          <cell r="P35">
            <v>55</v>
          </cell>
          <cell r="Q35">
            <v>45</v>
          </cell>
          <cell r="R35">
            <v>55</v>
          </cell>
          <cell r="S35">
            <v>45</v>
          </cell>
          <cell r="T35" t="str">
            <v>CRM</v>
          </cell>
          <cell r="U35" t="str">
            <v>BI</v>
          </cell>
          <cell r="V35" t="str">
            <v>SharePoint</v>
          </cell>
          <cell r="W35" t="str">
            <v>NA / No Decrease</v>
          </cell>
          <cell r="Z35" t="str">
            <v>‘No change’ to the budget is likely</v>
          </cell>
          <cell r="AA35" t="str">
            <v>BI</v>
          </cell>
          <cell r="AB35" t="str">
            <v>ERP</v>
          </cell>
          <cell r="AC35" t="str">
            <v>Somewhat less aggressive in discounting</v>
          </cell>
          <cell r="AD35" t="str">
            <v>No Change</v>
          </cell>
          <cell r="AE35">
            <v>50</v>
          </cell>
          <cell r="AF35">
            <v>25</v>
          </cell>
          <cell r="AG35">
            <v>25</v>
          </cell>
          <cell r="AH35" t="str">
            <v>50/50</v>
          </cell>
          <cell r="AI35" t="str">
            <v>In-Line</v>
          </cell>
          <cell r="AJ35">
            <v>10</v>
          </cell>
          <cell r="AK35">
            <v>5</v>
          </cell>
          <cell r="AL35">
            <v>5</v>
          </cell>
          <cell r="AM35">
            <v>0</v>
          </cell>
          <cell r="AN35">
            <v>10</v>
          </cell>
          <cell r="AO35">
            <v>10</v>
          </cell>
          <cell r="AP35">
            <v>5</v>
          </cell>
          <cell r="AQ35">
            <v>0</v>
          </cell>
          <cell r="AR35" t="str">
            <v>Don't Use</v>
          </cell>
          <cell r="AS35" t="str">
            <v>Flat</v>
          </cell>
          <cell r="AT35" t="str">
            <v>Don't Use</v>
          </cell>
          <cell r="AU35" t="str">
            <v>Don't Use</v>
          </cell>
          <cell r="AV35" t="str">
            <v>Don't Use</v>
          </cell>
          <cell r="AW35" t="str">
            <v>Don't Use</v>
          </cell>
          <cell r="AX35" t="str">
            <v>Flat</v>
          </cell>
          <cell r="AY35" t="str">
            <v>Don't Use</v>
          </cell>
          <cell r="AZ35" t="str">
            <v>Don't Use</v>
          </cell>
          <cell r="BA35" t="str">
            <v>Flat</v>
          </cell>
          <cell r="BB35" t="str">
            <v>Increase</v>
          </cell>
          <cell r="BC35" t="str">
            <v>Don't Use</v>
          </cell>
          <cell r="BD35" t="str">
            <v>Don't Use</v>
          </cell>
          <cell r="BE35" t="str">
            <v>Don't Use</v>
          </cell>
          <cell r="BF35" t="str">
            <v>Don't Use</v>
          </cell>
          <cell r="BG35" t="str">
            <v>Don't Use</v>
          </cell>
          <cell r="BH35" t="str">
            <v>Don't Use</v>
          </cell>
          <cell r="BI35" t="str">
            <v>Already using services provider</v>
          </cell>
          <cell r="BJ35" t="str">
            <v>Not Priority</v>
          </cell>
          <cell r="BK35" t="str">
            <v>Will use services provider 1H12</v>
          </cell>
          <cell r="BL35" t="str">
            <v>Doing work internally</v>
          </cell>
          <cell r="BM35" t="str">
            <v>Will use services provider 2H12</v>
          </cell>
          <cell r="BN35" t="str">
            <v>Already using services provider</v>
          </cell>
          <cell r="BO35" t="str">
            <v>Doing work internally</v>
          </cell>
          <cell r="BP35" t="str">
            <v>Not Priority</v>
          </cell>
          <cell r="BQ35" t="str">
            <v>Already using services provider</v>
          </cell>
          <cell r="BR35" t="str">
            <v>Doing work internally</v>
          </cell>
          <cell r="BS35" t="str">
            <v>Doing work internally</v>
          </cell>
          <cell r="BT35" t="str">
            <v>Not Priority</v>
          </cell>
          <cell r="BU35">
            <v>3</v>
          </cell>
          <cell r="BV35">
            <v>6</v>
          </cell>
          <cell r="BW35">
            <v>5</v>
          </cell>
          <cell r="BX35">
            <v>7</v>
          </cell>
          <cell r="BY35">
            <v>2</v>
          </cell>
          <cell r="BZ35">
            <v>1</v>
          </cell>
          <cell r="CA35">
            <v>4</v>
          </cell>
          <cell r="CB35" t="str">
            <v>Significantly less aggressive in discounting</v>
          </cell>
        </row>
        <row r="36">
          <cell r="A36" t="str">
            <v>EU</v>
          </cell>
          <cell r="B36" t="str">
            <v>Manufacturing</v>
          </cell>
          <cell r="C36" t="str">
            <v>$1-5 Billion</v>
          </cell>
          <cell r="D36" t="str">
            <v>$100-200 Million</v>
          </cell>
          <cell r="E36">
            <v>8</v>
          </cell>
          <cell r="F36">
            <v>7</v>
          </cell>
          <cell r="G36">
            <v>10</v>
          </cell>
          <cell r="H36">
            <v>10</v>
          </cell>
          <cell r="I36">
            <v>-5</v>
          </cell>
          <cell r="J36">
            <v>-5</v>
          </cell>
          <cell r="K36">
            <v>5</v>
          </cell>
          <cell r="L36">
            <v>5</v>
          </cell>
          <cell r="M36">
            <v>10</v>
          </cell>
          <cell r="N36">
            <v>5</v>
          </cell>
          <cell r="O36">
            <v>7</v>
          </cell>
          <cell r="P36">
            <v>55</v>
          </cell>
          <cell r="Q36">
            <v>45</v>
          </cell>
          <cell r="R36">
            <v>40</v>
          </cell>
          <cell r="S36">
            <v>60</v>
          </cell>
          <cell r="T36" t="str">
            <v xml:space="preserve">Network upgrades </v>
          </cell>
          <cell r="U36" t="str">
            <v xml:space="preserve">Notebooks </v>
          </cell>
          <cell r="V36" t="str">
            <v>Tablets</v>
          </cell>
          <cell r="W36" t="str">
            <v>Desktop PCs</v>
          </cell>
          <cell r="X36" t="str">
            <v>SCM</v>
          </cell>
          <cell r="Z36" t="str">
            <v>Equal chance of upward or downward revision</v>
          </cell>
          <cell r="AA36" t="str">
            <v>Tablets and PC upgrades</v>
          </cell>
          <cell r="AB36" t="str">
            <v>Core IT functions</v>
          </cell>
          <cell r="AC36" t="str">
            <v>Somewhat more aggressive in discounting</v>
          </cell>
          <cell r="AD36" t="str">
            <v>No Change</v>
          </cell>
          <cell r="AE36">
            <v>50</v>
          </cell>
          <cell r="AF36">
            <v>0</v>
          </cell>
          <cell r="AG36">
            <v>50</v>
          </cell>
          <cell r="AH36" t="str">
            <v>40/60</v>
          </cell>
          <cell r="AI36" t="str">
            <v>In-Line</v>
          </cell>
          <cell r="AJ36">
            <v>10</v>
          </cell>
          <cell r="AK36">
            <v>5</v>
          </cell>
          <cell r="AL36">
            <v>0</v>
          </cell>
          <cell r="AM36">
            <v>5</v>
          </cell>
          <cell r="AN36">
            <v>-15</v>
          </cell>
          <cell r="AO36">
            <v>-5</v>
          </cell>
          <cell r="AP36">
            <v>0</v>
          </cell>
          <cell r="AQ36">
            <v>0</v>
          </cell>
          <cell r="AR36" t="str">
            <v>Don't Use</v>
          </cell>
          <cell r="AS36" t="str">
            <v>Don't Use</v>
          </cell>
          <cell r="AT36" t="str">
            <v>Don't Use</v>
          </cell>
          <cell r="AU36" t="str">
            <v>Flat</v>
          </cell>
          <cell r="AV36" t="str">
            <v>Don't Use</v>
          </cell>
          <cell r="AW36" t="str">
            <v>Flat</v>
          </cell>
          <cell r="AX36" t="str">
            <v>Don't Use</v>
          </cell>
          <cell r="AY36" t="str">
            <v>Don't Use</v>
          </cell>
          <cell r="AZ36" t="str">
            <v>Don't Use</v>
          </cell>
          <cell r="BA36" t="str">
            <v>Don't Use</v>
          </cell>
          <cell r="BB36" t="str">
            <v>Increase</v>
          </cell>
          <cell r="BC36" t="str">
            <v>Don't Use</v>
          </cell>
          <cell r="BD36" t="str">
            <v>Don't Use</v>
          </cell>
          <cell r="BE36" t="str">
            <v>Flat</v>
          </cell>
          <cell r="BF36" t="str">
            <v>Don't Use</v>
          </cell>
          <cell r="BG36" t="str">
            <v>Don't Use</v>
          </cell>
          <cell r="BH36" t="str">
            <v>Don't Use</v>
          </cell>
          <cell r="BI36" t="str">
            <v>Will use services provider 2H12</v>
          </cell>
          <cell r="BJ36" t="str">
            <v>Doing work internally</v>
          </cell>
          <cell r="BK36" t="str">
            <v>Doing work internally</v>
          </cell>
          <cell r="BL36" t="str">
            <v>Not Priority</v>
          </cell>
          <cell r="BM36" t="str">
            <v>Will use services provider 2H12</v>
          </cell>
          <cell r="BN36" t="str">
            <v>Not Priority</v>
          </cell>
          <cell r="BO36" t="str">
            <v>Not Priority</v>
          </cell>
          <cell r="BP36" t="str">
            <v>Not Priority</v>
          </cell>
          <cell r="BQ36" t="str">
            <v>Not Priority</v>
          </cell>
          <cell r="BR36" t="str">
            <v>Not Priority</v>
          </cell>
          <cell r="BS36" t="str">
            <v>Not Priority</v>
          </cell>
          <cell r="BT36" t="str">
            <v>Doing work internally</v>
          </cell>
          <cell r="BU36">
            <v>1</v>
          </cell>
          <cell r="BV36">
            <v>7</v>
          </cell>
          <cell r="BW36">
            <v>4</v>
          </cell>
          <cell r="BX36">
            <v>5</v>
          </cell>
          <cell r="BY36">
            <v>6</v>
          </cell>
          <cell r="BZ36">
            <v>2</v>
          </cell>
          <cell r="CA36">
            <v>3</v>
          </cell>
          <cell r="CB36" t="str">
            <v>Somewhat more aggressive in discounting</v>
          </cell>
        </row>
        <row r="37">
          <cell r="A37" t="str">
            <v>EU</v>
          </cell>
          <cell r="B37" t="str">
            <v>Manufacturing</v>
          </cell>
          <cell r="C37" t="str">
            <v>$1-5 Billion</v>
          </cell>
          <cell r="D37" t="str">
            <v>$100-200 Million</v>
          </cell>
          <cell r="E37">
            <v>0</v>
          </cell>
          <cell r="F37">
            <v>-10</v>
          </cell>
          <cell r="G37">
            <v>0</v>
          </cell>
          <cell r="H37">
            <v>2</v>
          </cell>
          <cell r="I37">
            <v>-5</v>
          </cell>
          <cell r="J37">
            <v>-8</v>
          </cell>
          <cell r="K37">
            <v>-10</v>
          </cell>
          <cell r="L37">
            <v>-10</v>
          </cell>
          <cell r="M37">
            <v>-10</v>
          </cell>
          <cell r="N37">
            <v>-5</v>
          </cell>
          <cell r="O37">
            <v>1</v>
          </cell>
          <cell r="P37">
            <v>60</v>
          </cell>
          <cell r="Q37">
            <v>40</v>
          </cell>
          <cell r="R37">
            <v>50</v>
          </cell>
          <cell r="S37">
            <v>50</v>
          </cell>
          <cell r="T37" t="str">
            <v>Software</v>
          </cell>
          <cell r="U37" t="str">
            <v>Networking</v>
          </cell>
          <cell r="V37" t="str">
            <v>Serves</v>
          </cell>
          <cell r="W37" t="str">
            <v>Outside consultants</v>
          </cell>
          <cell r="Z37" t="str">
            <v>Downward revision is more likely</v>
          </cell>
          <cell r="AA37" t="str">
            <v>NA / DK</v>
          </cell>
          <cell r="AB37" t="str">
            <v>NA / DK</v>
          </cell>
          <cell r="AC37" t="str">
            <v>Somewhat more aggressive in discounting</v>
          </cell>
          <cell r="AD37" t="str">
            <v>Somewhat longer</v>
          </cell>
          <cell r="AE37">
            <v>75</v>
          </cell>
          <cell r="AF37">
            <v>25</v>
          </cell>
          <cell r="AG37">
            <v>0</v>
          </cell>
          <cell r="AH37" t="str">
            <v>50/50</v>
          </cell>
          <cell r="AI37" t="str">
            <v>In-Line</v>
          </cell>
          <cell r="AJ37">
            <v>-5</v>
          </cell>
          <cell r="AK37">
            <v>5</v>
          </cell>
          <cell r="AL37">
            <v>0</v>
          </cell>
          <cell r="AM37">
            <v>0</v>
          </cell>
          <cell r="AN37">
            <v>-5</v>
          </cell>
          <cell r="AO37">
            <v>-10</v>
          </cell>
          <cell r="AP37">
            <v>5</v>
          </cell>
          <cell r="AQ37">
            <v>3</v>
          </cell>
          <cell r="AR37" t="str">
            <v>Increase</v>
          </cell>
          <cell r="AS37" t="str">
            <v>Don't Use</v>
          </cell>
          <cell r="AT37" t="str">
            <v>Don't Use</v>
          </cell>
          <cell r="AU37" t="str">
            <v>Don't Use</v>
          </cell>
          <cell r="AV37" t="str">
            <v>Don't Use</v>
          </cell>
          <cell r="AW37" t="str">
            <v>Don't Use</v>
          </cell>
          <cell r="AX37" t="str">
            <v>Don't Use</v>
          </cell>
          <cell r="AY37" t="str">
            <v>Don't Use</v>
          </cell>
          <cell r="AZ37" t="str">
            <v>Don't Use</v>
          </cell>
          <cell r="BA37" t="str">
            <v>Don't Use</v>
          </cell>
          <cell r="BB37" t="str">
            <v>Flat</v>
          </cell>
          <cell r="BC37" t="str">
            <v>Don't Use</v>
          </cell>
          <cell r="BD37" t="str">
            <v>Don't Use</v>
          </cell>
          <cell r="BE37" t="str">
            <v>Don't Use</v>
          </cell>
          <cell r="BF37" t="str">
            <v>Don't Use</v>
          </cell>
          <cell r="BG37" t="str">
            <v>Increase</v>
          </cell>
          <cell r="BH37" t="str">
            <v>Don't Use</v>
          </cell>
          <cell r="BI37" t="str">
            <v>Doing work internally</v>
          </cell>
          <cell r="BJ37" t="str">
            <v>Not Priority</v>
          </cell>
          <cell r="BK37" t="str">
            <v>Doing work internally</v>
          </cell>
          <cell r="BL37" t="str">
            <v>Doing work internally</v>
          </cell>
          <cell r="BM37" t="str">
            <v>Not Priority</v>
          </cell>
          <cell r="BN37" t="str">
            <v>Already using services provider</v>
          </cell>
          <cell r="BO37" t="str">
            <v>Doing work internally</v>
          </cell>
          <cell r="BP37" t="str">
            <v>Will use services provider 2H12</v>
          </cell>
          <cell r="BQ37" t="str">
            <v>Doing work internally</v>
          </cell>
          <cell r="BR37" t="str">
            <v>Doing work internally</v>
          </cell>
          <cell r="BS37" t="str">
            <v>Doing work internally</v>
          </cell>
          <cell r="BT37" t="str">
            <v>Already using services provider</v>
          </cell>
          <cell r="BU37">
            <v>2</v>
          </cell>
          <cell r="BV37">
            <v>7</v>
          </cell>
          <cell r="BW37">
            <v>1</v>
          </cell>
          <cell r="BX37">
            <v>3</v>
          </cell>
          <cell r="BY37">
            <v>4</v>
          </cell>
          <cell r="BZ37">
            <v>5</v>
          </cell>
          <cell r="CA37">
            <v>6</v>
          </cell>
          <cell r="CB37" t="str">
            <v>Somewhat less aggressive in discounting</v>
          </cell>
        </row>
        <row r="38">
          <cell r="A38" t="str">
            <v>EU</v>
          </cell>
          <cell r="B38" t="str">
            <v>Manufacturing</v>
          </cell>
          <cell r="C38" t="str">
            <v>$15-20 Billion</v>
          </cell>
          <cell r="D38" t="str">
            <v>$500-600 Million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5</v>
          </cell>
          <cell r="P38">
            <v>60</v>
          </cell>
          <cell r="Q38">
            <v>40</v>
          </cell>
          <cell r="R38">
            <v>60</v>
          </cell>
          <cell r="S38">
            <v>40</v>
          </cell>
          <cell r="T38" t="str">
            <v>Technology Refresh</v>
          </cell>
          <cell r="U38" t="str">
            <v>SW Licensing</v>
          </cell>
          <cell r="V38" t="str">
            <v>Virtualization</v>
          </cell>
          <cell r="W38" t="str">
            <v>Desktop</v>
          </cell>
          <cell r="X38" t="str">
            <v>Microsoft Upgrades</v>
          </cell>
          <cell r="Z38" t="str">
            <v>Downward revision is more likely</v>
          </cell>
          <cell r="AA38" t="str">
            <v>Data warehouse</v>
          </cell>
          <cell r="AB38" t="str">
            <v>Maintaining status quo</v>
          </cell>
          <cell r="AC38" t="str">
            <v>Somewhat more aggressive in discounting</v>
          </cell>
          <cell r="AD38" t="str">
            <v>Significantly longer</v>
          </cell>
          <cell r="AE38">
            <v>0</v>
          </cell>
          <cell r="AF38">
            <v>0</v>
          </cell>
          <cell r="AG38">
            <v>100</v>
          </cell>
          <cell r="AH38" t="str">
            <v>60/40</v>
          </cell>
          <cell r="AI38" t="str">
            <v>Under</v>
          </cell>
          <cell r="AJ38">
            <v>-2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 t="str">
            <v>Don't Use</v>
          </cell>
          <cell r="AS38" t="str">
            <v>Don't Use</v>
          </cell>
          <cell r="AT38" t="str">
            <v>Don't Use</v>
          </cell>
          <cell r="AU38" t="str">
            <v>Don't Use</v>
          </cell>
          <cell r="AV38" t="str">
            <v>Flat</v>
          </cell>
          <cell r="AW38" t="str">
            <v>Don't Use</v>
          </cell>
          <cell r="AX38" t="str">
            <v>Don't Use</v>
          </cell>
          <cell r="AY38" t="str">
            <v>Flat</v>
          </cell>
          <cell r="AZ38" t="str">
            <v>Don't Use</v>
          </cell>
          <cell r="BA38" t="str">
            <v>Don't Use</v>
          </cell>
          <cell r="BB38" t="str">
            <v>Don't Use</v>
          </cell>
          <cell r="BC38" t="str">
            <v>Flat</v>
          </cell>
          <cell r="BD38" t="str">
            <v>Don't Use</v>
          </cell>
          <cell r="BE38" t="str">
            <v>Don't Use</v>
          </cell>
          <cell r="BF38" t="str">
            <v>Don't Use</v>
          </cell>
          <cell r="BG38" t="str">
            <v>Don't Use</v>
          </cell>
          <cell r="BH38" t="str">
            <v>Don't Use</v>
          </cell>
          <cell r="BI38" t="str">
            <v>Already using services provider</v>
          </cell>
          <cell r="BJ38" t="str">
            <v>Not Priority</v>
          </cell>
          <cell r="BK38" t="str">
            <v>Doing work internally</v>
          </cell>
          <cell r="BL38" t="str">
            <v>Not Priority</v>
          </cell>
          <cell r="BM38" t="str">
            <v>Not Priority</v>
          </cell>
          <cell r="BN38" t="str">
            <v>Not Priority</v>
          </cell>
          <cell r="BO38" t="str">
            <v>Not Priority</v>
          </cell>
          <cell r="BP38" t="str">
            <v>Not Priority</v>
          </cell>
          <cell r="BQ38" t="str">
            <v>Not Priority</v>
          </cell>
          <cell r="BR38" t="str">
            <v>Not Priority</v>
          </cell>
          <cell r="BS38" t="str">
            <v>Doing work internally</v>
          </cell>
          <cell r="BT38" t="str">
            <v>Not Priority</v>
          </cell>
          <cell r="BU38">
            <v>3</v>
          </cell>
          <cell r="BV38">
            <v>7</v>
          </cell>
          <cell r="BW38">
            <v>5</v>
          </cell>
          <cell r="BX38">
            <v>6</v>
          </cell>
          <cell r="BY38">
            <v>1</v>
          </cell>
          <cell r="BZ38">
            <v>4</v>
          </cell>
          <cell r="CA38">
            <v>2</v>
          </cell>
          <cell r="CB38" t="str">
            <v>Somewhat more aggressive in discounting</v>
          </cell>
        </row>
        <row r="39">
          <cell r="A39" t="str">
            <v>EU</v>
          </cell>
          <cell r="B39" t="str">
            <v>Pharmaceuticals</v>
          </cell>
          <cell r="C39" t="str">
            <v>$500 Million - $1 Billion</v>
          </cell>
          <cell r="D39" t="str">
            <v>$400-500 Million</v>
          </cell>
          <cell r="E39">
            <v>5</v>
          </cell>
          <cell r="F39">
            <v>0</v>
          </cell>
          <cell r="G39">
            <v>10</v>
          </cell>
          <cell r="H39">
            <v>5</v>
          </cell>
          <cell r="I39">
            <v>2</v>
          </cell>
          <cell r="J39">
            <v>2</v>
          </cell>
          <cell r="K39">
            <v>-10</v>
          </cell>
          <cell r="L39">
            <v>-5</v>
          </cell>
          <cell r="M39">
            <v>10</v>
          </cell>
          <cell r="N39">
            <v>0</v>
          </cell>
          <cell r="O39">
            <v>8</v>
          </cell>
          <cell r="P39">
            <v>45</v>
          </cell>
          <cell r="Q39">
            <v>55</v>
          </cell>
          <cell r="R39">
            <v>60</v>
          </cell>
          <cell r="S39">
            <v>40</v>
          </cell>
          <cell r="T39" t="str">
            <v>iPad implementation</v>
          </cell>
          <cell r="U39" t="str">
            <v>Software</v>
          </cell>
          <cell r="V39" t="str">
            <v>Network</v>
          </cell>
          <cell r="W39" t="str">
            <v>Servers</v>
          </cell>
          <cell r="X39" t="str">
            <v>Professional services</v>
          </cell>
          <cell r="Z39" t="str">
            <v>Equal chance of upward or downward revision</v>
          </cell>
          <cell r="AA39" t="str">
            <v>Professional Services</v>
          </cell>
          <cell r="AB39" t="str">
            <v>Infrastruture changes</v>
          </cell>
          <cell r="AC39" t="str">
            <v>No change in level of discounting</v>
          </cell>
          <cell r="AD39" t="str">
            <v>Somewhat longer</v>
          </cell>
          <cell r="AE39">
            <v>100</v>
          </cell>
          <cell r="AF39">
            <v>0</v>
          </cell>
          <cell r="AG39">
            <v>0</v>
          </cell>
          <cell r="AH39" t="str">
            <v>60/40</v>
          </cell>
          <cell r="AI39" t="str">
            <v>In-Line</v>
          </cell>
          <cell r="AJ39">
            <v>10</v>
          </cell>
          <cell r="AK39" t="str">
            <v>NA / DK</v>
          </cell>
          <cell r="AL39">
            <v>0</v>
          </cell>
          <cell r="AM39" t="str">
            <v>NA / DK</v>
          </cell>
          <cell r="AN39">
            <v>-15</v>
          </cell>
          <cell r="AO39" t="str">
            <v>NA / DK</v>
          </cell>
          <cell r="AP39">
            <v>0</v>
          </cell>
          <cell r="AQ39" t="str">
            <v>NA / DK</v>
          </cell>
          <cell r="AR39" t="str">
            <v>Don't Use</v>
          </cell>
          <cell r="AS39" t="str">
            <v>Don't Use</v>
          </cell>
          <cell r="AT39" t="str">
            <v>Don't Use</v>
          </cell>
          <cell r="AU39" t="str">
            <v>Don't Use</v>
          </cell>
          <cell r="AV39" t="str">
            <v>Flat</v>
          </cell>
          <cell r="AW39" t="str">
            <v>Don't Use</v>
          </cell>
          <cell r="AX39" t="str">
            <v>Don't Use</v>
          </cell>
          <cell r="AY39" t="str">
            <v>Don't Use</v>
          </cell>
          <cell r="AZ39" t="str">
            <v>Don't Use</v>
          </cell>
          <cell r="BA39" t="str">
            <v>Don't Use</v>
          </cell>
          <cell r="BB39" t="str">
            <v>Don't Use</v>
          </cell>
          <cell r="BC39" t="str">
            <v>Don't Use</v>
          </cell>
          <cell r="BD39" t="str">
            <v>Don't Use</v>
          </cell>
          <cell r="BE39" t="str">
            <v>Don't Use</v>
          </cell>
          <cell r="BF39" t="str">
            <v>Don't Use</v>
          </cell>
          <cell r="BG39" t="str">
            <v>Don't Use</v>
          </cell>
          <cell r="BH39" t="str">
            <v>Don't Use</v>
          </cell>
          <cell r="BI39" t="str">
            <v>Not Priority</v>
          </cell>
          <cell r="BJ39" t="str">
            <v>Doing work internally</v>
          </cell>
          <cell r="BK39" t="str">
            <v>Not Priority</v>
          </cell>
          <cell r="BL39" t="str">
            <v>Already using services provider</v>
          </cell>
          <cell r="BM39" t="str">
            <v>Already using services provider</v>
          </cell>
          <cell r="BN39" t="str">
            <v>Not Priority</v>
          </cell>
          <cell r="BO39" t="str">
            <v>Doing work internally</v>
          </cell>
          <cell r="BP39" t="str">
            <v>Not Priority</v>
          </cell>
          <cell r="BQ39" t="str">
            <v>Not Priority</v>
          </cell>
          <cell r="BR39" t="str">
            <v>Doing work internally</v>
          </cell>
          <cell r="BS39" t="str">
            <v>Doing work internally</v>
          </cell>
          <cell r="BT39" t="str">
            <v>Not Priority</v>
          </cell>
          <cell r="BU39">
            <v>4</v>
          </cell>
          <cell r="BV39">
            <v>7</v>
          </cell>
          <cell r="BW39">
            <v>1</v>
          </cell>
          <cell r="BX39">
            <v>6</v>
          </cell>
          <cell r="BY39">
            <v>5</v>
          </cell>
          <cell r="BZ39">
            <v>2</v>
          </cell>
          <cell r="CA39">
            <v>3</v>
          </cell>
          <cell r="CB39" t="str">
            <v>No change in level of discounting</v>
          </cell>
        </row>
        <row r="40">
          <cell r="A40" t="str">
            <v>EU</v>
          </cell>
          <cell r="B40" t="str">
            <v>Retail</v>
          </cell>
          <cell r="C40" t="str">
            <v>$500 Million - $1 Billion</v>
          </cell>
          <cell r="D40" t="str">
            <v>&lt;$100 Million</v>
          </cell>
          <cell r="E40">
            <v>-10</v>
          </cell>
          <cell r="F40">
            <v>-20</v>
          </cell>
          <cell r="G40">
            <v>-5</v>
          </cell>
          <cell r="H40">
            <v>-5</v>
          </cell>
          <cell r="I40">
            <v>-10</v>
          </cell>
          <cell r="J40">
            <v>-10</v>
          </cell>
          <cell r="K40">
            <v>-15</v>
          </cell>
          <cell r="L40">
            <v>-15</v>
          </cell>
          <cell r="M40">
            <v>-20</v>
          </cell>
          <cell r="N40">
            <v>-10</v>
          </cell>
          <cell r="O40">
            <v>5</v>
          </cell>
          <cell r="P40">
            <v>40</v>
          </cell>
          <cell r="Q40">
            <v>60</v>
          </cell>
          <cell r="R40">
            <v>50</v>
          </cell>
          <cell r="S40">
            <v>50</v>
          </cell>
          <cell r="T40" t="str">
            <v>Cloud Technologies</v>
          </cell>
          <cell r="U40" t="str">
            <v>Server Upgrades</v>
          </cell>
          <cell r="V40" t="str">
            <v>Virtualization</v>
          </cell>
          <cell r="W40" t="str">
            <v>NA / No Decrease</v>
          </cell>
          <cell r="Z40" t="str">
            <v>Upward revision is more likely</v>
          </cell>
          <cell r="AA40" t="str">
            <v>Cloud projects</v>
          </cell>
          <cell r="AB40" t="str">
            <v>Core infrastructure</v>
          </cell>
          <cell r="AC40" t="str">
            <v>Significantly less aggressive in discounting</v>
          </cell>
          <cell r="AD40" t="str">
            <v>No Change</v>
          </cell>
          <cell r="AE40">
            <v>50</v>
          </cell>
          <cell r="AF40">
            <v>20</v>
          </cell>
          <cell r="AG40">
            <v>30</v>
          </cell>
          <cell r="AH40" t="str">
            <v>40/60</v>
          </cell>
          <cell r="AI40" t="str">
            <v>In-Line</v>
          </cell>
          <cell r="AJ40">
            <v>-10</v>
          </cell>
          <cell r="AK40">
            <v>0</v>
          </cell>
          <cell r="AL40">
            <v>0</v>
          </cell>
          <cell r="AM40">
            <v>0</v>
          </cell>
          <cell r="AN40">
            <v>-15</v>
          </cell>
          <cell r="AO40" t="str">
            <v>NA / DK</v>
          </cell>
          <cell r="AP40" t="str">
            <v>NA / DK</v>
          </cell>
          <cell r="AQ40">
            <v>-10</v>
          </cell>
          <cell r="AR40" t="str">
            <v>Don't Use</v>
          </cell>
          <cell r="AS40" t="str">
            <v>Don't Use</v>
          </cell>
          <cell r="AT40" t="str">
            <v>Don't Use</v>
          </cell>
          <cell r="AU40" t="str">
            <v>Flat</v>
          </cell>
          <cell r="AV40" t="str">
            <v>Don't Use</v>
          </cell>
          <cell r="AW40" t="str">
            <v>Don't Use</v>
          </cell>
          <cell r="AX40" t="str">
            <v>Flat</v>
          </cell>
          <cell r="AY40" t="str">
            <v>Don't Use</v>
          </cell>
          <cell r="AZ40" t="str">
            <v>Don't Use</v>
          </cell>
          <cell r="BA40" t="str">
            <v>Don't Use</v>
          </cell>
          <cell r="BB40" t="str">
            <v>Flat</v>
          </cell>
          <cell r="BC40" t="str">
            <v>Decrease</v>
          </cell>
          <cell r="BD40" t="str">
            <v>Flat</v>
          </cell>
          <cell r="BE40" t="str">
            <v>Don't Use</v>
          </cell>
          <cell r="BF40" t="str">
            <v>Don't Use</v>
          </cell>
          <cell r="BG40" t="str">
            <v>Don't Use</v>
          </cell>
          <cell r="BH40" t="str">
            <v>Don't Use</v>
          </cell>
          <cell r="BI40" t="str">
            <v>Already using services provider</v>
          </cell>
          <cell r="BJ40" t="str">
            <v>Not Priority</v>
          </cell>
          <cell r="BK40" t="str">
            <v>Already using services provider</v>
          </cell>
          <cell r="BL40" t="str">
            <v>Not Priority</v>
          </cell>
          <cell r="BM40" t="str">
            <v>Doing work internally</v>
          </cell>
          <cell r="BN40" t="str">
            <v>Already using services provider</v>
          </cell>
          <cell r="BO40" t="str">
            <v>Not Priority</v>
          </cell>
          <cell r="BP40" t="str">
            <v>Not Priority</v>
          </cell>
          <cell r="BQ40" t="str">
            <v>Already using services provider</v>
          </cell>
          <cell r="BR40" t="str">
            <v>Not Priority</v>
          </cell>
          <cell r="BS40" t="str">
            <v>Doing work internally</v>
          </cell>
          <cell r="BT40" t="str">
            <v>Already using services provider</v>
          </cell>
          <cell r="BU40">
            <v>4</v>
          </cell>
          <cell r="BV40">
            <v>3</v>
          </cell>
          <cell r="BW40">
            <v>2</v>
          </cell>
          <cell r="BX40">
            <v>5</v>
          </cell>
          <cell r="BY40">
            <v>7</v>
          </cell>
          <cell r="BZ40">
            <v>1</v>
          </cell>
          <cell r="CA40">
            <v>6</v>
          </cell>
          <cell r="CB40" t="str">
            <v>Somewhat more aggressive in discounting</v>
          </cell>
        </row>
        <row r="41">
          <cell r="A41" t="str">
            <v>EU</v>
          </cell>
          <cell r="B41" t="str">
            <v>Retail</v>
          </cell>
          <cell r="C41" t="str">
            <v>$10-15 Billion</v>
          </cell>
          <cell r="D41" t="str">
            <v>&gt;$700 Million</v>
          </cell>
          <cell r="E41">
            <v>0</v>
          </cell>
          <cell r="F41">
            <v>-10</v>
          </cell>
          <cell r="G41">
            <v>3</v>
          </cell>
          <cell r="H41">
            <v>0</v>
          </cell>
          <cell r="I41">
            <v>5</v>
          </cell>
          <cell r="J41">
            <v>0</v>
          </cell>
          <cell r="K41">
            <v>-5</v>
          </cell>
          <cell r="L41">
            <v>-5</v>
          </cell>
          <cell r="M41">
            <v>-10</v>
          </cell>
          <cell r="N41">
            <v>-10</v>
          </cell>
          <cell r="O41">
            <v>7</v>
          </cell>
          <cell r="P41">
            <v>40</v>
          </cell>
          <cell r="Q41">
            <v>60</v>
          </cell>
          <cell r="R41">
            <v>50</v>
          </cell>
          <cell r="S41">
            <v>50</v>
          </cell>
          <cell r="T41" t="str">
            <v>NA / No Increase</v>
          </cell>
          <cell r="W41" t="str">
            <v>NA / No Decrease</v>
          </cell>
          <cell r="Z41" t="str">
            <v>Equal chance of upward or downward revision</v>
          </cell>
          <cell r="AA41" t="str">
            <v>Collaboration tools</v>
          </cell>
          <cell r="AB41" t="str">
            <v>Security</v>
          </cell>
          <cell r="AC41" t="str">
            <v>No change in level of discounting</v>
          </cell>
          <cell r="AD41" t="str">
            <v>No Change</v>
          </cell>
          <cell r="AE41">
            <v>20</v>
          </cell>
          <cell r="AF41">
            <v>60</v>
          </cell>
          <cell r="AG41">
            <v>0</v>
          </cell>
          <cell r="AH41" t="str">
            <v>60/40</v>
          </cell>
          <cell r="AI41" t="str">
            <v>In-Line</v>
          </cell>
          <cell r="AJ41">
            <v>-10</v>
          </cell>
          <cell r="AK41">
            <v>3</v>
          </cell>
          <cell r="AL41">
            <v>0</v>
          </cell>
          <cell r="AM41">
            <v>5</v>
          </cell>
          <cell r="AN41">
            <v>5</v>
          </cell>
          <cell r="AO41">
            <v>5</v>
          </cell>
          <cell r="AP41">
            <v>3</v>
          </cell>
          <cell r="AQ41">
            <v>8</v>
          </cell>
          <cell r="AR41" t="str">
            <v>Don't Use</v>
          </cell>
          <cell r="AS41" t="str">
            <v>Don't Use</v>
          </cell>
          <cell r="AT41" t="str">
            <v>Don't Use</v>
          </cell>
          <cell r="AU41" t="str">
            <v>Decrease</v>
          </cell>
          <cell r="AV41" t="str">
            <v>Don't Use</v>
          </cell>
          <cell r="AW41" t="str">
            <v>Don't Use</v>
          </cell>
          <cell r="AX41" t="str">
            <v>Don't Use</v>
          </cell>
          <cell r="AY41" t="str">
            <v>Don't Use</v>
          </cell>
          <cell r="AZ41" t="str">
            <v>Don't Use</v>
          </cell>
          <cell r="BA41" t="str">
            <v>Decrease</v>
          </cell>
          <cell r="BB41" t="str">
            <v>Don't Use</v>
          </cell>
          <cell r="BC41" t="str">
            <v>Don't Use</v>
          </cell>
          <cell r="BD41" t="str">
            <v>Flat</v>
          </cell>
          <cell r="BE41" t="str">
            <v>Don't Use</v>
          </cell>
          <cell r="BF41" t="str">
            <v>Don't Use</v>
          </cell>
          <cell r="BG41" t="str">
            <v>Flat</v>
          </cell>
          <cell r="BH41" t="str">
            <v>Don't Use</v>
          </cell>
          <cell r="BI41" t="str">
            <v>Doing work internally</v>
          </cell>
          <cell r="BJ41" t="str">
            <v>Not Priority</v>
          </cell>
          <cell r="BK41" t="str">
            <v>Doing work internally</v>
          </cell>
          <cell r="BL41" t="str">
            <v>Not Priority</v>
          </cell>
          <cell r="BM41" t="str">
            <v>Already using services provider</v>
          </cell>
          <cell r="BN41" t="str">
            <v>Already using services provider</v>
          </cell>
          <cell r="BO41" t="str">
            <v>Already using services provider</v>
          </cell>
          <cell r="BP41" t="str">
            <v>Not Priority</v>
          </cell>
          <cell r="BQ41" t="str">
            <v>Already using services provider</v>
          </cell>
          <cell r="BR41" t="str">
            <v>Not Priority</v>
          </cell>
          <cell r="BS41" t="str">
            <v>Doing work internally</v>
          </cell>
          <cell r="BT41" t="str">
            <v>Not Priority</v>
          </cell>
          <cell r="BU41">
            <v>2</v>
          </cell>
          <cell r="BV41">
            <v>3</v>
          </cell>
          <cell r="BW41">
            <v>6</v>
          </cell>
          <cell r="BX41">
            <v>7</v>
          </cell>
          <cell r="BY41">
            <v>1</v>
          </cell>
          <cell r="BZ41">
            <v>5</v>
          </cell>
          <cell r="CA41">
            <v>4</v>
          </cell>
          <cell r="CB41" t="str">
            <v>No change in level of discounting</v>
          </cell>
        </row>
        <row r="42">
          <cell r="A42" t="str">
            <v>EU</v>
          </cell>
          <cell r="B42" t="str">
            <v>Retail</v>
          </cell>
          <cell r="C42" t="str">
            <v>$1-5 Billion</v>
          </cell>
          <cell r="D42" t="str">
            <v>$100-200 Million</v>
          </cell>
          <cell r="E42">
            <v>15</v>
          </cell>
          <cell r="F42">
            <v>10</v>
          </cell>
          <cell r="G42">
            <v>12</v>
          </cell>
          <cell r="H42">
            <v>10</v>
          </cell>
          <cell r="I42">
            <v>8</v>
          </cell>
          <cell r="J42">
            <v>0</v>
          </cell>
          <cell r="K42">
            <v>10</v>
          </cell>
          <cell r="L42">
            <v>15</v>
          </cell>
          <cell r="M42">
            <v>5</v>
          </cell>
          <cell r="N42">
            <v>0</v>
          </cell>
          <cell r="O42">
            <v>9</v>
          </cell>
          <cell r="P42">
            <v>55</v>
          </cell>
          <cell r="Q42">
            <v>45</v>
          </cell>
          <cell r="R42">
            <v>50</v>
          </cell>
          <cell r="S42">
            <v>50</v>
          </cell>
          <cell r="T42" t="str">
            <v>Database management tools</v>
          </cell>
          <cell r="U42" t="str">
            <v>BI</v>
          </cell>
          <cell r="V42" t="str">
            <v>ERP</v>
          </cell>
          <cell r="W42" t="str">
            <v>Old server hardware going offline</v>
          </cell>
          <cell r="Z42" t="str">
            <v>Downward revision is more likely</v>
          </cell>
          <cell r="AA42" t="str">
            <v>NA / DK</v>
          </cell>
          <cell r="AB42" t="str">
            <v>NA / DK</v>
          </cell>
          <cell r="AC42" t="str">
            <v>Somewhat more aggressive in discounting</v>
          </cell>
          <cell r="AD42" t="str">
            <v>No Change</v>
          </cell>
          <cell r="AE42" t="str">
            <v>NA / DK</v>
          </cell>
          <cell r="AF42" t="str">
            <v>NA / DK</v>
          </cell>
          <cell r="AG42" t="str">
            <v>NA / DK</v>
          </cell>
          <cell r="AH42" t="str">
            <v>40/60</v>
          </cell>
          <cell r="AI42" t="str">
            <v>In-Line</v>
          </cell>
          <cell r="AJ42">
            <v>15</v>
          </cell>
          <cell r="AK42">
            <v>10</v>
          </cell>
          <cell r="AL42">
            <v>0</v>
          </cell>
          <cell r="AM42">
            <v>0</v>
          </cell>
          <cell r="AN42">
            <v>15</v>
          </cell>
          <cell r="AO42">
            <v>10</v>
          </cell>
          <cell r="AP42">
            <v>8</v>
          </cell>
          <cell r="AQ42">
            <v>5</v>
          </cell>
          <cell r="AR42" t="str">
            <v>Don't Use</v>
          </cell>
          <cell r="AS42" t="str">
            <v>Don't Use</v>
          </cell>
          <cell r="AT42" t="str">
            <v>Don't Use</v>
          </cell>
          <cell r="AU42" t="str">
            <v>Flat</v>
          </cell>
          <cell r="AV42" t="str">
            <v>Don't Use</v>
          </cell>
          <cell r="AW42" t="str">
            <v>Don't Use</v>
          </cell>
          <cell r="AX42" t="str">
            <v>Don't Use</v>
          </cell>
          <cell r="AY42" t="str">
            <v>Don't Use</v>
          </cell>
          <cell r="AZ42" t="str">
            <v>Don't Use</v>
          </cell>
          <cell r="BA42" t="str">
            <v>Don't Use</v>
          </cell>
          <cell r="BB42" t="str">
            <v>Flat</v>
          </cell>
          <cell r="BC42" t="str">
            <v>Increase</v>
          </cell>
          <cell r="BD42" t="str">
            <v>Don't Use</v>
          </cell>
          <cell r="BE42" t="str">
            <v>Flat</v>
          </cell>
          <cell r="BF42" t="str">
            <v>Flat</v>
          </cell>
          <cell r="BG42" t="str">
            <v>Don't Use</v>
          </cell>
          <cell r="BH42" t="str">
            <v>Flat</v>
          </cell>
          <cell r="BI42" t="str">
            <v>Already using services provider</v>
          </cell>
          <cell r="BJ42" t="str">
            <v>Doing work internally</v>
          </cell>
          <cell r="BK42" t="str">
            <v>Doing work internally</v>
          </cell>
          <cell r="BL42" t="str">
            <v>Doing work internally</v>
          </cell>
          <cell r="BM42" t="str">
            <v>Already using services provider</v>
          </cell>
          <cell r="BN42" t="str">
            <v>Not Priority</v>
          </cell>
          <cell r="BO42" t="str">
            <v>Not Priority</v>
          </cell>
          <cell r="BP42" t="str">
            <v>Not Priority</v>
          </cell>
          <cell r="BQ42" t="str">
            <v>Not Priority</v>
          </cell>
          <cell r="BR42" t="str">
            <v>Doing work internally</v>
          </cell>
          <cell r="BS42" t="str">
            <v>Doing work internally</v>
          </cell>
          <cell r="BT42" t="str">
            <v>Not Priority</v>
          </cell>
          <cell r="BU42">
            <v>4</v>
          </cell>
          <cell r="BV42">
            <v>6</v>
          </cell>
          <cell r="BW42">
            <v>2</v>
          </cell>
          <cell r="BX42">
            <v>3</v>
          </cell>
          <cell r="BY42">
            <v>5</v>
          </cell>
          <cell r="BZ42">
            <v>7</v>
          </cell>
          <cell r="CA42">
            <v>1</v>
          </cell>
          <cell r="CB42" t="str">
            <v>No change in level of discounting</v>
          </cell>
        </row>
        <row r="43">
          <cell r="A43" t="str">
            <v>EU</v>
          </cell>
          <cell r="B43" t="str">
            <v>Retail</v>
          </cell>
          <cell r="C43" t="str">
            <v>$1-5 Billion</v>
          </cell>
          <cell r="D43" t="str">
            <v>$300-400 Million</v>
          </cell>
          <cell r="E43">
            <v>-5</v>
          </cell>
          <cell r="F43">
            <v>3</v>
          </cell>
          <cell r="G43">
            <v>-5</v>
          </cell>
          <cell r="H43">
            <v>0</v>
          </cell>
          <cell r="I43">
            <v>5</v>
          </cell>
          <cell r="J43">
            <v>-10</v>
          </cell>
          <cell r="K43">
            <v>0</v>
          </cell>
          <cell r="L43">
            <v>0</v>
          </cell>
          <cell r="M43">
            <v>-5</v>
          </cell>
          <cell r="N43">
            <v>0</v>
          </cell>
          <cell r="O43">
            <v>3</v>
          </cell>
          <cell r="P43">
            <v>60</v>
          </cell>
          <cell r="Q43">
            <v>40</v>
          </cell>
          <cell r="R43">
            <v>40</v>
          </cell>
          <cell r="S43">
            <v>60</v>
          </cell>
          <cell r="T43" t="str">
            <v>Web 2.0</v>
          </cell>
          <cell r="U43" t="str">
            <v>Customer portal</v>
          </cell>
          <cell r="V43" t="str">
            <v>Notebooks</v>
          </cell>
          <cell r="W43" t="str">
            <v>Legacy hardware systems</v>
          </cell>
          <cell r="X43" t="str">
            <v>Desktop PCs</v>
          </cell>
          <cell r="Z43" t="str">
            <v>‘No change’ to the budget is likely</v>
          </cell>
          <cell r="AA43" t="str">
            <v>Budget is set for year</v>
          </cell>
          <cell r="AB43" t="str">
            <v>NA / DK</v>
          </cell>
          <cell r="AC43" t="str">
            <v>Somewhat more aggressive in discounting</v>
          </cell>
          <cell r="AD43" t="str">
            <v>Somewhat longer</v>
          </cell>
          <cell r="AE43" t="str">
            <v>NA / DK</v>
          </cell>
          <cell r="AF43" t="str">
            <v>NA / DK</v>
          </cell>
          <cell r="AG43" t="str">
            <v>NA / DK</v>
          </cell>
          <cell r="AH43" t="str">
            <v>60/40</v>
          </cell>
          <cell r="AI43" t="str">
            <v>Under</v>
          </cell>
          <cell r="AJ43">
            <v>0</v>
          </cell>
          <cell r="AK43">
            <v>0</v>
          </cell>
          <cell r="AL43" t="str">
            <v>NA / DK</v>
          </cell>
          <cell r="AM43" t="str">
            <v>NA / DK</v>
          </cell>
          <cell r="AN43">
            <v>0</v>
          </cell>
          <cell r="AO43">
            <v>0</v>
          </cell>
          <cell r="AP43" t="str">
            <v>NA / DK</v>
          </cell>
          <cell r="AQ43" t="str">
            <v>NA / DK</v>
          </cell>
          <cell r="AR43" t="str">
            <v>Don't Use</v>
          </cell>
          <cell r="AS43" t="str">
            <v>Don't Use</v>
          </cell>
          <cell r="AT43" t="str">
            <v>Don't Use</v>
          </cell>
          <cell r="AU43" t="str">
            <v>Decrease</v>
          </cell>
          <cell r="AV43" t="str">
            <v>Don't Use</v>
          </cell>
          <cell r="AW43" t="str">
            <v>Flat</v>
          </cell>
          <cell r="AX43" t="str">
            <v>Don't Use</v>
          </cell>
          <cell r="AY43" t="str">
            <v>Don't Use</v>
          </cell>
          <cell r="AZ43" t="str">
            <v>Don't Use</v>
          </cell>
          <cell r="BA43" t="str">
            <v>Don't Use</v>
          </cell>
          <cell r="BB43" t="str">
            <v>Don't Use</v>
          </cell>
          <cell r="BC43" t="str">
            <v>Don't Use</v>
          </cell>
          <cell r="BD43" t="str">
            <v>Flat</v>
          </cell>
          <cell r="BE43" t="str">
            <v>Flat</v>
          </cell>
          <cell r="BF43" t="str">
            <v>Don't Use</v>
          </cell>
          <cell r="BG43" t="str">
            <v>Increase</v>
          </cell>
          <cell r="BH43" t="str">
            <v>Don't Use</v>
          </cell>
          <cell r="BI43" t="str">
            <v>Not Priority</v>
          </cell>
          <cell r="BJ43" t="str">
            <v>Not Priority</v>
          </cell>
          <cell r="BK43" t="str">
            <v>Not Priority</v>
          </cell>
          <cell r="BL43" t="str">
            <v>Not Priority</v>
          </cell>
          <cell r="BM43" t="str">
            <v>Not Priority</v>
          </cell>
          <cell r="BN43" t="str">
            <v>Not Priority</v>
          </cell>
          <cell r="BO43" t="str">
            <v>Will use services provider 2H12</v>
          </cell>
          <cell r="BP43" t="str">
            <v>Not Priority</v>
          </cell>
          <cell r="BQ43" t="str">
            <v>Already using services provider</v>
          </cell>
          <cell r="BR43" t="str">
            <v>Already using services provider</v>
          </cell>
          <cell r="BS43" t="str">
            <v>Not Priority</v>
          </cell>
          <cell r="BT43" t="str">
            <v>Not Priority</v>
          </cell>
          <cell r="BU43">
            <v>2</v>
          </cell>
          <cell r="BV43">
            <v>6</v>
          </cell>
          <cell r="BW43">
            <v>4</v>
          </cell>
          <cell r="BX43">
            <v>1</v>
          </cell>
          <cell r="BY43">
            <v>5</v>
          </cell>
          <cell r="BZ43">
            <v>3</v>
          </cell>
          <cell r="CA43">
            <v>7</v>
          </cell>
          <cell r="CB43" t="str">
            <v>Somewhat less aggressive in discounting</v>
          </cell>
        </row>
        <row r="44">
          <cell r="A44" t="str">
            <v>EU</v>
          </cell>
          <cell r="B44" t="str">
            <v>Retail</v>
          </cell>
          <cell r="C44" t="str">
            <v>$1-5 Billion</v>
          </cell>
          <cell r="D44" t="str">
            <v>$200-300 Million</v>
          </cell>
          <cell r="E44">
            <v>0</v>
          </cell>
          <cell r="F44">
            <v>0</v>
          </cell>
          <cell r="G44">
            <v>2</v>
          </cell>
          <cell r="H44">
            <v>-5</v>
          </cell>
          <cell r="I44">
            <v>0</v>
          </cell>
          <cell r="J44">
            <v>-5</v>
          </cell>
          <cell r="K44">
            <v>5</v>
          </cell>
          <cell r="L44">
            <v>10</v>
          </cell>
          <cell r="M44">
            <v>3</v>
          </cell>
          <cell r="N44">
            <v>3</v>
          </cell>
          <cell r="O44">
            <v>5</v>
          </cell>
          <cell r="P44">
            <v>70</v>
          </cell>
          <cell r="Q44">
            <v>30</v>
          </cell>
          <cell r="R44">
            <v>50</v>
          </cell>
          <cell r="S44">
            <v>50</v>
          </cell>
          <cell r="T44" t="str">
            <v>Tablets</v>
          </cell>
          <cell r="U44" t="str">
            <v>Mobile apps</v>
          </cell>
          <cell r="V44" t="str">
            <v>Remote access</v>
          </cell>
          <cell r="W44" t="str">
            <v>Legacy maintenance</v>
          </cell>
          <cell r="Z44" t="str">
            <v>Equal chance of upward or downward revision</v>
          </cell>
          <cell r="AA44" t="str">
            <v xml:space="preserve">Tablets  </v>
          </cell>
          <cell r="AB44" t="str">
            <v>Maintenance spending</v>
          </cell>
          <cell r="AC44" t="str">
            <v>No change in level of discounting</v>
          </cell>
          <cell r="AD44" t="str">
            <v>Somewhat longer</v>
          </cell>
          <cell r="AE44">
            <v>80</v>
          </cell>
          <cell r="AF44">
            <v>10</v>
          </cell>
          <cell r="AG44">
            <v>10</v>
          </cell>
          <cell r="AH44" t="str">
            <v>60/40</v>
          </cell>
          <cell r="AI44" t="str">
            <v>Under</v>
          </cell>
          <cell r="AJ44">
            <v>7</v>
          </cell>
          <cell r="AK44">
            <v>7</v>
          </cell>
          <cell r="AL44">
            <v>0</v>
          </cell>
          <cell r="AM44">
            <v>0</v>
          </cell>
          <cell r="AN44">
            <v>3</v>
          </cell>
          <cell r="AO44">
            <v>0</v>
          </cell>
          <cell r="AP44">
            <v>0</v>
          </cell>
          <cell r="AQ44">
            <v>0</v>
          </cell>
          <cell r="AR44" t="str">
            <v>Flat</v>
          </cell>
          <cell r="AS44" t="str">
            <v>Don't Use</v>
          </cell>
          <cell r="AT44" t="str">
            <v>Don't Use</v>
          </cell>
          <cell r="AU44" t="str">
            <v>Don't Use</v>
          </cell>
          <cell r="AV44" t="str">
            <v>Don't Use</v>
          </cell>
          <cell r="AW44" t="str">
            <v>Don't Use</v>
          </cell>
          <cell r="AX44" t="str">
            <v>Don't Use</v>
          </cell>
          <cell r="AY44" t="str">
            <v>Don't Use</v>
          </cell>
          <cell r="AZ44" t="str">
            <v>Don't Use</v>
          </cell>
          <cell r="BA44" t="str">
            <v>Flat</v>
          </cell>
          <cell r="BB44" t="str">
            <v>Don't Use</v>
          </cell>
          <cell r="BC44" t="str">
            <v>Flat</v>
          </cell>
          <cell r="BD44" t="str">
            <v>Don't Use</v>
          </cell>
          <cell r="BE44" t="str">
            <v>Don't Use</v>
          </cell>
          <cell r="BF44" t="str">
            <v>Decrease</v>
          </cell>
          <cell r="BG44" t="str">
            <v>Don't Use</v>
          </cell>
          <cell r="BH44" t="str">
            <v>Don't Use</v>
          </cell>
          <cell r="BI44" t="str">
            <v>Already using services provider</v>
          </cell>
          <cell r="BJ44" t="str">
            <v>Not Priority</v>
          </cell>
          <cell r="BK44" t="str">
            <v>Doing work internally</v>
          </cell>
          <cell r="BL44" t="str">
            <v>Already using services provider</v>
          </cell>
          <cell r="BM44" t="str">
            <v>Doing work internally</v>
          </cell>
          <cell r="BN44" t="str">
            <v>Doing work internally</v>
          </cell>
          <cell r="BO44" t="str">
            <v>Not Priority</v>
          </cell>
          <cell r="BP44" t="str">
            <v>Not Priority</v>
          </cell>
          <cell r="BQ44" t="str">
            <v>Will use services provider 2H12</v>
          </cell>
          <cell r="BR44" t="str">
            <v>Already using services provider</v>
          </cell>
          <cell r="BS44" t="str">
            <v>Not Priority</v>
          </cell>
          <cell r="BT44" t="str">
            <v>Will use services provider 2H12</v>
          </cell>
          <cell r="BU44">
            <v>1</v>
          </cell>
          <cell r="BV44">
            <v>4</v>
          </cell>
          <cell r="BW44">
            <v>3</v>
          </cell>
          <cell r="BX44">
            <v>7</v>
          </cell>
          <cell r="BY44">
            <v>6</v>
          </cell>
          <cell r="BZ44">
            <v>2</v>
          </cell>
          <cell r="CA44">
            <v>5</v>
          </cell>
          <cell r="CB44" t="str">
            <v>Somewhat less aggressive in discounting</v>
          </cell>
        </row>
        <row r="45">
          <cell r="A45" t="str">
            <v>EU</v>
          </cell>
          <cell r="B45" t="str">
            <v>Technology</v>
          </cell>
          <cell r="C45" t="str">
            <v>$500 Million - $1 Billion</v>
          </cell>
          <cell r="D45" t="str">
            <v>&lt;$100 Million</v>
          </cell>
          <cell r="E45">
            <v>-7</v>
          </cell>
          <cell r="F45">
            <v>-5</v>
          </cell>
          <cell r="G45">
            <v>-5</v>
          </cell>
          <cell r="H45">
            <v>0</v>
          </cell>
          <cell r="I45">
            <v>0</v>
          </cell>
          <cell r="J45">
            <v>-10</v>
          </cell>
          <cell r="K45" t="str">
            <v>DK</v>
          </cell>
          <cell r="L45" t="str">
            <v>DK</v>
          </cell>
          <cell r="M45" t="str">
            <v>DK</v>
          </cell>
          <cell r="N45" t="str">
            <v>DK</v>
          </cell>
          <cell r="O45">
            <v>4</v>
          </cell>
          <cell r="P45">
            <v>40</v>
          </cell>
          <cell r="Q45">
            <v>60</v>
          </cell>
          <cell r="R45">
            <v>50</v>
          </cell>
          <cell r="S45">
            <v>50</v>
          </cell>
          <cell r="T45" t="str">
            <v>Custome application development</v>
          </cell>
          <cell r="U45" t="str">
            <v>Window upgrades</v>
          </cell>
          <cell r="V45" t="str">
            <v>Storage capacity</v>
          </cell>
          <cell r="W45" t="str">
            <v>Professional Services</v>
          </cell>
          <cell r="X45" t="str">
            <v>ERP updates</v>
          </cell>
          <cell r="Z45" t="str">
            <v>‘No change’ to the budget is likely</v>
          </cell>
          <cell r="AA45" t="str">
            <v xml:space="preserve">New Projects  </v>
          </cell>
          <cell r="AB45" t="str">
            <v>Mission critical systems</v>
          </cell>
          <cell r="AC45" t="str">
            <v>No change in level of discounting</v>
          </cell>
          <cell r="AD45" t="str">
            <v>No Change</v>
          </cell>
          <cell r="AE45" t="str">
            <v>NA / DK</v>
          </cell>
          <cell r="AF45" t="str">
            <v>NA / DK</v>
          </cell>
          <cell r="AG45" t="str">
            <v>NA / DK</v>
          </cell>
          <cell r="AH45" t="str">
            <v>50/50</v>
          </cell>
          <cell r="AI45" t="str">
            <v>In-Line</v>
          </cell>
          <cell r="AJ45">
            <v>-5</v>
          </cell>
          <cell r="AK45">
            <v>-10</v>
          </cell>
          <cell r="AL45">
            <v>0</v>
          </cell>
          <cell r="AM45">
            <v>0</v>
          </cell>
          <cell r="AN45">
            <v>0</v>
          </cell>
          <cell r="AO45">
            <v>8</v>
          </cell>
          <cell r="AP45" t="str">
            <v>NA / DK</v>
          </cell>
          <cell r="AQ45" t="str">
            <v>NA / DK</v>
          </cell>
          <cell r="AR45" t="str">
            <v>Don't Use</v>
          </cell>
          <cell r="AS45" t="str">
            <v>Don't Use</v>
          </cell>
          <cell r="AT45" t="str">
            <v>Flat</v>
          </cell>
          <cell r="AU45" t="str">
            <v>Don't Use</v>
          </cell>
          <cell r="AV45" t="str">
            <v>Flat</v>
          </cell>
          <cell r="AW45" t="str">
            <v>Don't Use</v>
          </cell>
          <cell r="AX45" t="str">
            <v>Flat</v>
          </cell>
          <cell r="AY45" t="str">
            <v>Don't Use</v>
          </cell>
          <cell r="AZ45" t="str">
            <v>Don't Use</v>
          </cell>
          <cell r="BA45" t="str">
            <v>Don't Use</v>
          </cell>
          <cell r="BB45" t="str">
            <v>Don't Use</v>
          </cell>
          <cell r="BC45" t="str">
            <v>Don't Use</v>
          </cell>
          <cell r="BD45" t="str">
            <v>Don't Use</v>
          </cell>
          <cell r="BE45" t="str">
            <v>Don't Use</v>
          </cell>
          <cell r="BF45" t="str">
            <v>Don't Use</v>
          </cell>
          <cell r="BG45" t="str">
            <v>Don't Use</v>
          </cell>
          <cell r="BH45" t="str">
            <v>Don't Use</v>
          </cell>
          <cell r="BI45" t="str">
            <v>Not Priority</v>
          </cell>
          <cell r="BJ45" t="str">
            <v>Doing work internally</v>
          </cell>
          <cell r="BK45" t="str">
            <v>Not Priority</v>
          </cell>
          <cell r="BL45" t="str">
            <v>Not Priority</v>
          </cell>
          <cell r="BM45" t="str">
            <v>Doing work internally</v>
          </cell>
          <cell r="BN45" t="str">
            <v>Not Priority</v>
          </cell>
          <cell r="BO45" t="str">
            <v>Not Priority</v>
          </cell>
          <cell r="BP45" t="str">
            <v>Not Priority</v>
          </cell>
          <cell r="BQ45" t="str">
            <v>Doing work internally</v>
          </cell>
          <cell r="BR45" t="str">
            <v>Not Priority</v>
          </cell>
          <cell r="BS45" t="str">
            <v>Not Priority</v>
          </cell>
          <cell r="BT45" t="str">
            <v>Not Priority</v>
          </cell>
          <cell r="BU45">
            <v>3</v>
          </cell>
          <cell r="BV45">
            <v>7</v>
          </cell>
          <cell r="BW45">
            <v>1</v>
          </cell>
          <cell r="BX45">
            <v>4</v>
          </cell>
          <cell r="BY45">
            <v>5</v>
          </cell>
          <cell r="BZ45">
            <v>2</v>
          </cell>
          <cell r="CA45">
            <v>6</v>
          </cell>
          <cell r="CB45" t="str">
            <v>No change in level of discounting</v>
          </cell>
        </row>
        <row r="46">
          <cell r="A46" t="str">
            <v>EU</v>
          </cell>
          <cell r="B46" t="str">
            <v>Technology</v>
          </cell>
          <cell r="C46" t="str">
            <v>$500 Million - $1 Billion</v>
          </cell>
          <cell r="D46" t="str">
            <v>&lt;$100 Million</v>
          </cell>
          <cell r="E46">
            <v>7</v>
          </cell>
          <cell r="F46">
            <v>0</v>
          </cell>
          <cell r="G46">
            <v>5</v>
          </cell>
          <cell r="H46">
            <v>10</v>
          </cell>
          <cell r="I46">
            <v>5</v>
          </cell>
          <cell r="J46">
            <v>5</v>
          </cell>
          <cell r="K46">
            <v>8</v>
          </cell>
          <cell r="L46">
            <v>10</v>
          </cell>
          <cell r="M46">
            <v>-5</v>
          </cell>
          <cell r="N46">
            <v>-5</v>
          </cell>
          <cell r="O46">
            <v>7</v>
          </cell>
          <cell r="P46">
            <v>45</v>
          </cell>
          <cell r="Q46">
            <v>55</v>
          </cell>
          <cell r="R46">
            <v>40</v>
          </cell>
          <cell r="S46">
            <v>60</v>
          </cell>
          <cell r="T46" t="str">
            <v>Data center consolidation</v>
          </cell>
          <cell r="U46" t="str">
            <v>Process automation in data center</v>
          </cell>
          <cell r="V46" t="str">
            <v>Authentication and monitoring software</v>
          </cell>
          <cell r="W46" t="str">
            <v>Regulatory projects</v>
          </cell>
          <cell r="X46" t="str">
            <v>PCs</v>
          </cell>
          <cell r="Y46" t="str">
            <v>Hardware upgrades</v>
          </cell>
          <cell r="Z46" t="str">
            <v>‘No change’ to the budget is likely</v>
          </cell>
          <cell r="AA46" t="str">
            <v xml:space="preserve">New Projects  </v>
          </cell>
          <cell r="AB46" t="str">
            <v>Data consolidation</v>
          </cell>
          <cell r="AC46" t="str">
            <v>No change in level of discounting</v>
          </cell>
          <cell r="AD46" t="str">
            <v>Significantly longer</v>
          </cell>
          <cell r="AE46">
            <v>45</v>
          </cell>
          <cell r="AF46">
            <v>55</v>
          </cell>
          <cell r="AG46">
            <v>0</v>
          </cell>
          <cell r="AH46" t="str">
            <v>50/50</v>
          </cell>
          <cell r="AI46" t="str">
            <v>In-Line</v>
          </cell>
          <cell r="AJ46">
            <v>0</v>
          </cell>
          <cell r="AK46">
            <v>-5</v>
          </cell>
          <cell r="AL46">
            <v>-5</v>
          </cell>
          <cell r="AM46">
            <v>-5</v>
          </cell>
          <cell r="AN46">
            <v>-10</v>
          </cell>
          <cell r="AO46">
            <v>0</v>
          </cell>
          <cell r="AP46">
            <v>-5</v>
          </cell>
          <cell r="AQ46">
            <v>5</v>
          </cell>
          <cell r="AR46" t="str">
            <v>Don't Use</v>
          </cell>
          <cell r="AS46" t="str">
            <v>Don't Use</v>
          </cell>
          <cell r="AT46" t="str">
            <v>Don't Use</v>
          </cell>
          <cell r="AU46" t="str">
            <v>Increase</v>
          </cell>
          <cell r="AV46" t="str">
            <v>Flat</v>
          </cell>
          <cell r="AW46" t="str">
            <v>Flat</v>
          </cell>
          <cell r="AX46" t="str">
            <v>Decrease</v>
          </cell>
          <cell r="AY46" t="str">
            <v>Don't Use</v>
          </cell>
          <cell r="AZ46" t="str">
            <v>Don't Use</v>
          </cell>
          <cell r="BA46" t="str">
            <v>Flat</v>
          </cell>
          <cell r="BB46" t="str">
            <v>Don't Use</v>
          </cell>
          <cell r="BC46" t="str">
            <v>Don't Use</v>
          </cell>
          <cell r="BD46" t="str">
            <v>Flat</v>
          </cell>
          <cell r="BE46" t="str">
            <v>Don't Use</v>
          </cell>
          <cell r="BF46" t="str">
            <v>Don't Use</v>
          </cell>
          <cell r="BG46" t="str">
            <v>Don't Use</v>
          </cell>
          <cell r="BH46" t="str">
            <v>Don't Use</v>
          </cell>
          <cell r="BI46" t="str">
            <v>Already using services provider</v>
          </cell>
          <cell r="BJ46" t="str">
            <v>Not Priority</v>
          </cell>
          <cell r="BK46" t="str">
            <v>Not Priority</v>
          </cell>
          <cell r="BL46" t="str">
            <v>Doing work internally</v>
          </cell>
          <cell r="BM46" t="str">
            <v>Will use services provider 2H12</v>
          </cell>
          <cell r="BN46" t="str">
            <v>Not Priority</v>
          </cell>
          <cell r="BO46" t="str">
            <v>Doing work internally</v>
          </cell>
          <cell r="BP46" t="str">
            <v>Doing work internally</v>
          </cell>
          <cell r="BQ46" t="str">
            <v>Already using services provider</v>
          </cell>
          <cell r="BR46" t="str">
            <v>Doing work internally</v>
          </cell>
          <cell r="BS46" t="str">
            <v>Not Priority</v>
          </cell>
          <cell r="BT46" t="str">
            <v>Not Priority</v>
          </cell>
          <cell r="BU46">
            <v>1</v>
          </cell>
          <cell r="BV46">
            <v>5</v>
          </cell>
          <cell r="BW46">
            <v>4</v>
          </cell>
          <cell r="BX46">
            <v>2</v>
          </cell>
          <cell r="BY46">
            <v>7</v>
          </cell>
          <cell r="BZ46">
            <v>3</v>
          </cell>
          <cell r="CA46">
            <v>6</v>
          </cell>
          <cell r="CB46" t="str">
            <v>Somewhat less aggressive in discounting</v>
          </cell>
        </row>
        <row r="47">
          <cell r="A47" t="str">
            <v>EU</v>
          </cell>
          <cell r="B47" t="str">
            <v>Technology</v>
          </cell>
          <cell r="C47" t="str">
            <v>$10-15 Billion</v>
          </cell>
          <cell r="D47" t="str">
            <v>$400-500 Million</v>
          </cell>
          <cell r="E47">
            <v>10</v>
          </cell>
          <cell r="F47">
            <v>0</v>
          </cell>
          <cell r="G47">
            <v>10</v>
          </cell>
          <cell r="H47">
            <v>5</v>
          </cell>
          <cell r="I47">
            <v>10</v>
          </cell>
          <cell r="J47">
            <v>15</v>
          </cell>
          <cell r="K47">
            <v>-5</v>
          </cell>
          <cell r="L47">
            <v>0</v>
          </cell>
          <cell r="M47">
            <v>5</v>
          </cell>
          <cell r="N47">
            <v>0</v>
          </cell>
          <cell r="O47">
            <v>4</v>
          </cell>
          <cell r="P47">
            <v>50</v>
          </cell>
          <cell r="Q47">
            <v>50</v>
          </cell>
          <cell r="R47">
            <v>40</v>
          </cell>
          <cell r="S47">
            <v>60</v>
          </cell>
          <cell r="T47" t="str">
            <v>Collaboration tools</v>
          </cell>
          <cell r="U47" t="str">
            <v>Deduplication</v>
          </cell>
          <cell r="W47" t="str">
            <v>NA / No Decrease</v>
          </cell>
          <cell r="Z47" t="str">
            <v>‘No change’ to the budget is likely</v>
          </cell>
          <cell r="AA47" t="str">
            <v>There will be no unforeseen cuts</v>
          </cell>
          <cell r="AB47" t="str">
            <v>Everything subject to cuts</v>
          </cell>
          <cell r="AC47" t="str">
            <v>No change in level of discounting</v>
          </cell>
          <cell r="AD47" t="str">
            <v>No Change</v>
          </cell>
          <cell r="AE47">
            <v>100</v>
          </cell>
          <cell r="AF47">
            <v>0</v>
          </cell>
          <cell r="AG47">
            <v>0</v>
          </cell>
          <cell r="AH47" t="str">
            <v>30/70</v>
          </cell>
          <cell r="AI47" t="str">
            <v>Under</v>
          </cell>
          <cell r="AJ47">
            <v>20</v>
          </cell>
          <cell r="AK47">
            <v>0</v>
          </cell>
          <cell r="AL47">
            <v>5</v>
          </cell>
          <cell r="AM47">
            <v>-5</v>
          </cell>
          <cell r="AN47">
            <v>4</v>
          </cell>
          <cell r="AO47">
            <v>0</v>
          </cell>
          <cell r="AP47">
            <v>10</v>
          </cell>
          <cell r="AQ47">
            <v>5</v>
          </cell>
          <cell r="AR47" t="str">
            <v>Don't Use</v>
          </cell>
          <cell r="AS47" t="str">
            <v>Decrease</v>
          </cell>
          <cell r="AT47" t="str">
            <v>Flat</v>
          </cell>
          <cell r="AU47" t="str">
            <v>Don't Use</v>
          </cell>
          <cell r="AV47" t="str">
            <v>Don't Use</v>
          </cell>
          <cell r="AW47" t="str">
            <v>Don't Use</v>
          </cell>
          <cell r="AX47" t="str">
            <v>Flat</v>
          </cell>
          <cell r="AY47" t="str">
            <v>Don't Use</v>
          </cell>
          <cell r="AZ47" t="str">
            <v>Decrease</v>
          </cell>
          <cell r="BA47" t="str">
            <v>Don't Use</v>
          </cell>
          <cell r="BB47" t="str">
            <v>Decrease</v>
          </cell>
          <cell r="BC47" t="str">
            <v>Increase</v>
          </cell>
          <cell r="BD47" t="str">
            <v>Don't Use</v>
          </cell>
          <cell r="BE47" t="str">
            <v>Don't Use</v>
          </cell>
          <cell r="BF47" t="str">
            <v>Flat</v>
          </cell>
          <cell r="BG47" t="str">
            <v>Don't Use</v>
          </cell>
          <cell r="BH47" t="str">
            <v>Don't Use</v>
          </cell>
          <cell r="BI47" t="str">
            <v>Not Priority</v>
          </cell>
          <cell r="BJ47" t="str">
            <v>Not Priority</v>
          </cell>
          <cell r="BK47" t="str">
            <v>Not Priority</v>
          </cell>
          <cell r="BL47" t="str">
            <v>Already using services provider</v>
          </cell>
          <cell r="BM47" t="str">
            <v>Doing work internally</v>
          </cell>
          <cell r="BN47" t="str">
            <v>Already using services provider</v>
          </cell>
          <cell r="BO47" t="str">
            <v>Doing work internally</v>
          </cell>
          <cell r="BP47" t="str">
            <v>Will use services provider 2H12</v>
          </cell>
          <cell r="BQ47" t="str">
            <v>Not Priority</v>
          </cell>
          <cell r="BR47" t="str">
            <v>Not Priority</v>
          </cell>
          <cell r="BS47" t="str">
            <v>Doing work internally</v>
          </cell>
          <cell r="BT47" t="str">
            <v>Not Priority</v>
          </cell>
          <cell r="BU47">
            <v>3</v>
          </cell>
          <cell r="BV47">
            <v>6</v>
          </cell>
          <cell r="BW47">
            <v>2</v>
          </cell>
          <cell r="BX47">
            <v>1</v>
          </cell>
          <cell r="BY47">
            <v>4</v>
          </cell>
          <cell r="BZ47">
            <v>7</v>
          </cell>
          <cell r="CA47">
            <v>5</v>
          </cell>
          <cell r="CB47" t="str">
            <v>No change in level of discounting</v>
          </cell>
        </row>
        <row r="48">
          <cell r="A48" t="str">
            <v>EU</v>
          </cell>
          <cell r="B48" t="str">
            <v>Technology</v>
          </cell>
          <cell r="C48" t="str">
            <v>$1-5 Billion</v>
          </cell>
          <cell r="D48" t="str">
            <v>$500-600 Million</v>
          </cell>
          <cell r="E48">
            <v>0</v>
          </cell>
          <cell r="F48">
            <v>0</v>
          </cell>
          <cell r="G48">
            <v>5</v>
          </cell>
          <cell r="H48">
            <v>0</v>
          </cell>
          <cell r="I48">
            <v>0</v>
          </cell>
          <cell r="J48">
            <v>3</v>
          </cell>
          <cell r="K48">
            <v>5</v>
          </cell>
          <cell r="L48">
            <v>3</v>
          </cell>
          <cell r="M48">
            <v>5</v>
          </cell>
          <cell r="N48">
            <v>0</v>
          </cell>
          <cell r="O48">
            <v>9</v>
          </cell>
          <cell r="P48">
            <v>50</v>
          </cell>
          <cell r="Q48">
            <v>50</v>
          </cell>
          <cell r="R48">
            <v>50</v>
          </cell>
          <cell r="S48">
            <v>50</v>
          </cell>
          <cell r="T48" t="str">
            <v>Collaboration tools</v>
          </cell>
          <cell r="U48" t="str">
            <v>Wireless access</v>
          </cell>
          <cell r="V48" t="str">
            <v>Custom apps</v>
          </cell>
          <cell r="W48" t="str">
            <v>Windows 7</v>
          </cell>
          <cell r="X48" t="str">
            <v>Accounting software</v>
          </cell>
          <cell r="Z48" t="str">
            <v>‘No change’ to the budget is likely</v>
          </cell>
          <cell r="AA48" t="str">
            <v>Windows upgrade</v>
          </cell>
          <cell r="AB48" t="str">
            <v>Back office applicatios</v>
          </cell>
          <cell r="AC48" t="str">
            <v>Somewhat less aggressive in discounting</v>
          </cell>
          <cell r="AD48" t="str">
            <v>No Change</v>
          </cell>
          <cell r="AE48">
            <v>100</v>
          </cell>
          <cell r="AF48">
            <v>0</v>
          </cell>
          <cell r="AG48">
            <v>0</v>
          </cell>
          <cell r="AH48" t="str">
            <v>40/60</v>
          </cell>
          <cell r="AI48" t="str">
            <v>Over</v>
          </cell>
          <cell r="AJ48">
            <v>-5</v>
          </cell>
          <cell r="AK48">
            <v>5</v>
          </cell>
          <cell r="AL48">
            <v>0</v>
          </cell>
          <cell r="AM48">
            <v>2</v>
          </cell>
          <cell r="AN48">
            <v>5</v>
          </cell>
          <cell r="AO48">
            <v>5</v>
          </cell>
          <cell r="AP48">
            <v>7</v>
          </cell>
          <cell r="AQ48">
            <v>10</v>
          </cell>
          <cell r="AR48" t="str">
            <v>Don't Use</v>
          </cell>
          <cell r="AS48" t="str">
            <v>Don't Use</v>
          </cell>
          <cell r="AT48" t="str">
            <v>Don't Use</v>
          </cell>
          <cell r="AU48" t="str">
            <v>Don't Use</v>
          </cell>
          <cell r="AV48" t="str">
            <v>Don't Use</v>
          </cell>
          <cell r="AW48" t="str">
            <v>Don't Use</v>
          </cell>
          <cell r="AX48" t="str">
            <v>Don't Use</v>
          </cell>
          <cell r="AY48" t="str">
            <v>Don't Use</v>
          </cell>
          <cell r="AZ48" t="str">
            <v>Don't Use</v>
          </cell>
          <cell r="BA48" t="str">
            <v>Don't Use</v>
          </cell>
          <cell r="BB48" t="str">
            <v>Flat</v>
          </cell>
          <cell r="BC48" t="str">
            <v>Flat</v>
          </cell>
          <cell r="BD48" t="str">
            <v>Don't Use</v>
          </cell>
          <cell r="BE48" t="str">
            <v>Don't Use</v>
          </cell>
          <cell r="BF48" t="str">
            <v>Don't Use</v>
          </cell>
          <cell r="BG48" t="str">
            <v>Don't Use</v>
          </cell>
          <cell r="BH48" t="str">
            <v>Don't Use</v>
          </cell>
          <cell r="BI48" t="str">
            <v>Not Priority</v>
          </cell>
          <cell r="BJ48" t="str">
            <v>Doing work internally</v>
          </cell>
          <cell r="BK48" t="str">
            <v>Will use services provider 2H12</v>
          </cell>
          <cell r="BL48" t="str">
            <v>Doing work internally</v>
          </cell>
          <cell r="BM48" t="str">
            <v>Doing work internally</v>
          </cell>
          <cell r="BN48" t="str">
            <v>Doing work internally</v>
          </cell>
          <cell r="BO48" t="str">
            <v>Doing work internally</v>
          </cell>
          <cell r="BP48" t="str">
            <v>Doing work internally</v>
          </cell>
          <cell r="BQ48" t="str">
            <v>Not Priority</v>
          </cell>
          <cell r="BR48" t="str">
            <v>Not Priority</v>
          </cell>
          <cell r="BS48" t="str">
            <v>Not Priority</v>
          </cell>
          <cell r="BT48" t="str">
            <v>Doing work internally</v>
          </cell>
          <cell r="BU48">
            <v>2</v>
          </cell>
          <cell r="BV48">
            <v>5</v>
          </cell>
          <cell r="BW48">
            <v>4</v>
          </cell>
          <cell r="BX48">
            <v>3</v>
          </cell>
          <cell r="BY48">
            <v>7</v>
          </cell>
          <cell r="BZ48">
            <v>6</v>
          </cell>
          <cell r="CA48">
            <v>1</v>
          </cell>
          <cell r="CB48" t="str">
            <v>No change in level of discounting</v>
          </cell>
        </row>
        <row r="49">
          <cell r="A49" t="str">
            <v>EU</v>
          </cell>
          <cell r="B49" t="str">
            <v>Technology</v>
          </cell>
          <cell r="C49" t="str">
            <v>$500 Million - $1 Billion</v>
          </cell>
          <cell r="D49" t="str">
            <v>&lt;$100 Million</v>
          </cell>
          <cell r="E49">
            <v>10</v>
          </cell>
          <cell r="F49">
            <v>13</v>
          </cell>
          <cell r="G49">
            <v>8</v>
          </cell>
          <cell r="H49">
            <v>0</v>
          </cell>
          <cell r="I49">
            <v>5</v>
          </cell>
          <cell r="J49">
            <v>0</v>
          </cell>
          <cell r="K49">
            <v>12</v>
          </cell>
          <cell r="L49">
            <v>10</v>
          </cell>
          <cell r="M49">
            <v>10</v>
          </cell>
          <cell r="N49">
            <v>0</v>
          </cell>
          <cell r="O49">
            <v>7</v>
          </cell>
          <cell r="P49">
            <v>50</v>
          </cell>
          <cell r="Q49">
            <v>50</v>
          </cell>
          <cell r="R49">
            <v>50</v>
          </cell>
          <cell r="S49">
            <v>50</v>
          </cell>
          <cell r="T49" t="str">
            <v>Enterprise 2.0</v>
          </cell>
          <cell r="U49" t="str">
            <v>Use of open source SW</v>
          </cell>
          <cell r="V49" t="str">
            <v>SW integration</v>
          </cell>
          <cell r="W49" t="str">
            <v>Data migration into central system</v>
          </cell>
          <cell r="X49" t="str">
            <v>Collaboration tools</v>
          </cell>
          <cell r="Y49" t="str">
            <v>Security updates</v>
          </cell>
          <cell r="Z49" t="str">
            <v>Equal chance of upward or downward revision</v>
          </cell>
          <cell r="AA49" t="str">
            <v>Consulting / Outsourcing</v>
          </cell>
          <cell r="AB49" t="str">
            <v>Internal staff</v>
          </cell>
          <cell r="AC49" t="str">
            <v>No change in level of discounting</v>
          </cell>
          <cell r="AD49" t="str">
            <v>No Change</v>
          </cell>
          <cell r="AE49">
            <v>50</v>
          </cell>
          <cell r="AF49">
            <v>0</v>
          </cell>
          <cell r="AG49">
            <v>50</v>
          </cell>
          <cell r="AH49" t="str">
            <v>40/60</v>
          </cell>
          <cell r="AI49" t="str">
            <v>In-Line</v>
          </cell>
          <cell r="AJ49">
            <v>5</v>
          </cell>
          <cell r="AK49">
            <v>10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 t="str">
            <v>Flat</v>
          </cell>
          <cell r="AS49" t="str">
            <v>Don't Use</v>
          </cell>
          <cell r="AT49" t="str">
            <v>Don't Use</v>
          </cell>
          <cell r="AU49" t="str">
            <v>Don't Use</v>
          </cell>
          <cell r="AV49" t="str">
            <v>Don't Use</v>
          </cell>
          <cell r="AW49" t="str">
            <v>Don't Use</v>
          </cell>
          <cell r="AX49" t="str">
            <v>Don't Use</v>
          </cell>
          <cell r="AY49" t="str">
            <v>Don't Use</v>
          </cell>
          <cell r="AZ49" t="str">
            <v>Don't Use</v>
          </cell>
          <cell r="BA49" t="str">
            <v>Don't Use</v>
          </cell>
          <cell r="BB49" t="str">
            <v>Don't Use</v>
          </cell>
          <cell r="BC49" t="str">
            <v>Don't Use</v>
          </cell>
          <cell r="BD49" t="str">
            <v>Don't Use</v>
          </cell>
          <cell r="BE49" t="str">
            <v>Don't Use</v>
          </cell>
          <cell r="BF49" t="str">
            <v>Don't Use</v>
          </cell>
          <cell r="BG49" t="str">
            <v>Don't Use</v>
          </cell>
          <cell r="BH49" t="str">
            <v>Don't Use</v>
          </cell>
          <cell r="BI49" t="str">
            <v>Not Priority</v>
          </cell>
          <cell r="BJ49" t="str">
            <v>Not Priority</v>
          </cell>
          <cell r="BK49" t="str">
            <v>Doing work internally</v>
          </cell>
          <cell r="BL49" t="str">
            <v>Not Priority</v>
          </cell>
          <cell r="BM49" t="str">
            <v>Doing work internally</v>
          </cell>
          <cell r="BN49" t="str">
            <v>Already using services provider</v>
          </cell>
          <cell r="BO49" t="str">
            <v>Doing work internally</v>
          </cell>
          <cell r="BP49" t="str">
            <v>Not Priority</v>
          </cell>
          <cell r="BQ49" t="str">
            <v>Will use services provider 2H12</v>
          </cell>
          <cell r="BR49" t="str">
            <v>Doing work internally</v>
          </cell>
          <cell r="BS49" t="str">
            <v>Not Priority</v>
          </cell>
          <cell r="BT49" t="str">
            <v>Not Priority</v>
          </cell>
          <cell r="BU49">
            <v>4</v>
          </cell>
          <cell r="BV49">
            <v>7</v>
          </cell>
          <cell r="BW49">
            <v>5</v>
          </cell>
          <cell r="BX49">
            <v>6</v>
          </cell>
          <cell r="BY49">
            <v>2</v>
          </cell>
          <cell r="BZ49">
            <v>3</v>
          </cell>
          <cell r="CA49">
            <v>1</v>
          </cell>
          <cell r="CB49" t="str">
            <v>No change in level of discounting</v>
          </cell>
        </row>
        <row r="50">
          <cell r="A50" t="str">
            <v>EU</v>
          </cell>
          <cell r="B50" t="str">
            <v>Transportation</v>
          </cell>
          <cell r="C50" t="str">
            <v>$1-5 Billion</v>
          </cell>
          <cell r="D50" t="str">
            <v>$200-300 Million</v>
          </cell>
          <cell r="E50">
            <v>11</v>
          </cell>
          <cell r="F50">
            <v>0</v>
          </cell>
          <cell r="G50">
            <v>10</v>
          </cell>
          <cell r="H50">
            <v>12</v>
          </cell>
          <cell r="I50">
            <v>5</v>
          </cell>
          <cell r="J50">
            <v>10</v>
          </cell>
          <cell r="K50">
            <v>5</v>
          </cell>
          <cell r="L50">
            <v>10</v>
          </cell>
          <cell r="M50">
            <v>5</v>
          </cell>
          <cell r="N50">
            <v>5</v>
          </cell>
          <cell r="O50">
            <v>8</v>
          </cell>
          <cell r="P50">
            <v>50</v>
          </cell>
          <cell r="Q50">
            <v>50</v>
          </cell>
          <cell r="R50">
            <v>50</v>
          </cell>
          <cell r="S50">
            <v>50</v>
          </cell>
          <cell r="T50" t="str">
            <v>Datacenter energy efficiency</v>
          </cell>
          <cell r="U50" t="str">
            <v>Collaboration tools</v>
          </cell>
          <cell r="V50" t="str">
            <v>Data Warehousing</v>
          </cell>
          <cell r="W50" t="str">
            <v>Custom applications</v>
          </cell>
          <cell r="X50" t="str">
            <v>Decreased spending on upgrades from last year</v>
          </cell>
          <cell r="Y50" t="str">
            <v>Spending still generally tight</v>
          </cell>
          <cell r="Z50" t="str">
            <v>Equal chance of upward or downward revision</v>
          </cell>
          <cell r="AA50" t="str">
            <v>New projects</v>
          </cell>
          <cell r="AB50" t="str">
            <v>Data warehouse</v>
          </cell>
          <cell r="AC50" t="str">
            <v>Somewhat less aggressive in discounting</v>
          </cell>
          <cell r="AD50" t="str">
            <v>Somewhat longer</v>
          </cell>
          <cell r="AE50">
            <v>100</v>
          </cell>
          <cell r="AF50">
            <v>0</v>
          </cell>
          <cell r="AG50">
            <v>0</v>
          </cell>
          <cell r="AH50" t="str">
            <v>40/60</v>
          </cell>
          <cell r="AI50" t="str">
            <v>Under</v>
          </cell>
          <cell r="AJ50">
            <v>10</v>
          </cell>
          <cell r="AK50">
            <v>10</v>
          </cell>
          <cell r="AL50">
            <v>5</v>
          </cell>
          <cell r="AM50">
            <v>10</v>
          </cell>
          <cell r="AN50">
            <v>10</v>
          </cell>
          <cell r="AO50">
            <v>5</v>
          </cell>
          <cell r="AP50">
            <v>0</v>
          </cell>
          <cell r="AQ50">
            <v>0</v>
          </cell>
          <cell r="AR50" t="str">
            <v>Decrease</v>
          </cell>
          <cell r="AS50" t="str">
            <v>Decrease</v>
          </cell>
          <cell r="AT50" t="str">
            <v>Flat</v>
          </cell>
          <cell r="AU50" t="str">
            <v>Flat</v>
          </cell>
          <cell r="AV50" t="str">
            <v>Don't Use</v>
          </cell>
          <cell r="AW50" t="str">
            <v>Don't Use</v>
          </cell>
          <cell r="AX50" t="str">
            <v>Don't Use</v>
          </cell>
          <cell r="AY50" t="str">
            <v>Don't Use</v>
          </cell>
          <cell r="AZ50" t="str">
            <v>Don't Use</v>
          </cell>
          <cell r="BA50" t="str">
            <v>Flat</v>
          </cell>
          <cell r="BB50" t="str">
            <v>Don't Use</v>
          </cell>
          <cell r="BC50" t="str">
            <v>Don't Use</v>
          </cell>
          <cell r="BD50" t="str">
            <v>Don't Use</v>
          </cell>
          <cell r="BE50" t="str">
            <v>Don't Use</v>
          </cell>
          <cell r="BF50" t="str">
            <v>Flat</v>
          </cell>
          <cell r="BG50" t="str">
            <v>Don't Use</v>
          </cell>
          <cell r="BH50" t="str">
            <v>Don't Use</v>
          </cell>
          <cell r="BI50" t="str">
            <v>Already using services provider</v>
          </cell>
          <cell r="BJ50" t="str">
            <v>Already using services provider</v>
          </cell>
          <cell r="BK50" t="str">
            <v>Already using services provider</v>
          </cell>
          <cell r="BL50" t="str">
            <v>Will use services provider 2H12</v>
          </cell>
          <cell r="BM50" t="str">
            <v>Already using services provider</v>
          </cell>
          <cell r="BN50" t="str">
            <v>Will use services provider 2H12</v>
          </cell>
          <cell r="BO50" t="str">
            <v>Already using services provider</v>
          </cell>
          <cell r="BP50" t="str">
            <v>Not Priority</v>
          </cell>
          <cell r="BQ50" t="str">
            <v>Not Priority</v>
          </cell>
          <cell r="BR50" t="str">
            <v>Not Priority</v>
          </cell>
          <cell r="BS50" t="str">
            <v>Not Priority</v>
          </cell>
          <cell r="BT50" t="str">
            <v>Will use services provider 2H12</v>
          </cell>
          <cell r="BU50">
            <v>5</v>
          </cell>
          <cell r="BV50">
            <v>6</v>
          </cell>
          <cell r="BW50">
            <v>1</v>
          </cell>
          <cell r="BX50">
            <v>7</v>
          </cell>
          <cell r="BY50">
            <v>3</v>
          </cell>
          <cell r="BZ50">
            <v>4</v>
          </cell>
          <cell r="CA50">
            <v>2</v>
          </cell>
          <cell r="CB50" t="str">
            <v>No change in level of discounting</v>
          </cell>
        </row>
        <row r="51">
          <cell r="A51" t="str">
            <v>EU</v>
          </cell>
          <cell r="B51" t="str">
            <v>Wholesale / Distribution</v>
          </cell>
          <cell r="C51" t="str">
            <v>$10-15 Billion</v>
          </cell>
          <cell r="D51" t="str">
            <v>$200-300 Million</v>
          </cell>
          <cell r="E51">
            <v>0</v>
          </cell>
          <cell r="F51">
            <v>0</v>
          </cell>
          <cell r="G51">
            <v>2</v>
          </cell>
          <cell r="H51">
            <v>0</v>
          </cell>
          <cell r="I51">
            <v>2</v>
          </cell>
          <cell r="J51">
            <v>0</v>
          </cell>
          <cell r="K51">
            <v>3</v>
          </cell>
          <cell r="L51">
            <v>2</v>
          </cell>
          <cell r="M51">
            <v>3</v>
          </cell>
          <cell r="N51">
            <v>0</v>
          </cell>
          <cell r="O51">
            <v>7</v>
          </cell>
          <cell r="P51">
            <v>40</v>
          </cell>
          <cell r="Q51">
            <v>60</v>
          </cell>
          <cell r="R51">
            <v>50</v>
          </cell>
          <cell r="S51">
            <v>50</v>
          </cell>
          <cell r="T51" t="str">
            <v>Single Point of Failure</v>
          </cell>
          <cell r="U51" t="str">
            <v>Virtualization</v>
          </cell>
          <cell r="V51" t="str">
            <v>Server Upgrades</v>
          </cell>
          <cell r="W51" t="str">
            <v>NA / No Decrease</v>
          </cell>
          <cell r="Z51" t="str">
            <v>‘No change’ to the budget is likely</v>
          </cell>
          <cell r="AA51" t="str">
            <v>NA / DK</v>
          </cell>
          <cell r="AB51" t="str">
            <v>Mission critical systems</v>
          </cell>
          <cell r="AC51" t="str">
            <v>Somewhat less aggressive in discounting</v>
          </cell>
          <cell r="AD51" t="str">
            <v>Somewhat longer</v>
          </cell>
          <cell r="AE51">
            <v>50</v>
          </cell>
          <cell r="AF51">
            <v>25</v>
          </cell>
          <cell r="AG51">
            <v>25</v>
          </cell>
          <cell r="AH51" t="str">
            <v>50/50</v>
          </cell>
          <cell r="AI51" t="str">
            <v>In-Line</v>
          </cell>
          <cell r="AJ51">
            <v>5</v>
          </cell>
          <cell r="AK51">
            <v>-5</v>
          </cell>
          <cell r="AL51">
            <v>0</v>
          </cell>
          <cell r="AM51">
            <v>3</v>
          </cell>
          <cell r="AN51">
            <v>0</v>
          </cell>
          <cell r="AO51">
            <v>0</v>
          </cell>
          <cell r="AP51">
            <v>8</v>
          </cell>
          <cell r="AQ51">
            <v>0</v>
          </cell>
          <cell r="AR51" t="str">
            <v>Don't Use</v>
          </cell>
          <cell r="AS51" t="str">
            <v>Flat</v>
          </cell>
          <cell r="AT51" t="str">
            <v>Don't Use</v>
          </cell>
          <cell r="AU51" t="str">
            <v>Flat</v>
          </cell>
          <cell r="AV51" t="str">
            <v>Don't Use</v>
          </cell>
          <cell r="AW51" t="str">
            <v>Increase</v>
          </cell>
          <cell r="AX51" t="str">
            <v>Flat</v>
          </cell>
          <cell r="AY51" t="str">
            <v>Don't Use</v>
          </cell>
          <cell r="AZ51" t="str">
            <v>Don't Use</v>
          </cell>
          <cell r="BA51" t="str">
            <v>Flat</v>
          </cell>
          <cell r="BB51" t="str">
            <v>Increase</v>
          </cell>
          <cell r="BC51" t="str">
            <v>Don't Use</v>
          </cell>
          <cell r="BD51" t="str">
            <v>Don't Use</v>
          </cell>
          <cell r="BE51" t="str">
            <v>Flat</v>
          </cell>
          <cell r="BF51" t="str">
            <v>Don't Use</v>
          </cell>
          <cell r="BG51" t="str">
            <v>Don't Use</v>
          </cell>
          <cell r="BH51" t="str">
            <v>Don't Use</v>
          </cell>
          <cell r="BI51" t="str">
            <v>Already using services provider</v>
          </cell>
          <cell r="BJ51" t="str">
            <v>Will use services provider 2H12</v>
          </cell>
          <cell r="BK51" t="str">
            <v>Doing work internally</v>
          </cell>
          <cell r="BL51" t="str">
            <v>Will use services provider 2H12</v>
          </cell>
          <cell r="BM51" t="str">
            <v>Doing work internally</v>
          </cell>
          <cell r="BN51" t="str">
            <v>Already using services provider</v>
          </cell>
          <cell r="BO51" t="str">
            <v>Doing work internally</v>
          </cell>
          <cell r="BP51" t="str">
            <v>Doing work internally</v>
          </cell>
          <cell r="BQ51" t="str">
            <v>Already using services provider</v>
          </cell>
          <cell r="BR51" t="str">
            <v>Not Priority</v>
          </cell>
          <cell r="BS51" t="str">
            <v>Doing work internally</v>
          </cell>
          <cell r="BT51" t="str">
            <v>Already using services provider</v>
          </cell>
          <cell r="BU51">
            <v>6</v>
          </cell>
          <cell r="BV51">
            <v>4</v>
          </cell>
          <cell r="BW51">
            <v>2</v>
          </cell>
          <cell r="BX51">
            <v>1</v>
          </cell>
          <cell r="BY51">
            <v>7</v>
          </cell>
          <cell r="BZ51">
            <v>3</v>
          </cell>
          <cell r="CA51">
            <v>5</v>
          </cell>
          <cell r="CB51" t="str">
            <v>Somewhat less aggressive in discounting</v>
          </cell>
        </row>
        <row r="52">
          <cell r="A52" t="str">
            <v>US</v>
          </cell>
          <cell r="B52" t="str">
            <v>Aerospace</v>
          </cell>
          <cell r="C52" t="str">
            <v>$10-15 Billion</v>
          </cell>
          <cell r="D52" t="str">
            <v>$200-300 Million</v>
          </cell>
          <cell r="E52">
            <v>3</v>
          </cell>
          <cell r="F52">
            <v>-5</v>
          </cell>
          <cell r="G52">
            <v>5</v>
          </cell>
          <cell r="H52">
            <v>5</v>
          </cell>
          <cell r="I52">
            <v>0</v>
          </cell>
          <cell r="J52">
            <v>0</v>
          </cell>
          <cell r="K52">
            <v>-5</v>
          </cell>
          <cell r="L52">
            <v>-5</v>
          </cell>
          <cell r="M52">
            <v>0</v>
          </cell>
          <cell r="N52">
            <v>2</v>
          </cell>
          <cell r="O52">
            <v>5</v>
          </cell>
          <cell r="P52">
            <v>50</v>
          </cell>
          <cell r="Q52">
            <v>50</v>
          </cell>
          <cell r="R52">
            <v>50</v>
          </cell>
          <cell r="S52">
            <v>50</v>
          </cell>
          <cell r="T52" t="str">
            <v>Server upgrades</v>
          </cell>
          <cell r="U52" t="str">
            <v xml:space="preserve">Storage capacity </v>
          </cell>
          <cell r="V52" t="str">
            <v>Data consolidation</v>
          </cell>
          <cell r="W52" t="str">
            <v>Server virtualization</v>
          </cell>
          <cell r="X52" t="str">
            <v>Social network apps</v>
          </cell>
          <cell r="Y52" t="str">
            <v>CRM</v>
          </cell>
          <cell r="Z52" t="str">
            <v>‘No change’ to the budget is likely</v>
          </cell>
          <cell r="AA52" t="str">
            <v>Consulting / Outsourcing</v>
          </cell>
          <cell r="AB52" t="str">
            <v>Employees</v>
          </cell>
          <cell r="AC52" t="str">
            <v>Somewhat less aggressive in discounting</v>
          </cell>
          <cell r="AD52" t="str">
            <v>Somewhat longer</v>
          </cell>
          <cell r="AE52">
            <v>100</v>
          </cell>
          <cell r="AF52">
            <v>0</v>
          </cell>
          <cell r="AG52">
            <v>0</v>
          </cell>
          <cell r="AH52" t="str">
            <v>50/50</v>
          </cell>
          <cell r="AI52" t="str">
            <v>In-Line</v>
          </cell>
          <cell r="AJ52">
            <v>5</v>
          </cell>
          <cell r="AK52">
            <v>0</v>
          </cell>
          <cell r="AL52">
            <v>5</v>
          </cell>
          <cell r="AM52">
            <v>3</v>
          </cell>
          <cell r="AN52">
            <v>-5</v>
          </cell>
          <cell r="AO52">
            <v>0</v>
          </cell>
          <cell r="AP52">
            <v>0</v>
          </cell>
          <cell r="AQ52">
            <v>-5</v>
          </cell>
          <cell r="AR52" t="str">
            <v>Flat</v>
          </cell>
          <cell r="AS52" t="str">
            <v>Flat</v>
          </cell>
          <cell r="AT52" t="str">
            <v>Don't Use</v>
          </cell>
          <cell r="AU52" t="str">
            <v>Don't Use</v>
          </cell>
          <cell r="AV52" t="str">
            <v>Don't Use</v>
          </cell>
          <cell r="AW52" t="str">
            <v>Don't Use</v>
          </cell>
          <cell r="AX52" t="str">
            <v>Increase</v>
          </cell>
          <cell r="AY52" t="str">
            <v>Don't Use</v>
          </cell>
          <cell r="AZ52" t="str">
            <v>Don't Use</v>
          </cell>
          <cell r="BA52" t="str">
            <v>Don't Use</v>
          </cell>
          <cell r="BB52" t="str">
            <v>Don't Use</v>
          </cell>
          <cell r="BC52" t="str">
            <v>Don't Use</v>
          </cell>
          <cell r="BD52" t="str">
            <v>Don't Use</v>
          </cell>
          <cell r="BE52" t="str">
            <v>Don't Use</v>
          </cell>
          <cell r="BF52" t="str">
            <v>Decrease</v>
          </cell>
          <cell r="BG52" t="str">
            <v>Don't Use</v>
          </cell>
          <cell r="BH52" t="str">
            <v>Don't Use</v>
          </cell>
          <cell r="BI52" t="str">
            <v>Will use services provider 2H12</v>
          </cell>
          <cell r="BJ52" t="str">
            <v>Already using services provider</v>
          </cell>
          <cell r="BK52" t="str">
            <v>Doing work internally</v>
          </cell>
          <cell r="BL52" t="str">
            <v>Already using services provider</v>
          </cell>
          <cell r="BM52" t="str">
            <v>Doing work internally</v>
          </cell>
          <cell r="BN52" t="str">
            <v>Already using services provider</v>
          </cell>
          <cell r="BO52" t="str">
            <v>Will use services provider 2H12</v>
          </cell>
          <cell r="BP52" t="str">
            <v>Not Priority</v>
          </cell>
          <cell r="BQ52" t="str">
            <v>Doing work internally</v>
          </cell>
          <cell r="BR52" t="str">
            <v>Not Priority</v>
          </cell>
          <cell r="BS52" t="str">
            <v>Not Priority</v>
          </cell>
          <cell r="BT52" t="str">
            <v>Will use services provider 2H12</v>
          </cell>
          <cell r="BU52">
            <v>6</v>
          </cell>
          <cell r="BV52">
            <v>7</v>
          </cell>
          <cell r="BW52">
            <v>1</v>
          </cell>
          <cell r="BX52">
            <v>2</v>
          </cell>
          <cell r="BY52">
            <v>5</v>
          </cell>
          <cell r="BZ52">
            <v>4</v>
          </cell>
          <cell r="CA52">
            <v>3</v>
          </cell>
          <cell r="CB52" t="str">
            <v>Somewhat more aggressive in discounting</v>
          </cell>
        </row>
        <row r="53">
          <cell r="A53" t="str">
            <v>US</v>
          </cell>
          <cell r="B53" t="str">
            <v>Automotive</v>
          </cell>
          <cell r="C53" t="str">
            <v>$5-10 Billion</v>
          </cell>
          <cell r="D53" t="str">
            <v>NA</v>
          </cell>
          <cell r="E53">
            <v>7</v>
          </cell>
          <cell r="F53">
            <v>10</v>
          </cell>
          <cell r="G53">
            <v>10</v>
          </cell>
          <cell r="H53">
            <v>7</v>
          </cell>
          <cell r="I53">
            <v>5</v>
          </cell>
          <cell r="J53">
            <v>10</v>
          </cell>
          <cell r="K53">
            <v>0</v>
          </cell>
          <cell r="L53">
            <v>10</v>
          </cell>
          <cell r="M53">
            <v>5</v>
          </cell>
          <cell r="N53">
            <v>5</v>
          </cell>
          <cell r="O53">
            <v>7</v>
          </cell>
          <cell r="P53">
            <v>50</v>
          </cell>
          <cell r="Q53">
            <v>50</v>
          </cell>
          <cell r="R53">
            <v>60</v>
          </cell>
          <cell r="S53">
            <v>40</v>
          </cell>
          <cell r="T53" t="str">
            <v>WAN Optimization</v>
          </cell>
          <cell r="U53" t="str">
            <v>Internal cloud initiave</v>
          </cell>
          <cell r="W53" t="str">
            <v>NA / No Decrease</v>
          </cell>
          <cell r="Z53" t="str">
            <v>‘No change’ to the budget is likely</v>
          </cell>
          <cell r="AA53" t="str">
            <v>It would be equally shared amongst departments</v>
          </cell>
          <cell r="AB53" t="str">
            <v>Core infrastructure</v>
          </cell>
          <cell r="AC53" t="str">
            <v>Significantly more aggressive in discounting</v>
          </cell>
          <cell r="AD53" t="str">
            <v>Significantly longer</v>
          </cell>
          <cell r="AE53">
            <v>90</v>
          </cell>
          <cell r="AF53">
            <v>5</v>
          </cell>
          <cell r="AG53">
            <v>5</v>
          </cell>
          <cell r="AH53" t="str">
            <v>50/50</v>
          </cell>
          <cell r="AI53" t="str">
            <v>In-Line</v>
          </cell>
          <cell r="AJ53">
            <v>10</v>
          </cell>
          <cell r="AK53">
            <v>8</v>
          </cell>
          <cell r="AL53" t="str">
            <v>NA / DK</v>
          </cell>
          <cell r="AM53">
            <v>5</v>
          </cell>
          <cell r="AN53">
            <v>10</v>
          </cell>
          <cell r="AO53" t="str">
            <v>NA / DK</v>
          </cell>
          <cell r="AP53" t="str">
            <v>NA / DK</v>
          </cell>
          <cell r="AQ53">
            <v>5</v>
          </cell>
          <cell r="AR53" t="str">
            <v>Don't Use</v>
          </cell>
          <cell r="AS53" t="str">
            <v>Flat</v>
          </cell>
          <cell r="AT53" t="str">
            <v>Don't Use</v>
          </cell>
          <cell r="AU53" t="str">
            <v>Don't Use</v>
          </cell>
          <cell r="AV53" t="str">
            <v>Flat</v>
          </cell>
          <cell r="AW53" t="str">
            <v>Don't Use</v>
          </cell>
          <cell r="AX53" t="str">
            <v>Increase</v>
          </cell>
          <cell r="AY53" t="str">
            <v>Don't Use</v>
          </cell>
          <cell r="AZ53" t="str">
            <v>Increase</v>
          </cell>
          <cell r="BA53" t="str">
            <v>Increase</v>
          </cell>
          <cell r="BB53" t="str">
            <v>Increase</v>
          </cell>
          <cell r="BC53" t="str">
            <v>Don't Use</v>
          </cell>
          <cell r="BD53" t="str">
            <v>Don't Use</v>
          </cell>
          <cell r="BE53" t="str">
            <v>Flat</v>
          </cell>
          <cell r="BF53" t="str">
            <v>Don't Use</v>
          </cell>
          <cell r="BG53" t="str">
            <v>Don't Use</v>
          </cell>
          <cell r="BH53" t="str">
            <v>Don't Use</v>
          </cell>
          <cell r="BI53" t="str">
            <v>Not Priority</v>
          </cell>
          <cell r="BJ53" t="str">
            <v>Will use services provider 2H12</v>
          </cell>
          <cell r="BK53" t="str">
            <v>Already using services provider</v>
          </cell>
          <cell r="BL53" t="str">
            <v>Doing work internally</v>
          </cell>
          <cell r="BM53" t="str">
            <v>Already using services provider</v>
          </cell>
          <cell r="BN53" t="str">
            <v>Doing work internally</v>
          </cell>
          <cell r="BO53" t="str">
            <v>Doing work internally</v>
          </cell>
          <cell r="BP53" t="str">
            <v>Doing work internally</v>
          </cell>
          <cell r="BQ53" t="str">
            <v>Doing work internally</v>
          </cell>
          <cell r="BR53" t="str">
            <v>Not Priority</v>
          </cell>
          <cell r="BS53" t="str">
            <v>Not Priority</v>
          </cell>
          <cell r="BT53" t="str">
            <v>Already using services provider</v>
          </cell>
          <cell r="BU53">
            <v>5</v>
          </cell>
          <cell r="BV53">
            <v>4</v>
          </cell>
          <cell r="BW53">
            <v>1</v>
          </cell>
          <cell r="BX53">
            <v>3</v>
          </cell>
          <cell r="BY53">
            <v>6</v>
          </cell>
          <cell r="BZ53">
            <v>7</v>
          </cell>
          <cell r="CA53">
            <v>2</v>
          </cell>
          <cell r="CB53" t="str">
            <v>No change in level of discounting</v>
          </cell>
        </row>
        <row r="54">
          <cell r="A54" t="str">
            <v>US</v>
          </cell>
          <cell r="B54" t="str">
            <v>Business services</v>
          </cell>
          <cell r="C54" t="str">
            <v>$1-5 Billion</v>
          </cell>
          <cell r="D54" t="str">
            <v>$200-300 Million</v>
          </cell>
          <cell r="E54">
            <v>20</v>
          </cell>
          <cell r="F54">
            <v>15</v>
          </cell>
          <cell r="G54">
            <v>7</v>
          </cell>
          <cell r="H54">
            <v>10</v>
          </cell>
          <cell r="I54">
            <v>5</v>
          </cell>
          <cell r="J54">
            <v>10</v>
          </cell>
          <cell r="K54">
            <v>12</v>
          </cell>
          <cell r="L54">
            <v>5</v>
          </cell>
          <cell r="M54">
            <v>20</v>
          </cell>
          <cell r="N54">
            <v>15</v>
          </cell>
          <cell r="O54">
            <v>8</v>
          </cell>
          <cell r="P54">
            <v>30</v>
          </cell>
          <cell r="Q54">
            <v>70</v>
          </cell>
          <cell r="R54">
            <v>30</v>
          </cell>
          <cell r="S54">
            <v>70</v>
          </cell>
          <cell r="T54" t="str">
            <v>Customer service portal</v>
          </cell>
          <cell r="U54" t="str">
            <v>Microsoft .Net</v>
          </cell>
          <cell r="V54" t="str">
            <v>Application integration</v>
          </cell>
          <cell r="W54" t="str">
            <v>New SW seats</v>
          </cell>
          <cell r="X54" t="str">
            <v>Windows</v>
          </cell>
          <cell r="Z54" t="str">
            <v>Equal chance of upward or downward revision</v>
          </cell>
          <cell r="AA54" t="str">
            <v>.Net projects</v>
          </cell>
          <cell r="AB54" t="str">
            <v>Anything customer facing, web portal, sales, etc.</v>
          </cell>
          <cell r="AC54" t="str">
            <v>Somewhat more aggressive in discounting</v>
          </cell>
          <cell r="AD54" t="str">
            <v>Significantly longer</v>
          </cell>
          <cell r="AE54">
            <v>88</v>
          </cell>
          <cell r="AF54">
            <v>12</v>
          </cell>
          <cell r="AG54">
            <v>0</v>
          </cell>
          <cell r="AH54" t="str">
            <v>60/40</v>
          </cell>
          <cell r="AI54" t="str">
            <v>Over</v>
          </cell>
          <cell r="AJ54">
            <v>-12</v>
          </cell>
          <cell r="AK54">
            <v>0</v>
          </cell>
          <cell r="AL54">
            <v>0</v>
          </cell>
          <cell r="AM54">
            <v>0</v>
          </cell>
          <cell r="AN54">
            <v>-10</v>
          </cell>
          <cell r="AO54">
            <v>5</v>
          </cell>
          <cell r="AP54">
            <v>5</v>
          </cell>
          <cell r="AQ54">
            <v>0</v>
          </cell>
          <cell r="AR54" t="str">
            <v>Flat</v>
          </cell>
          <cell r="AS54" t="str">
            <v>Don't Use</v>
          </cell>
          <cell r="AT54" t="str">
            <v>Don't Use</v>
          </cell>
          <cell r="AU54" t="str">
            <v>Flat</v>
          </cell>
          <cell r="AV54" t="str">
            <v>Decrease</v>
          </cell>
          <cell r="AW54" t="str">
            <v>Don't Use</v>
          </cell>
          <cell r="AX54" t="str">
            <v>Decrease</v>
          </cell>
          <cell r="AY54" t="str">
            <v>Don't Use</v>
          </cell>
          <cell r="AZ54" t="str">
            <v>Don't Use</v>
          </cell>
          <cell r="BA54" t="str">
            <v>Flat</v>
          </cell>
          <cell r="BB54" t="str">
            <v>Increase</v>
          </cell>
          <cell r="BC54" t="str">
            <v>Don't Use</v>
          </cell>
          <cell r="BD54" t="str">
            <v>Don't Use</v>
          </cell>
          <cell r="BE54" t="str">
            <v>Flat</v>
          </cell>
          <cell r="BF54" t="str">
            <v>Don't Use</v>
          </cell>
          <cell r="BG54" t="str">
            <v>Don't Use</v>
          </cell>
          <cell r="BH54" t="str">
            <v>Don't Use</v>
          </cell>
          <cell r="BI54" t="str">
            <v>Doing work internally</v>
          </cell>
          <cell r="BJ54" t="str">
            <v>Doing work internally</v>
          </cell>
          <cell r="BK54" t="str">
            <v>Doing work internally</v>
          </cell>
          <cell r="BL54" t="str">
            <v>Doing work internally</v>
          </cell>
          <cell r="BM54" t="str">
            <v>Doing work internally</v>
          </cell>
          <cell r="BN54" t="str">
            <v>Will use services provider 2H12</v>
          </cell>
          <cell r="BO54" t="str">
            <v>Already using services provider</v>
          </cell>
          <cell r="BP54" t="str">
            <v>Doing work internally</v>
          </cell>
          <cell r="BQ54" t="str">
            <v>Doing work internally</v>
          </cell>
          <cell r="BR54" t="str">
            <v>Will use services provider 2H12</v>
          </cell>
          <cell r="BS54" t="str">
            <v>Doing work internally</v>
          </cell>
          <cell r="BT54" t="str">
            <v>Already using services provider</v>
          </cell>
          <cell r="BU54">
            <v>6</v>
          </cell>
          <cell r="BV54">
            <v>7</v>
          </cell>
          <cell r="BW54">
            <v>1</v>
          </cell>
          <cell r="BX54">
            <v>2</v>
          </cell>
          <cell r="BY54">
            <v>4</v>
          </cell>
          <cell r="BZ54">
            <v>3</v>
          </cell>
          <cell r="CA54">
            <v>5</v>
          </cell>
          <cell r="CB54" t="str">
            <v>No change in level of discounting</v>
          </cell>
        </row>
        <row r="55">
          <cell r="A55" t="str">
            <v>US</v>
          </cell>
          <cell r="B55" t="str">
            <v>Business services</v>
          </cell>
          <cell r="C55" t="str">
            <v>$10-15 Billion</v>
          </cell>
          <cell r="D55" t="str">
            <v>&gt;$700 Million</v>
          </cell>
          <cell r="E55">
            <v>-5</v>
          </cell>
          <cell r="F55">
            <v>5</v>
          </cell>
          <cell r="G55">
            <v>0</v>
          </cell>
          <cell r="H55">
            <v>3</v>
          </cell>
          <cell r="I55">
            <v>-5</v>
          </cell>
          <cell r="J55">
            <v>-10</v>
          </cell>
          <cell r="K55">
            <v>3</v>
          </cell>
          <cell r="L55">
            <v>0</v>
          </cell>
          <cell r="M55">
            <v>5</v>
          </cell>
          <cell r="N55">
            <v>5</v>
          </cell>
          <cell r="O55">
            <v>8</v>
          </cell>
          <cell r="P55">
            <v>30</v>
          </cell>
          <cell r="Q55">
            <v>70</v>
          </cell>
          <cell r="R55">
            <v>50</v>
          </cell>
          <cell r="S55">
            <v>50</v>
          </cell>
          <cell r="T55" t="str">
            <v>Data Warehousing</v>
          </cell>
          <cell r="U55" t="str">
            <v xml:space="preserve">Storage capacity </v>
          </cell>
          <cell r="V55" t="str">
            <v>Collaboration tools</v>
          </cell>
          <cell r="W55" t="str">
            <v>NA / No Decrease</v>
          </cell>
          <cell r="Z55" t="str">
            <v>Upward revision is more likely</v>
          </cell>
          <cell r="AA55" t="str">
            <v>Any upgrades on existing systems</v>
          </cell>
          <cell r="AB55" t="str">
            <v>Just keeping data center running</v>
          </cell>
          <cell r="AC55" t="str">
            <v>No change in level of discounting</v>
          </cell>
          <cell r="AD55" t="str">
            <v>Somewhat longer</v>
          </cell>
          <cell r="AE55">
            <v>60</v>
          </cell>
          <cell r="AF55">
            <v>25</v>
          </cell>
          <cell r="AG55">
            <v>15</v>
          </cell>
          <cell r="AH55" t="str">
            <v>60/40</v>
          </cell>
          <cell r="AI55" t="str">
            <v>In-Line</v>
          </cell>
          <cell r="AJ55">
            <v>-8</v>
          </cell>
          <cell r="AK55">
            <v>0</v>
          </cell>
          <cell r="AL55">
            <v>-5</v>
          </cell>
          <cell r="AM55">
            <v>0</v>
          </cell>
          <cell r="AN55">
            <v>5</v>
          </cell>
          <cell r="AO55">
            <v>5</v>
          </cell>
          <cell r="AP55">
            <v>5</v>
          </cell>
          <cell r="AQ55">
            <v>0</v>
          </cell>
          <cell r="AR55" t="str">
            <v>Don't Use</v>
          </cell>
          <cell r="AS55" t="str">
            <v>Flat</v>
          </cell>
          <cell r="AT55" t="str">
            <v>Don't Use</v>
          </cell>
          <cell r="AU55" t="str">
            <v>Don't Use</v>
          </cell>
          <cell r="AV55" t="str">
            <v>Don't Use</v>
          </cell>
          <cell r="AW55" t="str">
            <v>Don't Use</v>
          </cell>
          <cell r="AX55" t="str">
            <v>Don't Use</v>
          </cell>
          <cell r="AY55" t="str">
            <v>Don't Use</v>
          </cell>
          <cell r="AZ55" t="str">
            <v>Don't Use</v>
          </cell>
          <cell r="BA55" t="str">
            <v>Don't Use</v>
          </cell>
          <cell r="BB55" t="str">
            <v>Increase</v>
          </cell>
          <cell r="BC55" t="str">
            <v>Don't Use</v>
          </cell>
          <cell r="BD55" t="str">
            <v>Don't Use</v>
          </cell>
          <cell r="BE55" t="str">
            <v>Don't Use</v>
          </cell>
          <cell r="BF55" t="str">
            <v>Don't Use</v>
          </cell>
          <cell r="BG55" t="str">
            <v>Flat</v>
          </cell>
          <cell r="BH55" t="str">
            <v>Don't Use</v>
          </cell>
          <cell r="BI55" t="str">
            <v>Doing work internally</v>
          </cell>
          <cell r="BJ55" t="str">
            <v>Will use services provider 2H12</v>
          </cell>
          <cell r="BK55" t="str">
            <v>Already using services provider</v>
          </cell>
          <cell r="BL55" t="str">
            <v>Not Priority</v>
          </cell>
          <cell r="BM55" t="str">
            <v>Not Priority</v>
          </cell>
          <cell r="BN55" t="str">
            <v>Already using services provider</v>
          </cell>
          <cell r="BO55" t="str">
            <v>Will use services provider 2H12</v>
          </cell>
          <cell r="BP55" t="str">
            <v>Will use services provider 2H12</v>
          </cell>
          <cell r="BQ55" t="str">
            <v>Will use services provider 1H12</v>
          </cell>
          <cell r="BR55" t="str">
            <v>Doing work internally</v>
          </cell>
          <cell r="BS55" t="str">
            <v>Already using services provider</v>
          </cell>
          <cell r="BT55" t="str">
            <v>Already using services provider</v>
          </cell>
          <cell r="BU55">
            <v>1</v>
          </cell>
          <cell r="BV55">
            <v>7</v>
          </cell>
          <cell r="BW55">
            <v>4</v>
          </cell>
          <cell r="BX55">
            <v>5</v>
          </cell>
          <cell r="BY55">
            <v>6</v>
          </cell>
          <cell r="BZ55">
            <v>2</v>
          </cell>
          <cell r="CA55">
            <v>3</v>
          </cell>
          <cell r="CB55" t="str">
            <v>No change in level of discounting</v>
          </cell>
        </row>
        <row r="56">
          <cell r="A56" t="str">
            <v>US</v>
          </cell>
          <cell r="B56" t="str">
            <v>Business services</v>
          </cell>
          <cell r="C56" t="str">
            <v>$1-5 Billion</v>
          </cell>
          <cell r="D56" t="str">
            <v>$100-200 Million</v>
          </cell>
          <cell r="E56">
            <v>5</v>
          </cell>
          <cell r="F56">
            <v>8</v>
          </cell>
          <cell r="G56">
            <v>7</v>
          </cell>
          <cell r="H56">
            <v>5</v>
          </cell>
          <cell r="I56">
            <v>3</v>
          </cell>
          <cell r="J56">
            <v>5</v>
          </cell>
          <cell r="K56">
            <v>5</v>
          </cell>
          <cell r="L56">
            <v>5</v>
          </cell>
          <cell r="M56">
            <v>10</v>
          </cell>
          <cell r="N56">
            <v>7</v>
          </cell>
          <cell r="O56">
            <v>8</v>
          </cell>
          <cell r="P56">
            <v>40</v>
          </cell>
          <cell r="Q56">
            <v>60</v>
          </cell>
          <cell r="R56">
            <v>35</v>
          </cell>
          <cell r="S56">
            <v>65</v>
          </cell>
          <cell r="T56" t="str">
            <v>Backup and recovery</v>
          </cell>
          <cell r="U56" t="str">
            <v>PC refresh</v>
          </cell>
          <cell r="V56" t="str">
            <v>Mobile apps</v>
          </cell>
          <cell r="W56" t="str">
            <v>Networking projects</v>
          </cell>
          <cell r="X56" t="str">
            <v>Server virtualization</v>
          </cell>
          <cell r="Z56" t="str">
            <v>Downward revision is more likely</v>
          </cell>
          <cell r="AA56" t="str">
            <v>Consulting / Outsourcing</v>
          </cell>
          <cell r="AB56" t="str">
            <v>Maintenance</v>
          </cell>
          <cell r="AC56" t="str">
            <v>Somewhat more aggressive in discounting</v>
          </cell>
          <cell r="AD56" t="str">
            <v>No Change</v>
          </cell>
          <cell r="AE56">
            <v>95</v>
          </cell>
          <cell r="AF56">
            <v>0</v>
          </cell>
          <cell r="AG56">
            <v>5</v>
          </cell>
          <cell r="AH56" t="str">
            <v>40/60</v>
          </cell>
          <cell r="AI56" t="str">
            <v>Over</v>
          </cell>
          <cell r="AJ56">
            <v>10</v>
          </cell>
          <cell r="AK56">
            <v>8</v>
          </cell>
          <cell r="AL56">
            <v>-5</v>
          </cell>
          <cell r="AM56">
            <v>0</v>
          </cell>
          <cell r="AN56">
            <v>5</v>
          </cell>
          <cell r="AO56">
            <v>10</v>
          </cell>
          <cell r="AP56">
            <v>6</v>
          </cell>
          <cell r="AQ56">
            <v>8</v>
          </cell>
          <cell r="AR56" t="str">
            <v>Flat</v>
          </cell>
          <cell r="AS56" t="str">
            <v>Flat</v>
          </cell>
          <cell r="AT56" t="str">
            <v>Don't Use</v>
          </cell>
          <cell r="AU56" t="str">
            <v>Flat</v>
          </cell>
          <cell r="AV56" t="str">
            <v>Increase</v>
          </cell>
          <cell r="AW56" t="str">
            <v>Flat</v>
          </cell>
          <cell r="AX56" t="str">
            <v>Increase</v>
          </cell>
          <cell r="AY56" t="str">
            <v>Don't Use</v>
          </cell>
          <cell r="AZ56" t="str">
            <v>Don't Use</v>
          </cell>
          <cell r="BA56" t="str">
            <v>Don't Use</v>
          </cell>
          <cell r="BB56" t="str">
            <v>Flat</v>
          </cell>
          <cell r="BC56" t="str">
            <v>Flat</v>
          </cell>
          <cell r="BD56" t="str">
            <v>Don't Use</v>
          </cell>
          <cell r="BE56" t="str">
            <v>Don't Use</v>
          </cell>
          <cell r="BF56" t="str">
            <v>Don't Use</v>
          </cell>
          <cell r="BG56" t="str">
            <v>Don't Use</v>
          </cell>
          <cell r="BH56" t="str">
            <v>Don't Use</v>
          </cell>
          <cell r="BI56" t="str">
            <v>Doing work internally</v>
          </cell>
          <cell r="BJ56" t="str">
            <v>Doing work internally</v>
          </cell>
          <cell r="BK56" t="str">
            <v>Doing work internally</v>
          </cell>
          <cell r="BL56" t="str">
            <v>Doing work internally</v>
          </cell>
          <cell r="BM56" t="str">
            <v>Already using services provider</v>
          </cell>
          <cell r="BN56" t="str">
            <v>Already using services provider</v>
          </cell>
          <cell r="BO56" t="str">
            <v>Doing work internally</v>
          </cell>
          <cell r="BP56" t="str">
            <v>Doing work internally</v>
          </cell>
          <cell r="BQ56" t="str">
            <v>Already using services provider</v>
          </cell>
          <cell r="BR56" t="str">
            <v>Will use services provider 1H12</v>
          </cell>
          <cell r="BS56" t="str">
            <v>Will use services provider 2H12</v>
          </cell>
          <cell r="BT56" t="str">
            <v>Already using services provider</v>
          </cell>
          <cell r="BU56">
            <v>2</v>
          </cell>
          <cell r="BV56">
            <v>3</v>
          </cell>
          <cell r="BW56">
            <v>1</v>
          </cell>
          <cell r="BX56">
            <v>5</v>
          </cell>
          <cell r="BY56">
            <v>6</v>
          </cell>
          <cell r="BZ56">
            <v>7</v>
          </cell>
          <cell r="CA56">
            <v>4</v>
          </cell>
          <cell r="CB56" t="str">
            <v>Somewhat more aggressive in discounting</v>
          </cell>
        </row>
        <row r="57">
          <cell r="A57" t="str">
            <v>US</v>
          </cell>
          <cell r="B57" t="str">
            <v>Business services</v>
          </cell>
          <cell r="C57" t="str">
            <v>$1-5 Billion</v>
          </cell>
          <cell r="D57" t="str">
            <v>$100-200 Million</v>
          </cell>
          <cell r="E57">
            <v>2</v>
          </cell>
          <cell r="F57">
            <v>1</v>
          </cell>
          <cell r="G57">
            <v>5</v>
          </cell>
          <cell r="H57">
            <v>5</v>
          </cell>
          <cell r="I57">
            <v>2</v>
          </cell>
          <cell r="J57">
            <v>0</v>
          </cell>
          <cell r="K57">
            <v>0</v>
          </cell>
          <cell r="L57">
            <v>2</v>
          </cell>
          <cell r="M57">
            <v>2</v>
          </cell>
          <cell r="N57">
            <v>-3</v>
          </cell>
          <cell r="O57">
            <v>5</v>
          </cell>
          <cell r="P57">
            <v>40</v>
          </cell>
          <cell r="Q57">
            <v>60</v>
          </cell>
          <cell r="R57">
            <v>70</v>
          </cell>
          <cell r="S57">
            <v>30</v>
          </cell>
          <cell r="T57" t="str">
            <v xml:space="preserve">Network security </v>
          </cell>
          <cell r="U57" t="str">
            <v>Cloud based applications</v>
          </cell>
          <cell r="V57" t="str">
            <v>Data consolidation</v>
          </cell>
          <cell r="W57" t="str">
            <v>Oracle seats</v>
          </cell>
          <cell r="X57" t="str">
            <v>WLAN project</v>
          </cell>
          <cell r="Z57" t="str">
            <v>Equal chance of upward or downward revision</v>
          </cell>
          <cell r="AA57" t="str">
            <v>Cloud projects</v>
          </cell>
          <cell r="AB57" t="str">
            <v>Mission critical systems</v>
          </cell>
          <cell r="AC57" t="str">
            <v>No change in level of discounting</v>
          </cell>
          <cell r="AD57" t="str">
            <v>Somewhat longer</v>
          </cell>
          <cell r="AE57">
            <v>70</v>
          </cell>
          <cell r="AF57">
            <v>10</v>
          </cell>
          <cell r="AG57">
            <v>20</v>
          </cell>
          <cell r="AH57" t="str">
            <v>30/70</v>
          </cell>
          <cell r="AI57" t="str">
            <v>In-Line</v>
          </cell>
          <cell r="AJ57">
            <v>10</v>
          </cell>
          <cell r="AK57">
            <v>5</v>
          </cell>
          <cell r="AL57">
            <v>0</v>
          </cell>
          <cell r="AM57">
            <v>-3</v>
          </cell>
          <cell r="AN57">
            <v>-8</v>
          </cell>
          <cell r="AO57">
            <v>-5</v>
          </cell>
          <cell r="AP57">
            <v>-5</v>
          </cell>
          <cell r="AQ57">
            <v>0</v>
          </cell>
          <cell r="AR57" t="str">
            <v>Don't Use</v>
          </cell>
          <cell r="AS57" t="str">
            <v>Don't Use</v>
          </cell>
          <cell r="AT57" t="str">
            <v>Don't Use</v>
          </cell>
          <cell r="AU57" t="str">
            <v>Don't Use</v>
          </cell>
          <cell r="AV57" t="str">
            <v>Increase</v>
          </cell>
          <cell r="AW57" t="str">
            <v>Don't Use</v>
          </cell>
          <cell r="AX57" t="str">
            <v>Flat</v>
          </cell>
          <cell r="AY57" t="str">
            <v>Don't Use</v>
          </cell>
          <cell r="AZ57" t="str">
            <v>Flat</v>
          </cell>
          <cell r="BA57" t="str">
            <v>Decrease</v>
          </cell>
          <cell r="BB57" t="str">
            <v>Don't Use</v>
          </cell>
          <cell r="BC57" t="str">
            <v>Don't Use</v>
          </cell>
          <cell r="BD57" t="str">
            <v>Don't Use</v>
          </cell>
          <cell r="BE57" t="str">
            <v>Don't Use</v>
          </cell>
          <cell r="BF57" t="str">
            <v>Decrease</v>
          </cell>
          <cell r="BG57" t="str">
            <v>Don't Use</v>
          </cell>
          <cell r="BH57" t="str">
            <v>Don't Use</v>
          </cell>
          <cell r="BI57" t="str">
            <v>Not Priority</v>
          </cell>
          <cell r="BJ57" t="str">
            <v>Not Priority</v>
          </cell>
          <cell r="BK57" t="str">
            <v>Doing work internally</v>
          </cell>
          <cell r="BL57" t="str">
            <v>Not Priority</v>
          </cell>
          <cell r="BM57" t="str">
            <v>Not Priority</v>
          </cell>
          <cell r="BN57" t="str">
            <v>Already using services provider</v>
          </cell>
          <cell r="BO57" t="str">
            <v>Not Priority</v>
          </cell>
          <cell r="BP57" t="str">
            <v>Doing work internally</v>
          </cell>
          <cell r="BQ57" t="str">
            <v>Doing work internally</v>
          </cell>
          <cell r="BR57" t="str">
            <v>Already using services provider</v>
          </cell>
          <cell r="BS57" t="str">
            <v>Doing work internally</v>
          </cell>
          <cell r="BT57" t="str">
            <v>Not Priority</v>
          </cell>
          <cell r="BU57">
            <v>4</v>
          </cell>
          <cell r="BV57">
            <v>2</v>
          </cell>
          <cell r="BW57">
            <v>1</v>
          </cell>
          <cell r="BX57">
            <v>5</v>
          </cell>
          <cell r="BY57">
            <v>7</v>
          </cell>
          <cell r="BZ57">
            <v>3</v>
          </cell>
          <cell r="CA57">
            <v>6</v>
          </cell>
          <cell r="CB57" t="str">
            <v>No change in level of discounting</v>
          </cell>
        </row>
        <row r="58">
          <cell r="A58" t="str">
            <v>US</v>
          </cell>
          <cell r="B58" t="str">
            <v>Business services</v>
          </cell>
          <cell r="C58" t="str">
            <v>$5-10 Billion</v>
          </cell>
          <cell r="D58" t="str">
            <v>$200-300 Million</v>
          </cell>
          <cell r="E58">
            <v>10</v>
          </cell>
          <cell r="F58">
            <v>-3</v>
          </cell>
          <cell r="G58">
            <v>20</v>
          </cell>
          <cell r="H58">
            <v>10</v>
          </cell>
          <cell r="I58">
            <v>12</v>
          </cell>
          <cell r="J58">
            <v>10</v>
          </cell>
          <cell r="K58">
            <v>0</v>
          </cell>
          <cell r="L58">
            <v>-5</v>
          </cell>
          <cell r="M58">
            <v>-5</v>
          </cell>
          <cell r="N58">
            <v>-3</v>
          </cell>
          <cell r="O58">
            <v>9</v>
          </cell>
          <cell r="P58">
            <v>40</v>
          </cell>
          <cell r="Q58">
            <v>60</v>
          </cell>
          <cell r="R58">
            <v>40</v>
          </cell>
          <cell r="S58">
            <v>60</v>
          </cell>
          <cell r="T58" t="str">
            <v>NA / No Increase</v>
          </cell>
          <cell r="W58" t="str">
            <v>NA / No Decrease</v>
          </cell>
          <cell r="Z58" t="str">
            <v>‘No change’ to the budget is likely</v>
          </cell>
          <cell r="AA58" t="str">
            <v>NA / DK</v>
          </cell>
          <cell r="AB58" t="str">
            <v>NA / DK</v>
          </cell>
          <cell r="AC58" t="str">
            <v>Somewhat more aggressive in discounting</v>
          </cell>
          <cell r="AD58" t="str">
            <v>Somewhat quicker</v>
          </cell>
          <cell r="AE58">
            <v>95</v>
          </cell>
          <cell r="AF58">
            <v>5</v>
          </cell>
          <cell r="AG58">
            <v>0</v>
          </cell>
          <cell r="AH58" t="str">
            <v>60/40</v>
          </cell>
          <cell r="AI58" t="str">
            <v>In-Line</v>
          </cell>
          <cell r="AJ58">
            <v>10</v>
          </cell>
          <cell r="AK58">
            <v>10</v>
          </cell>
          <cell r="AL58" t="str">
            <v>NA / DK</v>
          </cell>
          <cell r="AM58">
            <v>0</v>
          </cell>
          <cell r="AN58">
            <v>-2</v>
          </cell>
          <cell r="AO58">
            <v>0</v>
          </cell>
          <cell r="AP58">
            <v>0</v>
          </cell>
          <cell r="AQ58">
            <v>10</v>
          </cell>
          <cell r="AR58" t="str">
            <v>Don't Use</v>
          </cell>
          <cell r="AS58" t="str">
            <v>Don't Use</v>
          </cell>
          <cell r="AT58" t="str">
            <v>Don't Use</v>
          </cell>
          <cell r="AU58" t="str">
            <v>Don't Use</v>
          </cell>
          <cell r="AV58" t="str">
            <v>Don't Use</v>
          </cell>
          <cell r="AW58" t="str">
            <v>Don't Use</v>
          </cell>
          <cell r="AX58" t="str">
            <v>Flat</v>
          </cell>
          <cell r="AY58" t="str">
            <v>Don't Use</v>
          </cell>
          <cell r="AZ58" t="str">
            <v>Don't Use</v>
          </cell>
          <cell r="BA58" t="str">
            <v>Flat</v>
          </cell>
          <cell r="BB58" t="str">
            <v>Flat</v>
          </cell>
          <cell r="BC58" t="str">
            <v>Don't Use</v>
          </cell>
          <cell r="BD58" t="str">
            <v>Don't Use</v>
          </cell>
          <cell r="BE58" t="str">
            <v>Don't Use</v>
          </cell>
          <cell r="BF58" t="str">
            <v>Don't Use</v>
          </cell>
          <cell r="BG58" t="str">
            <v>Don't Use</v>
          </cell>
          <cell r="BH58" t="str">
            <v>Flat</v>
          </cell>
          <cell r="BI58" t="str">
            <v>Doing work internally</v>
          </cell>
          <cell r="BJ58" t="str">
            <v>Not Priority</v>
          </cell>
          <cell r="BK58" t="str">
            <v>Not Priority</v>
          </cell>
          <cell r="BL58" t="str">
            <v>Doing work internally</v>
          </cell>
          <cell r="BM58" t="str">
            <v>Doing work internally</v>
          </cell>
          <cell r="BN58" t="str">
            <v>Not Priority</v>
          </cell>
          <cell r="BO58" t="str">
            <v>Already using services provider</v>
          </cell>
          <cell r="BP58" t="str">
            <v>Already using services provider</v>
          </cell>
          <cell r="BQ58" t="str">
            <v>Doing work internally</v>
          </cell>
          <cell r="BR58" t="str">
            <v>Not Priority</v>
          </cell>
          <cell r="BS58" t="str">
            <v>Not Priority</v>
          </cell>
          <cell r="BT58" t="str">
            <v>Not Priority</v>
          </cell>
          <cell r="BU58">
            <v>4</v>
          </cell>
          <cell r="BV58">
            <v>7</v>
          </cell>
          <cell r="BW58">
            <v>5</v>
          </cell>
          <cell r="BX58">
            <v>2</v>
          </cell>
          <cell r="BY58">
            <v>3</v>
          </cell>
          <cell r="BZ58">
            <v>1</v>
          </cell>
          <cell r="CA58">
            <v>6</v>
          </cell>
          <cell r="CB58" t="str">
            <v>No change in level of discounting</v>
          </cell>
        </row>
        <row r="59">
          <cell r="A59" t="str">
            <v>US</v>
          </cell>
          <cell r="B59" t="str">
            <v>Business services</v>
          </cell>
          <cell r="C59" t="str">
            <v>$1-5 Billion</v>
          </cell>
          <cell r="D59" t="str">
            <v>$100-200 Million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 t="str">
            <v>DK</v>
          </cell>
          <cell r="K59">
            <v>0</v>
          </cell>
          <cell r="L59">
            <v>0</v>
          </cell>
          <cell r="M59">
            <v>0</v>
          </cell>
          <cell r="N59" t="str">
            <v>DK</v>
          </cell>
          <cell r="O59">
            <v>6</v>
          </cell>
          <cell r="P59">
            <v>45</v>
          </cell>
          <cell r="Q59">
            <v>55</v>
          </cell>
          <cell r="R59">
            <v>45</v>
          </cell>
          <cell r="S59">
            <v>55</v>
          </cell>
          <cell r="T59" t="str">
            <v>Networking</v>
          </cell>
          <cell r="U59" t="str">
            <v>Wireless</v>
          </cell>
          <cell r="V59" t="str">
            <v>Storage</v>
          </cell>
          <cell r="W59" t="str">
            <v>Software</v>
          </cell>
          <cell r="X59" t="str">
            <v>Traditional voice</v>
          </cell>
          <cell r="Y59" t="str">
            <v>Printing</v>
          </cell>
          <cell r="Z59" t="str">
            <v>‘No change’ to the budget is likely</v>
          </cell>
          <cell r="AA59" t="str">
            <v>Storage</v>
          </cell>
          <cell r="AB59" t="str">
            <v>Networking</v>
          </cell>
          <cell r="AC59" t="str">
            <v>No change in level of discounting</v>
          </cell>
          <cell r="AD59" t="str">
            <v>Somewhat longer</v>
          </cell>
          <cell r="AE59" t="str">
            <v>NA / DK</v>
          </cell>
          <cell r="AF59" t="str">
            <v>NA / DK</v>
          </cell>
          <cell r="AG59" t="str">
            <v>NA / DK</v>
          </cell>
          <cell r="AH59" t="str">
            <v>40/60</v>
          </cell>
          <cell r="AI59" t="str">
            <v>In-Line</v>
          </cell>
          <cell r="AJ59">
            <v>0</v>
          </cell>
          <cell r="AK59" t="str">
            <v>NA / DK</v>
          </cell>
          <cell r="AL59" t="str">
            <v>NA / DK</v>
          </cell>
          <cell r="AM59" t="str">
            <v>NA / DK</v>
          </cell>
          <cell r="AN59">
            <v>0</v>
          </cell>
          <cell r="AO59" t="str">
            <v>NA / DK</v>
          </cell>
          <cell r="AP59" t="str">
            <v>NA / DK</v>
          </cell>
          <cell r="AQ59" t="str">
            <v>NA / DK</v>
          </cell>
          <cell r="AR59" t="str">
            <v>Don't Use</v>
          </cell>
          <cell r="AS59" t="str">
            <v>Don't Use</v>
          </cell>
          <cell r="AT59" t="str">
            <v>Don't Use</v>
          </cell>
          <cell r="AU59" t="str">
            <v>Don't Use</v>
          </cell>
          <cell r="AV59" t="str">
            <v>Don't Use</v>
          </cell>
          <cell r="AW59" t="str">
            <v>Don't Use</v>
          </cell>
          <cell r="AX59" t="str">
            <v>Don't Use</v>
          </cell>
          <cell r="AY59" t="str">
            <v>Don't Use</v>
          </cell>
          <cell r="AZ59" t="str">
            <v>Don't Use</v>
          </cell>
          <cell r="BA59" t="str">
            <v>Don't Use</v>
          </cell>
          <cell r="BB59" t="str">
            <v>Don't Use</v>
          </cell>
          <cell r="BC59" t="str">
            <v>Don't Use</v>
          </cell>
          <cell r="BD59" t="str">
            <v>Don't Use</v>
          </cell>
          <cell r="BE59" t="str">
            <v>Don't Use</v>
          </cell>
          <cell r="BF59" t="str">
            <v>Don't Use</v>
          </cell>
          <cell r="BG59" t="str">
            <v>Don't Use</v>
          </cell>
          <cell r="BH59" t="str">
            <v>Don't Use</v>
          </cell>
          <cell r="BI59" t="str">
            <v>Doing work internally</v>
          </cell>
          <cell r="BJ59" t="str">
            <v>Doing work internally</v>
          </cell>
          <cell r="BK59" t="str">
            <v>Doing work internally</v>
          </cell>
          <cell r="BL59" t="str">
            <v>Doing work internally</v>
          </cell>
          <cell r="BM59" t="str">
            <v>Doing work internally</v>
          </cell>
          <cell r="BN59" t="str">
            <v>Not Priority</v>
          </cell>
          <cell r="BO59" t="str">
            <v>Doing work internally</v>
          </cell>
          <cell r="BP59" t="str">
            <v>Not Priority</v>
          </cell>
          <cell r="BQ59" t="str">
            <v>Not Priority</v>
          </cell>
          <cell r="BR59" t="str">
            <v>Doing work internally</v>
          </cell>
          <cell r="BS59" t="str">
            <v>Not Priority</v>
          </cell>
          <cell r="BT59" t="str">
            <v>Not Priority</v>
          </cell>
          <cell r="BU59">
            <v>1</v>
          </cell>
          <cell r="BV59">
            <v>7</v>
          </cell>
          <cell r="BW59">
            <v>2</v>
          </cell>
          <cell r="BX59">
            <v>5</v>
          </cell>
          <cell r="BY59">
            <v>6</v>
          </cell>
          <cell r="BZ59">
            <v>3</v>
          </cell>
          <cell r="CA59">
            <v>4</v>
          </cell>
          <cell r="CB59" t="str">
            <v>No change in level of discounting</v>
          </cell>
        </row>
        <row r="60">
          <cell r="A60" t="str">
            <v>US</v>
          </cell>
          <cell r="B60" t="str">
            <v>Business services</v>
          </cell>
          <cell r="C60" t="str">
            <v>$5-10 Billion</v>
          </cell>
          <cell r="D60" t="str">
            <v>$100-200 Million</v>
          </cell>
          <cell r="E60">
            <v>7</v>
          </cell>
          <cell r="F60">
            <v>10</v>
          </cell>
          <cell r="G60">
            <v>5</v>
          </cell>
          <cell r="H60">
            <v>5</v>
          </cell>
          <cell r="I60">
            <v>5</v>
          </cell>
          <cell r="J60">
            <v>7</v>
          </cell>
          <cell r="K60">
            <v>7</v>
          </cell>
          <cell r="L60">
            <v>2</v>
          </cell>
          <cell r="M60">
            <v>5</v>
          </cell>
          <cell r="N60">
            <v>5</v>
          </cell>
          <cell r="O60">
            <v>7</v>
          </cell>
          <cell r="P60">
            <v>50</v>
          </cell>
          <cell r="Q60">
            <v>50</v>
          </cell>
          <cell r="R60">
            <v>60</v>
          </cell>
          <cell r="S60">
            <v>40</v>
          </cell>
          <cell r="T60" t="str">
            <v>Security</v>
          </cell>
          <cell r="U60" t="str">
            <v>Hardware</v>
          </cell>
          <cell r="V60" t="str">
            <v>SOX</v>
          </cell>
          <cell r="W60" t="str">
            <v>Custome app development</v>
          </cell>
          <cell r="X60" t="str">
            <v>Mainframes</v>
          </cell>
          <cell r="Y60" t="str">
            <v>PC refresh rates</v>
          </cell>
          <cell r="Z60" t="str">
            <v>‘No change’ to the budget is likely</v>
          </cell>
          <cell r="AA60" t="str">
            <v>Any new projects</v>
          </cell>
          <cell r="AB60" t="str">
            <v>Mission critical systems</v>
          </cell>
          <cell r="AC60" t="str">
            <v>Somewhat more aggressive in discounting</v>
          </cell>
          <cell r="AD60" t="str">
            <v>Somewhat longer</v>
          </cell>
          <cell r="AE60">
            <v>70</v>
          </cell>
          <cell r="AF60">
            <v>0</v>
          </cell>
          <cell r="AG60">
            <v>30</v>
          </cell>
          <cell r="AH60" t="str">
            <v>20/80</v>
          </cell>
          <cell r="AI60" t="str">
            <v>In-Line</v>
          </cell>
          <cell r="AJ60">
            <v>8</v>
          </cell>
          <cell r="AK60">
            <v>10</v>
          </cell>
          <cell r="AL60">
            <v>5</v>
          </cell>
          <cell r="AM60">
            <v>5</v>
          </cell>
          <cell r="AN60">
            <v>3</v>
          </cell>
          <cell r="AO60">
            <v>5</v>
          </cell>
          <cell r="AP60">
            <v>7</v>
          </cell>
          <cell r="AQ60">
            <v>0</v>
          </cell>
          <cell r="AR60" t="str">
            <v>Don't Use</v>
          </cell>
          <cell r="AS60" t="str">
            <v>Don't Use</v>
          </cell>
          <cell r="AT60" t="str">
            <v>Don't Use</v>
          </cell>
          <cell r="AU60" t="str">
            <v>Flat</v>
          </cell>
          <cell r="AV60" t="str">
            <v>Don't Use</v>
          </cell>
          <cell r="AW60" t="str">
            <v>Flat</v>
          </cell>
          <cell r="AX60" t="str">
            <v>Don't Use</v>
          </cell>
          <cell r="AY60" t="str">
            <v>Don't Use</v>
          </cell>
          <cell r="AZ60" t="str">
            <v>Flat</v>
          </cell>
          <cell r="BA60" t="str">
            <v>Flat</v>
          </cell>
          <cell r="BB60" t="str">
            <v>Flat</v>
          </cell>
          <cell r="BC60" t="str">
            <v>Don't Use</v>
          </cell>
          <cell r="BD60" t="str">
            <v>Increase</v>
          </cell>
          <cell r="BE60" t="str">
            <v>Flat</v>
          </cell>
          <cell r="BF60" t="str">
            <v>Increase</v>
          </cell>
          <cell r="BG60" t="str">
            <v>Don't Use</v>
          </cell>
          <cell r="BH60" t="str">
            <v>Don't Use</v>
          </cell>
          <cell r="BI60" t="str">
            <v>Not Priority</v>
          </cell>
          <cell r="BJ60" t="str">
            <v>Already using services provider</v>
          </cell>
          <cell r="BK60" t="str">
            <v>Will use services provider 2H12</v>
          </cell>
          <cell r="BL60" t="str">
            <v>Not Priority</v>
          </cell>
          <cell r="BM60" t="str">
            <v>Doing work internally</v>
          </cell>
          <cell r="BN60" t="str">
            <v>Not Priority</v>
          </cell>
          <cell r="BO60" t="str">
            <v>Doing work internally</v>
          </cell>
          <cell r="BP60" t="str">
            <v>Not Priority</v>
          </cell>
          <cell r="BQ60" t="str">
            <v>Doing work internally</v>
          </cell>
          <cell r="BR60" t="str">
            <v>Not Priority</v>
          </cell>
          <cell r="BS60" t="str">
            <v>Not Priority</v>
          </cell>
          <cell r="BT60" t="str">
            <v>Not Priority</v>
          </cell>
          <cell r="BU60">
            <v>3</v>
          </cell>
          <cell r="BW60">
            <v>1</v>
          </cell>
          <cell r="BX60">
            <v>2</v>
          </cell>
          <cell r="BZ60">
            <v>4</v>
          </cell>
          <cell r="CB60" t="str">
            <v>Somewhat more aggressive in discounting</v>
          </cell>
        </row>
        <row r="61">
          <cell r="A61" t="str">
            <v>US</v>
          </cell>
          <cell r="B61" t="str">
            <v>Business services</v>
          </cell>
          <cell r="C61" t="str">
            <v>$1-5 Billion</v>
          </cell>
          <cell r="D61" t="str">
            <v>$300-400 Million</v>
          </cell>
          <cell r="E61">
            <v>-12</v>
          </cell>
          <cell r="F61">
            <v>7</v>
          </cell>
          <cell r="G61">
            <v>-5</v>
          </cell>
          <cell r="H61">
            <v>-15</v>
          </cell>
          <cell r="I61">
            <v>-10</v>
          </cell>
          <cell r="J61">
            <v>-10</v>
          </cell>
          <cell r="K61">
            <v>5</v>
          </cell>
          <cell r="L61">
            <v>5</v>
          </cell>
          <cell r="M61">
            <v>5</v>
          </cell>
          <cell r="N61">
            <v>9</v>
          </cell>
          <cell r="O61">
            <v>4</v>
          </cell>
          <cell r="P61">
            <v>55</v>
          </cell>
          <cell r="Q61">
            <v>45</v>
          </cell>
          <cell r="R61">
            <v>50</v>
          </cell>
          <cell r="S61">
            <v>50</v>
          </cell>
          <cell r="T61" t="str">
            <v>Unified communications, social networking, IM, etc.</v>
          </cell>
          <cell r="U61" t="str">
            <v>Server updates</v>
          </cell>
          <cell r="V61" t="str">
            <v>Videoconferencing</v>
          </cell>
          <cell r="W61" t="str">
            <v>Support of BYOD</v>
          </cell>
          <cell r="X61" t="str">
            <v>SW Licenses</v>
          </cell>
          <cell r="Z61" t="str">
            <v>‘No change’ to the budget is likely</v>
          </cell>
          <cell r="AA61" t="str">
            <v>External Service Providers</v>
          </cell>
          <cell r="AB61" t="str">
            <v>ERP</v>
          </cell>
          <cell r="AC61" t="str">
            <v>Somewhat more aggressive in discounting</v>
          </cell>
          <cell r="AD61" t="str">
            <v>Somewhat longer</v>
          </cell>
          <cell r="AE61">
            <v>90</v>
          </cell>
          <cell r="AF61">
            <v>5</v>
          </cell>
          <cell r="AG61">
            <v>5</v>
          </cell>
          <cell r="AH61" t="str">
            <v>50/50</v>
          </cell>
          <cell r="AI61" t="str">
            <v>Over</v>
          </cell>
          <cell r="AJ61">
            <v>-5</v>
          </cell>
          <cell r="AK61">
            <v>-10</v>
          </cell>
          <cell r="AL61">
            <v>-10</v>
          </cell>
          <cell r="AM61">
            <v>-3</v>
          </cell>
          <cell r="AN61">
            <v>11</v>
          </cell>
          <cell r="AO61">
            <v>8</v>
          </cell>
          <cell r="AP61">
            <v>6</v>
          </cell>
          <cell r="AQ61">
            <v>2</v>
          </cell>
          <cell r="AR61" t="str">
            <v>Don't Use</v>
          </cell>
          <cell r="AS61" t="str">
            <v>Don't Use</v>
          </cell>
          <cell r="AT61" t="str">
            <v>Don't Use</v>
          </cell>
          <cell r="AU61" t="str">
            <v>Flat</v>
          </cell>
          <cell r="AV61" t="str">
            <v>Flat</v>
          </cell>
          <cell r="AW61" t="str">
            <v>Don't Use</v>
          </cell>
          <cell r="AX61" t="str">
            <v>Flat</v>
          </cell>
          <cell r="AY61" t="str">
            <v>Flat</v>
          </cell>
          <cell r="AZ61" t="str">
            <v>Flat</v>
          </cell>
          <cell r="BA61" t="str">
            <v>Don't Use</v>
          </cell>
          <cell r="BB61" t="str">
            <v>Flat</v>
          </cell>
          <cell r="BC61" t="str">
            <v>Don't Use</v>
          </cell>
          <cell r="BD61" t="str">
            <v>Don't Use</v>
          </cell>
          <cell r="BE61" t="str">
            <v>Don't Use</v>
          </cell>
          <cell r="BF61" t="str">
            <v>Don't Use</v>
          </cell>
          <cell r="BG61" t="str">
            <v>Increase</v>
          </cell>
          <cell r="BH61" t="str">
            <v>Flat</v>
          </cell>
          <cell r="BI61" t="str">
            <v>Already using services provider</v>
          </cell>
          <cell r="BJ61" t="str">
            <v>Doing work internally</v>
          </cell>
          <cell r="BK61" t="str">
            <v>Will use services provider 2H12</v>
          </cell>
          <cell r="BL61" t="str">
            <v>Not Priority</v>
          </cell>
          <cell r="BM61" t="str">
            <v>Doing work internally</v>
          </cell>
          <cell r="BN61" t="str">
            <v>Not Priority</v>
          </cell>
          <cell r="BO61" t="str">
            <v>Will use services provider 2H12</v>
          </cell>
          <cell r="BP61" t="str">
            <v>Will use services provider 2H12</v>
          </cell>
          <cell r="BQ61" t="str">
            <v>Doing work internally</v>
          </cell>
          <cell r="BR61" t="str">
            <v>Doing work internally</v>
          </cell>
          <cell r="BS61" t="str">
            <v>Will use services provider 2H12</v>
          </cell>
          <cell r="BT61" t="str">
            <v>Not Priority</v>
          </cell>
          <cell r="BU61">
            <v>2</v>
          </cell>
          <cell r="BV61">
            <v>4</v>
          </cell>
          <cell r="BW61">
            <v>5</v>
          </cell>
          <cell r="BX61">
            <v>1</v>
          </cell>
          <cell r="BZ61">
            <v>6</v>
          </cell>
          <cell r="CA61">
            <v>3</v>
          </cell>
          <cell r="CB61" t="str">
            <v>No change in level of discounting</v>
          </cell>
        </row>
        <row r="62">
          <cell r="A62" t="str">
            <v>US</v>
          </cell>
          <cell r="B62" t="str">
            <v>Business services</v>
          </cell>
          <cell r="C62" t="str">
            <v>$5-10 Billion</v>
          </cell>
          <cell r="D62" t="str">
            <v>$200-300 Million</v>
          </cell>
          <cell r="E62">
            <v>-8</v>
          </cell>
          <cell r="F62">
            <v>5</v>
          </cell>
          <cell r="G62">
            <v>-5</v>
          </cell>
          <cell r="H62">
            <v>-8</v>
          </cell>
          <cell r="I62">
            <v>-1</v>
          </cell>
          <cell r="J62">
            <v>-10</v>
          </cell>
          <cell r="K62">
            <v>5</v>
          </cell>
          <cell r="L62">
            <v>5</v>
          </cell>
          <cell r="M62">
            <v>5</v>
          </cell>
          <cell r="N62">
            <v>5</v>
          </cell>
          <cell r="O62">
            <v>6</v>
          </cell>
          <cell r="P62">
            <v>60</v>
          </cell>
          <cell r="Q62">
            <v>40</v>
          </cell>
          <cell r="R62">
            <v>60</v>
          </cell>
          <cell r="S62">
            <v>40</v>
          </cell>
          <cell r="T62" t="str">
            <v>Web 2.0 collaboration tools</v>
          </cell>
          <cell r="U62" t="str">
            <v>CRM</v>
          </cell>
          <cell r="V62" t="str">
            <v>Ultrabooks</v>
          </cell>
          <cell r="W62" t="str">
            <v>Desktops</v>
          </cell>
          <cell r="X62" t="str">
            <v>Oracle seats</v>
          </cell>
          <cell r="Y62" t="str">
            <v>Database management tools</v>
          </cell>
          <cell r="Z62" t="str">
            <v>Equal chance of upward or downward revision</v>
          </cell>
          <cell r="AA62" t="str">
            <v>Ultrabooks, destop PCs</v>
          </cell>
          <cell r="AB62" t="str">
            <v>User access</v>
          </cell>
          <cell r="AC62" t="str">
            <v>Somewhat less aggressive in discounting</v>
          </cell>
          <cell r="AD62" t="str">
            <v>Significantly longer</v>
          </cell>
          <cell r="AE62" t="str">
            <v>NA / DK</v>
          </cell>
          <cell r="AF62" t="str">
            <v>NA / DK</v>
          </cell>
          <cell r="AG62" t="str">
            <v>NA / DK</v>
          </cell>
          <cell r="AH62" t="str">
            <v>30/70</v>
          </cell>
          <cell r="AI62" t="str">
            <v>Over</v>
          </cell>
          <cell r="AJ62">
            <v>-5</v>
          </cell>
          <cell r="AK62">
            <v>0</v>
          </cell>
          <cell r="AL62">
            <v>-10</v>
          </cell>
          <cell r="AM62">
            <v>0</v>
          </cell>
          <cell r="AN62">
            <v>15</v>
          </cell>
          <cell r="AO62">
            <v>5</v>
          </cell>
          <cell r="AP62">
            <v>0</v>
          </cell>
          <cell r="AQ62">
            <v>0</v>
          </cell>
          <cell r="AR62" t="str">
            <v>Don't Use</v>
          </cell>
          <cell r="AS62" t="str">
            <v>Don't Use</v>
          </cell>
          <cell r="AT62" t="str">
            <v>Don't Use</v>
          </cell>
          <cell r="AU62" t="str">
            <v>Don't Use</v>
          </cell>
          <cell r="AV62" t="str">
            <v>Don't Use</v>
          </cell>
          <cell r="AW62" t="str">
            <v>Don't Use</v>
          </cell>
          <cell r="AX62" t="str">
            <v>Don't Use</v>
          </cell>
          <cell r="AY62" t="str">
            <v>Don't Use</v>
          </cell>
          <cell r="AZ62" t="str">
            <v>Don't Use</v>
          </cell>
          <cell r="BA62" t="str">
            <v>Don't Use</v>
          </cell>
          <cell r="BB62" t="str">
            <v>Flat</v>
          </cell>
          <cell r="BC62" t="str">
            <v>Don't Use</v>
          </cell>
          <cell r="BD62" t="str">
            <v>Don't Use</v>
          </cell>
          <cell r="BE62" t="str">
            <v>Don't Use</v>
          </cell>
          <cell r="BF62" t="str">
            <v>Don't Use</v>
          </cell>
          <cell r="BG62" t="str">
            <v>Don't Use</v>
          </cell>
          <cell r="BH62" t="str">
            <v>Don't Use</v>
          </cell>
          <cell r="BI62" t="str">
            <v>Doing work internally</v>
          </cell>
          <cell r="BJ62" t="str">
            <v>Doing work internally</v>
          </cell>
          <cell r="BK62" t="str">
            <v>Not Priority</v>
          </cell>
          <cell r="BL62" t="str">
            <v>Doing work internally</v>
          </cell>
          <cell r="BM62" t="str">
            <v>Doing work internally</v>
          </cell>
          <cell r="BN62" t="str">
            <v>Will use services provider 2H12</v>
          </cell>
          <cell r="BO62" t="str">
            <v>Doing work internally</v>
          </cell>
          <cell r="BP62" t="str">
            <v>Doing work internally</v>
          </cell>
          <cell r="BQ62" t="str">
            <v>Already using services provider</v>
          </cell>
          <cell r="BR62" t="str">
            <v>Already using services provider</v>
          </cell>
          <cell r="BS62" t="str">
            <v>Already using services provider</v>
          </cell>
          <cell r="BT62" t="str">
            <v>Not Priority</v>
          </cell>
          <cell r="BU62">
            <v>1</v>
          </cell>
          <cell r="BV62">
            <v>4</v>
          </cell>
          <cell r="BW62">
            <v>5</v>
          </cell>
          <cell r="BX62">
            <v>2</v>
          </cell>
          <cell r="BY62">
            <v>7</v>
          </cell>
          <cell r="BZ62">
            <v>6</v>
          </cell>
          <cell r="CA62">
            <v>3</v>
          </cell>
          <cell r="CB62" t="str">
            <v>Somewhat less aggressive in discounting</v>
          </cell>
        </row>
        <row r="63">
          <cell r="A63" t="str">
            <v>US</v>
          </cell>
          <cell r="B63" t="str">
            <v>Business services</v>
          </cell>
          <cell r="C63" t="str">
            <v>$1-5 Billion</v>
          </cell>
          <cell r="D63" t="str">
            <v>$100-200 Million</v>
          </cell>
          <cell r="E63">
            <v>-5</v>
          </cell>
          <cell r="F63">
            <v>-7</v>
          </cell>
          <cell r="G63">
            <v>-10</v>
          </cell>
          <cell r="H63">
            <v>0</v>
          </cell>
          <cell r="I63">
            <v>0</v>
          </cell>
          <cell r="J63">
            <v>-5</v>
          </cell>
          <cell r="K63">
            <v>-15</v>
          </cell>
          <cell r="L63">
            <v>-10</v>
          </cell>
          <cell r="M63">
            <v>-7</v>
          </cell>
          <cell r="N63">
            <v>-5</v>
          </cell>
          <cell r="O63">
            <v>3</v>
          </cell>
          <cell r="P63">
            <v>60</v>
          </cell>
          <cell r="Q63">
            <v>40</v>
          </cell>
          <cell r="R63">
            <v>40</v>
          </cell>
          <cell r="S63">
            <v>60</v>
          </cell>
          <cell r="T63" t="str">
            <v>Virtualization</v>
          </cell>
          <cell r="U63" t="str">
            <v>Security</v>
          </cell>
          <cell r="W63" t="str">
            <v>NA / No Decrease</v>
          </cell>
          <cell r="Z63" t="str">
            <v>Downward revision is more likely</v>
          </cell>
          <cell r="AA63" t="str">
            <v>NA / DK</v>
          </cell>
          <cell r="AB63" t="str">
            <v>NA / DK</v>
          </cell>
          <cell r="AC63" t="str">
            <v>No change in level of discounting</v>
          </cell>
          <cell r="AD63" t="str">
            <v>Significantly longer</v>
          </cell>
          <cell r="AE63">
            <v>100</v>
          </cell>
          <cell r="AF63">
            <v>0</v>
          </cell>
          <cell r="AG63">
            <v>0</v>
          </cell>
          <cell r="AH63" t="str">
            <v>40/60</v>
          </cell>
          <cell r="AI63" t="str">
            <v>In-Line</v>
          </cell>
          <cell r="AJ63">
            <v>-10</v>
          </cell>
          <cell r="AK63">
            <v>0</v>
          </cell>
          <cell r="AL63" t="str">
            <v>NA / DK</v>
          </cell>
          <cell r="AM63">
            <v>5</v>
          </cell>
          <cell r="AN63">
            <v>0</v>
          </cell>
          <cell r="AO63">
            <v>-5</v>
          </cell>
          <cell r="AP63">
            <v>0</v>
          </cell>
          <cell r="AQ63">
            <v>0</v>
          </cell>
          <cell r="AR63" t="str">
            <v>Don't Use</v>
          </cell>
          <cell r="AS63" t="str">
            <v>Increase</v>
          </cell>
          <cell r="AT63" t="str">
            <v>Don't Use</v>
          </cell>
          <cell r="AU63" t="str">
            <v>Don't Use</v>
          </cell>
          <cell r="AV63" t="str">
            <v>Flat</v>
          </cell>
          <cell r="AW63" t="str">
            <v>Don't Use</v>
          </cell>
          <cell r="AX63" t="str">
            <v>Flat</v>
          </cell>
          <cell r="AY63" t="str">
            <v>Don't Use</v>
          </cell>
          <cell r="AZ63" t="str">
            <v>Don't Use</v>
          </cell>
          <cell r="BA63" t="str">
            <v>Don't Use</v>
          </cell>
          <cell r="BB63" t="str">
            <v>Increase</v>
          </cell>
          <cell r="BC63" t="str">
            <v>Don't Use</v>
          </cell>
          <cell r="BD63" t="str">
            <v>Don't Use</v>
          </cell>
          <cell r="BE63" t="str">
            <v>Don't Use</v>
          </cell>
          <cell r="BF63" t="str">
            <v>Don't Use</v>
          </cell>
          <cell r="BG63" t="str">
            <v>Don't Use</v>
          </cell>
          <cell r="BH63" t="str">
            <v>Don't Use</v>
          </cell>
          <cell r="BI63" t="str">
            <v>Already using services provider</v>
          </cell>
          <cell r="BJ63" t="str">
            <v>Doing work internally</v>
          </cell>
          <cell r="BK63" t="str">
            <v>Will use services provider 2H12</v>
          </cell>
          <cell r="BL63" t="str">
            <v>Will use services provider 2H12</v>
          </cell>
          <cell r="BM63" t="str">
            <v>Doing work internally</v>
          </cell>
          <cell r="BN63" t="str">
            <v>Not Priority</v>
          </cell>
          <cell r="BO63" t="str">
            <v>Not Priority</v>
          </cell>
          <cell r="BP63" t="str">
            <v>Not Priority</v>
          </cell>
          <cell r="BQ63" t="str">
            <v>Doing work internally</v>
          </cell>
          <cell r="BR63" t="str">
            <v>Will use services provider 2H12</v>
          </cell>
          <cell r="BS63" t="str">
            <v>Not Priority</v>
          </cell>
          <cell r="BT63" t="str">
            <v>Not Priority</v>
          </cell>
          <cell r="BU63">
            <v>4</v>
          </cell>
          <cell r="BV63">
            <v>5</v>
          </cell>
          <cell r="BW63">
            <v>2</v>
          </cell>
          <cell r="BX63">
            <v>1</v>
          </cell>
          <cell r="BY63">
            <v>6</v>
          </cell>
          <cell r="BZ63">
            <v>3</v>
          </cell>
          <cell r="CA63">
            <v>7</v>
          </cell>
          <cell r="CB63" t="str">
            <v>No change in level of discounting</v>
          </cell>
        </row>
        <row r="64">
          <cell r="A64" t="str">
            <v>US</v>
          </cell>
          <cell r="B64" t="str">
            <v>Communications</v>
          </cell>
          <cell r="C64" t="str">
            <v>$5-10 Billion</v>
          </cell>
          <cell r="D64" t="str">
            <v>$100-200 Million</v>
          </cell>
          <cell r="E64">
            <v>0</v>
          </cell>
          <cell r="F64">
            <v>-2</v>
          </cell>
          <cell r="G64">
            <v>5</v>
          </cell>
          <cell r="H64">
            <v>5</v>
          </cell>
          <cell r="I64">
            <v>-5</v>
          </cell>
          <cell r="J64">
            <v>5</v>
          </cell>
          <cell r="K64">
            <v>-5</v>
          </cell>
          <cell r="L64">
            <v>0</v>
          </cell>
          <cell r="M64">
            <v>0</v>
          </cell>
          <cell r="N64">
            <v>-5</v>
          </cell>
          <cell r="O64">
            <v>3</v>
          </cell>
          <cell r="P64">
            <v>40</v>
          </cell>
          <cell r="Q64">
            <v>60</v>
          </cell>
          <cell r="R64">
            <v>35</v>
          </cell>
          <cell r="S64">
            <v>65</v>
          </cell>
          <cell r="T64" t="str">
            <v>Application development</v>
          </cell>
          <cell r="U64" t="str">
            <v>Social media platform</v>
          </cell>
          <cell r="V64" t="str">
            <v>Employee collaboration tools</v>
          </cell>
          <cell r="W64" t="str">
            <v>All non-mission critical functions are up for grabs</v>
          </cell>
          <cell r="Z64" t="str">
            <v>Upward revision is more likely</v>
          </cell>
          <cell r="AA64" t="str">
            <v>Everything subject to cuts</v>
          </cell>
          <cell r="AB64" t="str">
            <v>Everything subject to cuts</v>
          </cell>
          <cell r="AC64" t="str">
            <v>No change in level of discounting</v>
          </cell>
          <cell r="AD64" t="str">
            <v>No Change</v>
          </cell>
          <cell r="AE64">
            <v>80</v>
          </cell>
          <cell r="AF64">
            <v>10</v>
          </cell>
          <cell r="AG64">
            <v>10</v>
          </cell>
          <cell r="AH64" t="str">
            <v>50/50</v>
          </cell>
          <cell r="AI64" t="str">
            <v>Under</v>
          </cell>
          <cell r="AJ64">
            <v>8</v>
          </cell>
          <cell r="AK64">
            <v>5</v>
          </cell>
          <cell r="AL64">
            <v>3</v>
          </cell>
          <cell r="AM64">
            <v>3</v>
          </cell>
          <cell r="AN64">
            <v>3</v>
          </cell>
          <cell r="AO64">
            <v>8</v>
          </cell>
          <cell r="AP64">
            <v>5</v>
          </cell>
          <cell r="AQ64">
            <v>0</v>
          </cell>
          <cell r="AR64" t="str">
            <v>Decrease</v>
          </cell>
          <cell r="AS64" t="str">
            <v>Flat</v>
          </cell>
          <cell r="AT64" t="str">
            <v>Don't Use</v>
          </cell>
          <cell r="AU64" t="str">
            <v>Don't Use</v>
          </cell>
          <cell r="AV64" t="str">
            <v>Don't Use</v>
          </cell>
          <cell r="AW64" t="str">
            <v>Decrease</v>
          </cell>
          <cell r="AX64" t="str">
            <v>Don't Use</v>
          </cell>
          <cell r="AY64" t="str">
            <v>Don't Use</v>
          </cell>
          <cell r="AZ64" t="str">
            <v>Flat</v>
          </cell>
          <cell r="BA64" t="str">
            <v>Don't Use</v>
          </cell>
          <cell r="BB64" t="str">
            <v>Don't Use</v>
          </cell>
          <cell r="BC64" t="str">
            <v>Don't Use</v>
          </cell>
          <cell r="BD64" t="str">
            <v>Don't Use</v>
          </cell>
          <cell r="BE64" t="str">
            <v>Don't Use</v>
          </cell>
          <cell r="BF64" t="str">
            <v>Increase</v>
          </cell>
          <cell r="BG64" t="str">
            <v>Don't Use</v>
          </cell>
          <cell r="BH64" t="str">
            <v>Flat</v>
          </cell>
          <cell r="BI64" t="str">
            <v>Will use services provider 2H12</v>
          </cell>
          <cell r="BJ64" t="str">
            <v>Already using services provider</v>
          </cell>
          <cell r="BK64" t="str">
            <v>Not Priority</v>
          </cell>
          <cell r="BL64" t="str">
            <v>Not Priority</v>
          </cell>
          <cell r="BM64" t="str">
            <v>Already using services provider</v>
          </cell>
          <cell r="BN64" t="str">
            <v>Already using services provider</v>
          </cell>
          <cell r="BO64" t="str">
            <v>Not Priority</v>
          </cell>
          <cell r="BP64" t="str">
            <v>Will use services provider 1H12</v>
          </cell>
          <cell r="BQ64" t="str">
            <v>Not Priority</v>
          </cell>
          <cell r="BR64" t="str">
            <v>Doing work internally</v>
          </cell>
          <cell r="BS64" t="str">
            <v>Not Priority</v>
          </cell>
          <cell r="BT64" t="str">
            <v>Not Priority</v>
          </cell>
          <cell r="BU64">
            <v>4</v>
          </cell>
          <cell r="BV64">
            <v>3</v>
          </cell>
          <cell r="BW64">
            <v>5</v>
          </cell>
          <cell r="BX64">
            <v>6</v>
          </cell>
          <cell r="BY64">
            <v>7</v>
          </cell>
          <cell r="BZ64">
            <v>2</v>
          </cell>
          <cell r="CA64">
            <v>1</v>
          </cell>
          <cell r="CB64" t="str">
            <v>No change in level of discounting</v>
          </cell>
        </row>
        <row r="65">
          <cell r="A65" t="str">
            <v>US</v>
          </cell>
          <cell r="B65" t="str">
            <v>Communications</v>
          </cell>
          <cell r="C65" t="str">
            <v>$5-10 Billion</v>
          </cell>
          <cell r="D65" t="str">
            <v>$300-400 Million</v>
          </cell>
          <cell r="E65">
            <v>15</v>
          </cell>
          <cell r="F65">
            <v>-3</v>
          </cell>
          <cell r="G65">
            <v>10</v>
          </cell>
          <cell r="H65">
            <v>10</v>
          </cell>
          <cell r="I65">
            <v>10</v>
          </cell>
          <cell r="J65">
            <v>10</v>
          </cell>
          <cell r="K65">
            <v>5</v>
          </cell>
          <cell r="L65">
            <v>-10</v>
          </cell>
          <cell r="M65">
            <v>-5</v>
          </cell>
          <cell r="N65">
            <v>-5</v>
          </cell>
          <cell r="O65">
            <v>9</v>
          </cell>
          <cell r="P65">
            <v>50</v>
          </cell>
          <cell r="Q65">
            <v>50</v>
          </cell>
          <cell r="R65">
            <v>50</v>
          </cell>
          <cell r="S65">
            <v>50</v>
          </cell>
          <cell r="T65" t="str">
            <v>Storage</v>
          </cell>
          <cell r="U65" t="str">
            <v>ERP</v>
          </cell>
          <cell r="V65" t="str">
            <v>Data integration</v>
          </cell>
          <cell r="W65" t="str">
            <v>PCs</v>
          </cell>
          <cell r="X65" t="str">
            <v xml:space="preserve">Tablets </v>
          </cell>
          <cell r="Y65" t="str">
            <v>Invested heavily last year</v>
          </cell>
          <cell r="Z65" t="str">
            <v>‘No change’ to the budget is likely</v>
          </cell>
          <cell r="AA65" t="str">
            <v>Software upgrades</v>
          </cell>
          <cell r="AB65" t="str">
            <v>Storage capacity</v>
          </cell>
          <cell r="AC65" t="str">
            <v>Somewhat less aggressive in discounting</v>
          </cell>
          <cell r="AD65" t="str">
            <v>Somewhat longer</v>
          </cell>
          <cell r="AE65">
            <v>50</v>
          </cell>
          <cell r="AF65">
            <v>25</v>
          </cell>
          <cell r="AG65">
            <v>25</v>
          </cell>
          <cell r="AH65" t="str">
            <v>60/40</v>
          </cell>
          <cell r="AI65" t="str">
            <v>In-Line</v>
          </cell>
          <cell r="AJ65">
            <v>10</v>
          </cell>
          <cell r="AK65">
            <v>5</v>
          </cell>
          <cell r="AL65">
            <v>5</v>
          </cell>
          <cell r="AM65">
            <v>8</v>
          </cell>
          <cell r="AN65">
            <v>-3</v>
          </cell>
          <cell r="AO65">
            <v>5</v>
          </cell>
          <cell r="AP65">
            <v>5</v>
          </cell>
          <cell r="AQ65">
            <v>0</v>
          </cell>
          <cell r="AR65" t="str">
            <v>Don't Use</v>
          </cell>
          <cell r="AS65" t="str">
            <v>Don't Use</v>
          </cell>
          <cell r="AT65" t="str">
            <v>Flat</v>
          </cell>
          <cell r="AU65" t="str">
            <v>Don't Use</v>
          </cell>
          <cell r="AV65" t="str">
            <v>Flat</v>
          </cell>
          <cell r="AW65" t="str">
            <v>Decrease</v>
          </cell>
          <cell r="AX65" t="str">
            <v>Don't Use</v>
          </cell>
          <cell r="AY65" t="str">
            <v>Don't Use</v>
          </cell>
          <cell r="AZ65" t="str">
            <v>Don't Use</v>
          </cell>
          <cell r="BA65" t="str">
            <v>Don't Use</v>
          </cell>
          <cell r="BB65" t="str">
            <v>Flat</v>
          </cell>
          <cell r="BC65" t="str">
            <v>Don't Use</v>
          </cell>
          <cell r="BD65" t="str">
            <v>Increase</v>
          </cell>
          <cell r="BE65" t="str">
            <v>Don't Use</v>
          </cell>
          <cell r="BF65" t="str">
            <v>Don't Use</v>
          </cell>
          <cell r="BG65" t="str">
            <v>Don't Use</v>
          </cell>
          <cell r="BH65" t="str">
            <v>Don't Use</v>
          </cell>
          <cell r="BI65" t="str">
            <v>Already using services provider</v>
          </cell>
          <cell r="BJ65" t="str">
            <v>Already using services provider</v>
          </cell>
          <cell r="BK65" t="str">
            <v>Already using services provider</v>
          </cell>
          <cell r="BL65" t="str">
            <v>Doing work internally</v>
          </cell>
          <cell r="BM65" t="str">
            <v>Doing work internally</v>
          </cell>
          <cell r="BN65" t="str">
            <v>Not Priority</v>
          </cell>
          <cell r="BO65" t="str">
            <v>Already using services provider</v>
          </cell>
          <cell r="BP65" t="str">
            <v>Doing work internally</v>
          </cell>
          <cell r="BQ65" t="str">
            <v>Doing work internally</v>
          </cell>
          <cell r="BR65" t="str">
            <v>Doing work internally</v>
          </cell>
          <cell r="BS65" t="str">
            <v>Not Priority</v>
          </cell>
          <cell r="BT65" t="str">
            <v>Will use services provider 2H12</v>
          </cell>
          <cell r="BU65">
            <v>1</v>
          </cell>
          <cell r="BV65">
            <v>5</v>
          </cell>
          <cell r="BW65">
            <v>7</v>
          </cell>
          <cell r="BX65">
            <v>6</v>
          </cell>
          <cell r="BY65">
            <v>4</v>
          </cell>
          <cell r="BZ65">
            <v>2</v>
          </cell>
          <cell r="CA65">
            <v>3</v>
          </cell>
          <cell r="CB65" t="str">
            <v>Somewhat less aggressive in discounting</v>
          </cell>
        </row>
        <row r="66">
          <cell r="A66" t="str">
            <v>US</v>
          </cell>
          <cell r="B66" t="str">
            <v>Communications</v>
          </cell>
          <cell r="C66" t="str">
            <v>$1-5 Billion</v>
          </cell>
          <cell r="D66" t="str">
            <v>$100-200 Million</v>
          </cell>
          <cell r="E66">
            <v>23</v>
          </cell>
          <cell r="F66">
            <v>20</v>
          </cell>
          <cell r="G66">
            <v>18</v>
          </cell>
          <cell r="H66">
            <v>15</v>
          </cell>
          <cell r="I66">
            <v>23</v>
          </cell>
          <cell r="J66">
            <v>15</v>
          </cell>
          <cell r="K66">
            <v>15</v>
          </cell>
          <cell r="L66">
            <v>15</v>
          </cell>
          <cell r="M66">
            <v>35</v>
          </cell>
          <cell r="N66">
            <v>10</v>
          </cell>
          <cell r="O66">
            <v>8</v>
          </cell>
          <cell r="P66">
            <v>50</v>
          </cell>
          <cell r="Q66">
            <v>50</v>
          </cell>
          <cell r="R66">
            <v>50</v>
          </cell>
          <cell r="S66">
            <v>50</v>
          </cell>
          <cell r="T66" t="str">
            <v>Virtualization</v>
          </cell>
          <cell r="U66" t="str">
            <v>VoIP Initiative</v>
          </cell>
          <cell r="W66" t="str">
            <v>Maturing Projects</v>
          </cell>
          <cell r="Z66" t="str">
            <v>Upward revision is more likely</v>
          </cell>
          <cell r="AA66" t="str">
            <v>Application development</v>
          </cell>
          <cell r="AB66" t="str">
            <v>Core Business Functions</v>
          </cell>
          <cell r="AC66" t="str">
            <v>No change in level of discounting</v>
          </cell>
          <cell r="AD66" t="str">
            <v>Somewhat longer</v>
          </cell>
          <cell r="AE66">
            <v>50</v>
          </cell>
          <cell r="AF66">
            <v>30</v>
          </cell>
          <cell r="AG66">
            <v>20</v>
          </cell>
          <cell r="AH66" t="str">
            <v>40/60</v>
          </cell>
          <cell r="AI66" t="str">
            <v>Under</v>
          </cell>
          <cell r="AJ66">
            <v>15</v>
          </cell>
          <cell r="AK66">
            <v>0</v>
          </cell>
          <cell r="AL66">
            <v>5</v>
          </cell>
          <cell r="AM66">
            <v>0</v>
          </cell>
          <cell r="AN66">
            <v>6</v>
          </cell>
          <cell r="AO66">
            <v>10</v>
          </cell>
          <cell r="AP66">
            <v>8</v>
          </cell>
          <cell r="AQ66">
            <v>5</v>
          </cell>
          <cell r="AR66" t="str">
            <v>Don't Use</v>
          </cell>
          <cell r="AS66" t="str">
            <v>Don't Use</v>
          </cell>
          <cell r="AT66" t="str">
            <v>Don't Use</v>
          </cell>
          <cell r="AU66" t="str">
            <v>Don't Use</v>
          </cell>
          <cell r="AV66" t="str">
            <v>Don't Use</v>
          </cell>
          <cell r="AW66" t="str">
            <v>Don't Use</v>
          </cell>
          <cell r="AX66" t="str">
            <v>Increase</v>
          </cell>
          <cell r="AY66" t="str">
            <v>Don't Use</v>
          </cell>
          <cell r="AZ66" t="str">
            <v>Don't Use</v>
          </cell>
          <cell r="BA66" t="str">
            <v>Decrease</v>
          </cell>
          <cell r="BB66" t="str">
            <v>Don't Use</v>
          </cell>
          <cell r="BC66" t="str">
            <v>Don't Use</v>
          </cell>
          <cell r="BD66" t="str">
            <v>Don't Use</v>
          </cell>
          <cell r="BE66" t="str">
            <v>Don't Use</v>
          </cell>
          <cell r="BF66" t="str">
            <v>Flat</v>
          </cell>
          <cell r="BG66" t="str">
            <v>Don't Use</v>
          </cell>
          <cell r="BH66" t="str">
            <v>Don't Use</v>
          </cell>
          <cell r="BI66" t="str">
            <v>Already using services provider</v>
          </cell>
          <cell r="BJ66" t="str">
            <v>Doing work internally</v>
          </cell>
          <cell r="BK66" t="str">
            <v>Not Priority</v>
          </cell>
          <cell r="BL66" t="str">
            <v>Doing work internally</v>
          </cell>
          <cell r="BM66" t="str">
            <v>Doing work internally</v>
          </cell>
          <cell r="BN66" t="str">
            <v>Already using services provider</v>
          </cell>
          <cell r="BO66" t="str">
            <v>Doing work internally</v>
          </cell>
          <cell r="BP66" t="str">
            <v>Not Priority</v>
          </cell>
          <cell r="BQ66" t="str">
            <v>Doing work internally</v>
          </cell>
          <cell r="BR66" t="str">
            <v>Doing work internally</v>
          </cell>
          <cell r="BS66" t="str">
            <v>Not Priority</v>
          </cell>
          <cell r="BT66" t="str">
            <v>Not Priority</v>
          </cell>
          <cell r="BU66">
            <v>1</v>
          </cell>
          <cell r="BV66">
            <v>7</v>
          </cell>
          <cell r="BW66">
            <v>4</v>
          </cell>
          <cell r="BX66">
            <v>3</v>
          </cell>
          <cell r="BY66">
            <v>5</v>
          </cell>
          <cell r="BZ66">
            <v>2</v>
          </cell>
          <cell r="CA66">
            <v>6</v>
          </cell>
          <cell r="CB66" t="str">
            <v>No change in level of discounting</v>
          </cell>
        </row>
        <row r="67">
          <cell r="A67" t="str">
            <v>US</v>
          </cell>
          <cell r="B67" t="str">
            <v>Communications</v>
          </cell>
          <cell r="C67" t="str">
            <v>$5-10 Billion</v>
          </cell>
          <cell r="D67" t="str">
            <v>$100-200 Million</v>
          </cell>
          <cell r="E67">
            <v>15</v>
          </cell>
          <cell r="F67">
            <v>10</v>
          </cell>
          <cell r="G67">
            <v>10</v>
          </cell>
          <cell r="H67">
            <v>10</v>
          </cell>
          <cell r="I67">
            <v>15</v>
          </cell>
          <cell r="J67">
            <v>8</v>
          </cell>
          <cell r="K67">
            <v>5</v>
          </cell>
          <cell r="L67">
            <v>10</v>
          </cell>
          <cell r="M67">
            <v>5</v>
          </cell>
          <cell r="N67">
            <v>3</v>
          </cell>
          <cell r="O67">
            <v>7</v>
          </cell>
          <cell r="P67">
            <v>50</v>
          </cell>
          <cell r="Q67">
            <v>50</v>
          </cell>
          <cell r="R67">
            <v>40</v>
          </cell>
          <cell r="S67">
            <v>60</v>
          </cell>
          <cell r="T67" t="str">
            <v>Network bandwidth</v>
          </cell>
          <cell r="U67" t="str">
            <v>Collaboration tools</v>
          </cell>
          <cell r="W67" t="str">
            <v xml:space="preserve">PC refresh </v>
          </cell>
          <cell r="X67" t="str">
            <v>Windows upgrades</v>
          </cell>
          <cell r="Z67" t="str">
            <v>Equal chance of upward or downward revision</v>
          </cell>
          <cell r="AA67" t="str">
            <v>PCs</v>
          </cell>
          <cell r="AB67" t="str">
            <v>Security spending</v>
          </cell>
          <cell r="AC67" t="str">
            <v>Somewhat more aggressive in discounting</v>
          </cell>
          <cell r="AD67" t="str">
            <v>No Change</v>
          </cell>
          <cell r="AE67">
            <v>80</v>
          </cell>
          <cell r="AF67">
            <v>15</v>
          </cell>
          <cell r="AG67">
            <v>5</v>
          </cell>
          <cell r="AH67" t="str">
            <v>50/50</v>
          </cell>
          <cell r="AI67" t="str">
            <v>In-Line</v>
          </cell>
          <cell r="AJ67">
            <v>2</v>
          </cell>
          <cell r="AK67">
            <v>15</v>
          </cell>
          <cell r="AL67">
            <v>15</v>
          </cell>
          <cell r="AM67">
            <v>5</v>
          </cell>
          <cell r="AN67">
            <v>5</v>
          </cell>
          <cell r="AO67">
            <v>8</v>
          </cell>
          <cell r="AP67">
            <v>3</v>
          </cell>
          <cell r="AQ67">
            <v>5</v>
          </cell>
          <cell r="AR67" t="str">
            <v>Decrease</v>
          </cell>
          <cell r="AS67" t="str">
            <v>Don't Use</v>
          </cell>
          <cell r="AT67" t="str">
            <v>Flat</v>
          </cell>
          <cell r="AU67" t="str">
            <v>Don't Use</v>
          </cell>
          <cell r="AV67" t="str">
            <v>Don't Use</v>
          </cell>
          <cell r="AW67" t="str">
            <v>Don't Use</v>
          </cell>
          <cell r="AX67" t="str">
            <v>Flat</v>
          </cell>
          <cell r="AY67" t="str">
            <v>Don't Use</v>
          </cell>
          <cell r="AZ67" t="str">
            <v>Don't Use</v>
          </cell>
          <cell r="BA67" t="str">
            <v>Decrease</v>
          </cell>
          <cell r="BB67" t="str">
            <v>Flat</v>
          </cell>
          <cell r="BC67" t="str">
            <v>Don't Use</v>
          </cell>
          <cell r="BD67" t="str">
            <v>Don't Use</v>
          </cell>
          <cell r="BE67" t="str">
            <v>Don't Use</v>
          </cell>
          <cell r="BF67" t="str">
            <v>Increase</v>
          </cell>
          <cell r="BG67" t="str">
            <v>Increase</v>
          </cell>
          <cell r="BH67" t="str">
            <v>Don't Use</v>
          </cell>
          <cell r="BI67" t="str">
            <v>Doing work internally</v>
          </cell>
          <cell r="BJ67" t="str">
            <v>Doing work internally</v>
          </cell>
          <cell r="BK67" t="str">
            <v>Will use services provider 2H12</v>
          </cell>
          <cell r="BL67" t="str">
            <v>Already using services provider</v>
          </cell>
          <cell r="BM67" t="str">
            <v>Already using services provider</v>
          </cell>
          <cell r="BN67" t="str">
            <v>Will use services provider 2H12</v>
          </cell>
          <cell r="BO67" t="str">
            <v>Doing work internally</v>
          </cell>
          <cell r="BP67" t="str">
            <v>Not Priority</v>
          </cell>
          <cell r="BQ67" t="str">
            <v>Doing work internally</v>
          </cell>
          <cell r="BR67" t="str">
            <v>Not Priority</v>
          </cell>
          <cell r="BS67" t="str">
            <v>Already using services provider</v>
          </cell>
          <cell r="BT67" t="str">
            <v>Not Priority</v>
          </cell>
          <cell r="BU67">
            <v>4</v>
          </cell>
          <cell r="BV67">
            <v>5</v>
          </cell>
          <cell r="BW67">
            <v>3</v>
          </cell>
          <cell r="BX67">
            <v>2</v>
          </cell>
          <cell r="BY67">
            <v>1</v>
          </cell>
          <cell r="BZ67">
            <v>6</v>
          </cell>
          <cell r="CA67">
            <v>7</v>
          </cell>
          <cell r="CB67" t="str">
            <v>No change in level of discounting</v>
          </cell>
        </row>
        <row r="68">
          <cell r="A68" t="str">
            <v>US</v>
          </cell>
          <cell r="B68" t="str">
            <v>Communications</v>
          </cell>
          <cell r="C68" t="str">
            <v>$10-15 Billion</v>
          </cell>
          <cell r="D68" t="str">
            <v>$500-600 Million</v>
          </cell>
          <cell r="E68">
            <v>8</v>
          </cell>
          <cell r="F68">
            <v>-5</v>
          </cell>
          <cell r="G68">
            <v>8</v>
          </cell>
          <cell r="H68">
            <v>8</v>
          </cell>
          <cell r="I68">
            <v>10</v>
          </cell>
          <cell r="J68">
            <v>10</v>
          </cell>
          <cell r="K68">
            <v>5</v>
          </cell>
          <cell r="L68">
            <v>5</v>
          </cell>
          <cell r="M68">
            <v>3</v>
          </cell>
          <cell r="N68">
            <v>3</v>
          </cell>
          <cell r="O68">
            <v>7</v>
          </cell>
          <cell r="P68">
            <v>50</v>
          </cell>
          <cell r="Q68">
            <v>50</v>
          </cell>
          <cell r="R68">
            <v>50</v>
          </cell>
          <cell r="S68">
            <v>50</v>
          </cell>
          <cell r="T68" t="str">
            <v>Mobile access for engineers</v>
          </cell>
          <cell r="U68" t="str">
            <v>Software upgrades</v>
          </cell>
          <cell r="V68" t="str">
            <v>BI tools</v>
          </cell>
          <cell r="W68" t="str">
            <v>New hardware purchase</v>
          </cell>
          <cell r="X68" t="str">
            <v>Virtualization nearly complete</v>
          </cell>
          <cell r="Z68" t="str">
            <v>‘No change’ to the budget is likely</v>
          </cell>
          <cell r="AA68" t="str">
            <v>Mobile app projects</v>
          </cell>
          <cell r="AB68" t="str">
            <v>Maintenance</v>
          </cell>
          <cell r="AC68" t="str">
            <v>Significantly more aggressive in discounting</v>
          </cell>
          <cell r="AD68" t="str">
            <v>Significantly longer</v>
          </cell>
          <cell r="AE68">
            <v>100</v>
          </cell>
          <cell r="AF68">
            <v>0</v>
          </cell>
          <cell r="AG68">
            <v>0</v>
          </cell>
          <cell r="AH68" t="str">
            <v>50/50</v>
          </cell>
          <cell r="AI68" t="str">
            <v>In-Line</v>
          </cell>
          <cell r="AJ68">
            <v>15</v>
          </cell>
          <cell r="AK68">
            <v>8</v>
          </cell>
          <cell r="AL68">
            <v>0</v>
          </cell>
          <cell r="AM68">
            <v>10</v>
          </cell>
          <cell r="AN68">
            <v>5</v>
          </cell>
          <cell r="AO68">
            <v>5</v>
          </cell>
          <cell r="AP68">
            <v>0</v>
          </cell>
          <cell r="AQ68">
            <v>5</v>
          </cell>
          <cell r="AR68" t="str">
            <v>Don't Use</v>
          </cell>
          <cell r="AS68" t="str">
            <v>Don't Use</v>
          </cell>
          <cell r="AT68" t="str">
            <v>Don't Use</v>
          </cell>
          <cell r="AU68" t="str">
            <v>Flat</v>
          </cell>
          <cell r="AV68" t="str">
            <v>Don't Use</v>
          </cell>
          <cell r="AW68" t="str">
            <v>Don't Use</v>
          </cell>
          <cell r="AX68" t="str">
            <v>Don't Use</v>
          </cell>
          <cell r="AY68" t="str">
            <v>Don't Use</v>
          </cell>
          <cell r="AZ68" t="str">
            <v>Don't Use</v>
          </cell>
          <cell r="BA68" t="str">
            <v>Decrease</v>
          </cell>
          <cell r="BB68" t="str">
            <v>Don't Use</v>
          </cell>
          <cell r="BC68" t="str">
            <v>Don't Use</v>
          </cell>
          <cell r="BD68" t="str">
            <v>Don't Use</v>
          </cell>
          <cell r="BE68" t="str">
            <v>Don't Use</v>
          </cell>
          <cell r="BF68" t="str">
            <v>Flat</v>
          </cell>
          <cell r="BG68" t="str">
            <v>Don't Use</v>
          </cell>
          <cell r="BH68" t="str">
            <v>Don't Use</v>
          </cell>
          <cell r="BI68" t="str">
            <v>Not Priority</v>
          </cell>
          <cell r="BJ68" t="str">
            <v>Doing work internally</v>
          </cell>
          <cell r="BK68" t="str">
            <v>Not Priority</v>
          </cell>
          <cell r="BL68" t="str">
            <v>Not Priority</v>
          </cell>
          <cell r="BM68" t="str">
            <v>Already using services provider</v>
          </cell>
          <cell r="BN68" t="str">
            <v>Doing work internally</v>
          </cell>
          <cell r="BO68" t="str">
            <v>Doing work internally</v>
          </cell>
          <cell r="BP68" t="str">
            <v>Doing work internally</v>
          </cell>
          <cell r="BQ68" t="str">
            <v>Not Priority</v>
          </cell>
          <cell r="BR68" t="str">
            <v>Not Priority</v>
          </cell>
          <cell r="BS68" t="str">
            <v>Not Priority</v>
          </cell>
          <cell r="BT68" t="str">
            <v>Not Priority</v>
          </cell>
          <cell r="BU68">
            <v>6</v>
          </cell>
          <cell r="BV68">
            <v>3</v>
          </cell>
          <cell r="BW68">
            <v>5</v>
          </cell>
          <cell r="BX68">
            <v>2</v>
          </cell>
          <cell r="BY68">
            <v>7</v>
          </cell>
          <cell r="BZ68">
            <v>1</v>
          </cell>
          <cell r="CA68">
            <v>4</v>
          </cell>
          <cell r="CB68" t="str">
            <v>No change in level of discounting</v>
          </cell>
        </row>
        <row r="69">
          <cell r="A69" t="str">
            <v>US</v>
          </cell>
          <cell r="B69" t="str">
            <v>Communications</v>
          </cell>
          <cell r="C69" t="str">
            <v>$1-5 Billion</v>
          </cell>
          <cell r="D69" t="str">
            <v>&lt;$100 Million</v>
          </cell>
          <cell r="E69">
            <v>5</v>
          </cell>
          <cell r="F69">
            <v>5</v>
          </cell>
          <cell r="G69">
            <v>5</v>
          </cell>
          <cell r="H69">
            <v>5</v>
          </cell>
          <cell r="I69">
            <v>5</v>
          </cell>
          <cell r="J69">
            <v>5</v>
          </cell>
          <cell r="K69">
            <v>8</v>
          </cell>
          <cell r="L69">
            <v>5</v>
          </cell>
          <cell r="M69">
            <v>0</v>
          </cell>
          <cell r="N69">
            <v>8</v>
          </cell>
          <cell r="O69">
            <v>7</v>
          </cell>
          <cell r="P69">
            <v>50</v>
          </cell>
          <cell r="Q69">
            <v>50</v>
          </cell>
          <cell r="R69">
            <v>50</v>
          </cell>
          <cell r="S69">
            <v>50</v>
          </cell>
          <cell r="T69" t="str">
            <v>Auditing/compliance</v>
          </cell>
          <cell r="U69" t="str">
            <v>Asset controls</v>
          </cell>
          <cell r="V69" t="str">
            <v>Virtualization</v>
          </cell>
          <cell r="W69" t="str">
            <v>NA / No Decrease</v>
          </cell>
          <cell r="Z69" t="str">
            <v>Upward revision is more likely</v>
          </cell>
          <cell r="AA69" t="str">
            <v>Everything subject to cuts</v>
          </cell>
          <cell r="AB69" t="str">
            <v>Everything subject to cuts</v>
          </cell>
          <cell r="AC69" t="str">
            <v>Somewhat more aggressive in discounting</v>
          </cell>
          <cell r="AD69" t="str">
            <v>Somewhat longer</v>
          </cell>
          <cell r="AE69">
            <v>85</v>
          </cell>
          <cell r="AF69">
            <v>15</v>
          </cell>
          <cell r="AG69">
            <v>0</v>
          </cell>
          <cell r="AH69" t="str">
            <v>30/70</v>
          </cell>
          <cell r="AI69" t="str">
            <v>Over</v>
          </cell>
          <cell r="AJ69">
            <v>5</v>
          </cell>
          <cell r="AK69">
            <v>5</v>
          </cell>
          <cell r="AL69">
            <v>5</v>
          </cell>
          <cell r="AM69">
            <v>-2</v>
          </cell>
          <cell r="AN69">
            <v>10</v>
          </cell>
          <cell r="AO69">
            <v>12</v>
          </cell>
          <cell r="AP69">
            <v>10</v>
          </cell>
          <cell r="AQ69">
            <v>10</v>
          </cell>
          <cell r="AR69" t="str">
            <v>Don't Use</v>
          </cell>
          <cell r="AS69" t="str">
            <v>Don't Use</v>
          </cell>
          <cell r="AT69" t="str">
            <v>Don't Use</v>
          </cell>
          <cell r="AU69" t="str">
            <v>Don't Use</v>
          </cell>
          <cell r="AV69" t="str">
            <v>Don't Use</v>
          </cell>
          <cell r="AW69" t="str">
            <v>Don't Use</v>
          </cell>
          <cell r="AX69" t="str">
            <v>Don't Use</v>
          </cell>
          <cell r="AY69" t="str">
            <v>Don't Use</v>
          </cell>
          <cell r="AZ69" t="str">
            <v>Flat</v>
          </cell>
          <cell r="BA69" t="str">
            <v>Don't Use</v>
          </cell>
          <cell r="BB69" t="str">
            <v>Don't Use</v>
          </cell>
          <cell r="BC69" t="str">
            <v>Flat</v>
          </cell>
          <cell r="BD69" t="str">
            <v>Don't Use</v>
          </cell>
          <cell r="BE69" t="str">
            <v>Don't Use</v>
          </cell>
          <cell r="BF69" t="str">
            <v>Don't Use</v>
          </cell>
          <cell r="BG69" t="str">
            <v>Don't Use</v>
          </cell>
          <cell r="BH69" t="str">
            <v>Don't Use</v>
          </cell>
          <cell r="BI69" t="str">
            <v>Doing work internally</v>
          </cell>
          <cell r="BJ69" t="str">
            <v>Doing work internally</v>
          </cell>
          <cell r="BK69" t="str">
            <v>Not Priority</v>
          </cell>
          <cell r="BL69" t="str">
            <v>Not Priority</v>
          </cell>
          <cell r="BM69" t="str">
            <v>Not Priority</v>
          </cell>
          <cell r="BN69" t="str">
            <v>Will use services provider 2H12</v>
          </cell>
          <cell r="BO69" t="str">
            <v>Doing work internally</v>
          </cell>
          <cell r="BP69" t="str">
            <v>Doing work internally</v>
          </cell>
          <cell r="BQ69" t="str">
            <v>Will use services provider 1H12</v>
          </cell>
          <cell r="BR69" t="str">
            <v>Not Priority</v>
          </cell>
          <cell r="BS69" t="str">
            <v>Not Priority</v>
          </cell>
          <cell r="BT69" t="str">
            <v>Already using services provider</v>
          </cell>
          <cell r="BU69">
            <v>5</v>
          </cell>
          <cell r="BV69">
            <v>7</v>
          </cell>
          <cell r="BW69">
            <v>3</v>
          </cell>
          <cell r="BX69">
            <v>1</v>
          </cell>
          <cell r="BY69">
            <v>4</v>
          </cell>
          <cell r="BZ69">
            <v>2</v>
          </cell>
          <cell r="CA69">
            <v>6</v>
          </cell>
          <cell r="CB69" t="str">
            <v>Somewhat more aggressive in discounting</v>
          </cell>
        </row>
        <row r="70">
          <cell r="A70" t="str">
            <v>US</v>
          </cell>
          <cell r="B70" t="str">
            <v>Energy</v>
          </cell>
          <cell r="C70" t="str">
            <v>$10-15 Billion</v>
          </cell>
          <cell r="D70" t="str">
            <v>$500-600 Million</v>
          </cell>
          <cell r="E70">
            <v>2</v>
          </cell>
          <cell r="F70">
            <v>3</v>
          </cell>
          <cell r="G70">
            <v>5</v>
          </cell>
          <cell r="H70">
            <v>5</v>
          </cell>
          <cell r="I70">
            <v>5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5</v>
          </cell>
          <cell r="O70">
            <v>5</v>
          </cell>
          <cell r="P70">
            <v>50</v>
          </cell>
          <cell r="Q70">
            <v>50</v>
          </cell>
          <cell r="R70">
            <v>45</v>
          </cell>
          <cell r="S70">
            <v>55</v>
          </cell>
          <cell r="T70" t="str">
            <v>Network updates</v>
          </cell>
          <cell r="U70" t="str">
            <v>ERP</v>
          </cell>
          <cell r="V70" t="str">
            <v>Efficient datacenter</v>
          </cell>
          <cell r="W70" t="str">
            <v>Data migration</v>
          </cell>
          <cell r="X70" t="str">
            <v>Web based employee access</v>
          </cell>
          <cell r="Z70" t="str">
            <v>Equal chance of upward or downward revision</v>
          </cell>
          <cell r="AA70" t="str">
            <v>New server purchases</v>
          </cell>
          <cell r="AB70" t="str">
            <v>End user access</v>
          </cell>
          <cell r="AC70" t="str">
            <v>Significantly more aggressive in discounting</v>
          </cell>
          <cell r="AD70" t="str">
            <v>Significantly longer</v>
          </cell>
          <cell r="AE70">
            <v>90</v>
          </cell>
          <cell r="AF70">
            <v>10</v>
          </cell>
          <cell r="AG70">
            <v>0</v>
          </cell>
          <cell r="AH70" t="str">
            <v>40/60</v>
          </cell>
          <cell r="AI70" t="str">
            <v>In-Line</v>
          </cell>
          <cell r="AJ70">
            <v>10</v>
          </cell>
          <cell r="AK70">
            <v>2</v>
          </cell>
          <cell r="AL70">
            <v>0</v>
          </cell>
          <cell r="AM70">
            <v>1</v>
          </cell>
          <cell r="AN70">
            <v>10</v>
          </cell>
          <cell r="AO70">
            <v>3</v>
          </cell>
          <cell r="AP70">
            <v>0</v>
          </cell>
          <cell r="AQ70">
            <v>2</v>
          </cell>
          <cell r="AR70" t="str">
            <v>Don't Use</v>
          </cell>
          <cell r="AS70" t="str">
            <v>Don't Use</v>
          </cell>
          <cell r="AT70" t="str">
            <v>Don't Use</v>
          </cell>
          <cell r="AU70" t="str">
            <v>Don't Use</v>
          </cell>
          <cell r="AV70" t="str">
            <v>Don't Use</v>
          </cell>
          <cell r="AW70" t="str">
            <v>Flat</v>
          </cell>
          <cell r="AX70" t="str">
            <v>Don't Use</v>
          </cell>
          <cell r="AY70" t="str">
            <v>Flat</v>
          </cell>
          <cell r="AZ70" t="str">
            <v>Don't Use</v>
          </cell>
          <cell r="BA70" t="str">
            <v>Don't Use</v>
          </cell>
          <cell r="BB70" t="str">
            <v>Don't Use</v>
          </cell>
          <cell r="BC70" t="str">
            <v>Don't Use</v>
          </cell>
          <cell r="BD70" t="str">
            <v>Don't Use</v>
          </cell>
          <cell r="BE70" t="str">
            <v>Don't Use</v>
          </cell>
          <cell r="BF70" t="str">
            <v>Don't Use</v>
          </cell>
          <cell r="BG70" t="str">
            <v>Don't Use</v>
          </cell>
          <cell r="BH70" t="str">
            <v>Don't Use</v>
          </cell>
          <cell r="BI70" t="str">
            <v>Doing work internally</v>
          </cell>
          <cell r="BJ70" t="str">
            <v>Doing work internally</v>
          </cell>
          <cell r="BK70" t="str">
            <v>Doing work internally</v>
          </cell>
          <cell r="BL70" t="str">
            <v>Doing work internally</v>
          </cell>
          <cell r="BM70" t="str">
            <v>Doing work internally</v>
          </cell>
          <cell r="BN70" t="str">
            <v>Not Priority</v>
          </cell>
          <cell r="BO70" t="str">
            <v>Doing work internally</v>
          </cell>
          <cell r="BP70" t="str">
            <v>Not Priority</v>
          </cell>
          <cell r="BQ70" t="str">
            <v>Not Priority</v>
          </cell>
          <cell r="BR70" t="str">
            <v>Doing work internally</v>
          </cell>
          <cell r="BS70" t="str">
            <v>Not Priority</v>
          </cell>
          <cell r="BT70" t="str">
            <v>Not Priority</v>
          </cell>
          <cell r="BU70">
            <v>1</v>
          </cell>
          <cell r="BV70">
            <v>6</v>
          </cell>
          <cell r="BW70">
            <v>4</v>
          </cell>
          <cell r="BX70">
            <v>7</v>
          </cell>
          <cell r="BY70">
            <v>2</v>
          </cell>
          <cell r="BZ70">
            <v>3</v>
          </cell>
          <cell r="CA70">
            <v>5</v>
          </cell>
          <cell r="CB70" t="str">
            <v>No change in level of discounting</v>
          </cell>
        </row>
        <row r="71">
          <cell r="A71" t="str">
            <v>US</v>
          </cell>
          <cell r="B71" t="str">
            <v>Engineering / Construction</v>
          </cell>
          <cell r="C71" t="str">
            <v>$1-5 Billion</v>
          </cell>
          <cell r="D71" t="str">
            <v>&lt;$100 Million</v>
          </cell>
          <cell r="E71">
            <v>10</v>
          </cell>
          <cell r="F71">
            <v>8</v>
          </cell>
          <cell r="G71">
            <v>6</v>
          </cell>
          <cell r="H71">
            <v>2</v>
          </cell>
          <cell r="I71">
            <v>0</v>
          </cell>
          <cell r="J71">
            <v>2</v>
          </cell>
          <cell r="K71">
            <v>4</v>
          </cell>
          <cell r="L71">
            <v>2</v>
          </cell>
          <cell r="M71">
            <v>-2</v>
          </cell>
          <cell r="N71">
            <v>4</v>
          </cell>
          <cell r="O71">
            <v>5</v>
          </cell>
          <cell r="P71">
            <v>20</v>
          </cell>
          <cell r="Q71">
            <v>80</v>
          </cell>
          <cell r="R71">
            <v>60</v>
          </cell>
          <cell r="S71">
            <v>40</v>
          </cell>
          <cell r="T71" t="str">
            <v>Collaboration</v>
          </cell>
          <cell r="U71" t="str">
            <v xml:space="preserve">Scheduled hardware replacement </v>
          </cell>
          <cell r="V71" t="str">
            <v>SaaS solutions</v>
          </cell>
          <cell r="W71" t="str">
            <v>Network costs</v>
          </cell>
          <cell r="X71" t="str">
            <v>Software (through consolidation)</v>
          </cell>
          <cell r="Z71" t="str">
            <v>Equal chance of upward or downward revision</v>
          </cell>
          <cell r="AA71" t="str">
            <v>Staffing</v>
          </cell>
          <cell r="AB71" t="str">
            <v>Collaboration tools</v>
          </cell>
          <cell r="AC71" t="str">
            <v>Significantly more aggressive in discounting</v>
          </cell>
          <cell r="AD71" t="str">
            <v>Somewhat quicker</v>
          </cell>
          <cell r="AE71">
            <v>20</v>
          </cell>
          <cell r="AF71">
            <v>30</v>
          </cell>
          <cell r="AG71">
            <v>50</v>
          </cell>
          <cell r="AH71" t="str">
            <v>60/40</v>
          </cell>
          <cell r="AI71" t="str">
            <v>Over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30</v>
          </cell>
          <cell r="AO71">
            <v>0</v>
          </cell>
          <cell r="AP71">
            <v>0</v>
          </cell>
          <cell r="AQ71">
            <v>0</v>
          </cell>
          <cell r="AR71" t="str">
            <v>Don't Use</v>
          </cell>
          <cell r="AS71" t="str">
            <v>Don't Use</v>
          </cell>
          <cell r="AT71" t="str">
            <v>Don't Use</v>
          </cell>
          <cell r="AU71" t="str">
            <v>Don't Use</v>
          </cell>
          <cell r="AV71" t="str">
            <v>Don't Use</v>
          </cell>
          <cell r="AW71" t="str">
            <v>Don't Use</v>
          </cell>
          <cell r="AX71" t="str">
            <v>Don't Use</v>
          </cell>
          <cell r="AY71" t="str">
            <v>Don't Use</v>
          </cell>
          <cell r="AZ71" t="str">
            <v>Don't Use</v>
          </cell>
          <cell r="BA71" t="str">
            <v>Don't Use</v>
          </cell>
          <cell r="BB71" t="str">
            <v>Don't Use</v>
          </cell>
          <cell r="BC71" t="str">
            <v>Don't Use</v>
          </cell>
          <cell r="BD71" t="str">
            <v>Don't Use</v>
          </cell>
          <cell r="BE71" t="str">
            <v>Don't Use</v>
          </cell>
          <cell r="BF71" t="str">
            <v>Don't Use</v>
          </cell>
          <cell r="BG71" t="str">
            <v>Don't Use</v>
          </cell>
          <cell r="BH71" t="str">
            <v>Don't Use</v>
          </cell>
          <cell r="BI71" t="str">
            <v>Will use services provider 2H12</v>
          </cell>
          <cell r="BJ71" t="str">
            <v>Doing work internally</v>
          </cell>
          <cell r="BK71" t="str">
            <v>Not Priority</v>
          </cell>
          <cell r="BL71" t="str">
            <v>Doing work internally</v>
          </cell>
          <cell r="BM71" t="str">
            <v>Doing work internally</v>
          </cell>
          <cell r="BN71" t="str">
            <v>Already using services provider</v>
          </cell>
          <cell r="BO71" t="str">
            <v>Doing work internally</v>
          </cell>
          <cell r="BP71" t="str">
            <v>Not Priority</v>
          </cell>
          <cell r="BQ71" t="str">
            <v>Will use services provider 2H12</v>
          </cell>
          <cell r="BR71" t="str">
            <v>Not Priority</v>
          </cell>
          <cell r="BS71" t="str">
            <v>Not Priority</v>
          </cell>
          <cell r="BT71" t="str">
            <v>Already using services provider</v>
          </cell>
          <cell r="BU71">
            <v>6</v>
          </cell>
          <cell r="BV71">
            <v>7</v>
          </cell>
          <cell r="BW71">
            <v>4</v>
          </cell>
          <cell r="BX71">
            <v>2</v>
          </cell>
          <cell r="BY71">
            <v>3</v>
          </cell>
          <cell r="BZ71">
            <v>1</v>
          </cell>
          <cell r="CA71">
            <v>5</v>
          </cell>
          <cell r="CB71" t="str">
            <v>Significantly more aggressive in discounting</v>
          </cell>
        </row>
        <row r="72">
          <cell r="A72" t="str">
            <v>US</v>
          </cell>
          <cell r="B72" t="str">
            <v>Financial services</v>
          </cell>
          <cell r="C72" t="str">
            <v>$5-10 Billion</v>
          </cell>
          <cell r="D72" t="str">
            <v>$100-200 Million</v>
          </cell>
          <cell r="E72">
            <v>0.3</v>
          </cell>
          <cell r="F72">
            <v>0.1</v>
          </cell>
          <cell r="G72">
            <v>20</v>
          </cell>
          <cell r="H72">
            <v>20</v>
          </cell>
          <cell r="I72">
            <v>40</v>
          </cell>
          <cell r="J72">
            <v>10</v>
          </cell>
          <cell r="K72">
            <v>10</v>
          </cell>
          <cell r="L72">
            <v>20</v>
          </cell>
          <cell r="M72">
            <v>30</v>
          </cell>
          <cell r="N72">
            <v>5</v>
          </cell>
          <cell r="O72">
            <v>5</v>
          </cell>
          <cell r="P72">
            <v>50</v>
          </cell>
          <cell r="Q72">
            <v>50</v>
          </cell>
          <cell r="R72">
            <v>50</v>
          </cell>
          <cell r="S72">
            <v>50</v>
          </cell>
          <cell r="T72" t="str">
            <v>NA / No Increase</v>
          </cell>
          <cell r="W72" t="str">
            <v>NA / No Decrease</v>
          </cell>
          <cell r="Z72" t="str">
            <v>Equal chance of upward or downward revision</v>
          </cell>
          <cell r="AA72" t="str">
            <v>Everything subject to cuts</v>
          </cell>
          <cell r="AB72" t="str">
            <v>NA / DK</v>
          </cell>
          <cell r="AC72" t="str">
            <v>Somewhat less aggressive in discounting</v>
          </cell>
          <cell r="AD72" t="str">
            <v>Significantly longer</v>
          </cell>
          <cell r="AE72" t="str">
            <v>NA / DK</v>
          </cell>
          <cell r="AF72" t="str">
            <v>NA / DK</v>
          </cell>
          <cell r="AG72" t="str">
            <v>NA / DK</v>
          </cell>
          <cell r="AH72" t="str">
            <v>10/90</v>
          </cell>
          <cell r="AI72" t="str">
            <v>Under</v>
          </cell>
          <cell r="AJ72">
            <v>30</v>
          </cell>
          <cell r="AK72">
            <v>0</v>
          </cell>
          <cell r="AL72">
            <v>0</v>
          </cell>
          <cell r="AM72">
            <v>0</v>
          </cell>
          <cell r="AN72">
            <v>10</v>
          </cell>
          <cell r="AO72">
            <v>0</v>
          </cell>
          <cell r="AP72">
            <v>0</v>
          </cell>
          <cell r="AQ72">
            <v>20</v>
          </cell>
          <cell r="AR72" t="str">
            <v>Don't Use</v>
          </cell>
          <cell r="AS72" t="str">
            <v>Don't Use</v>
          </cell>
          <cell r="AT72" t="str">
            <v>Don't Use</v>
          </cell>
          <cell r="AU72" t="str">
            <v>Don't Use</v>
          </cell>
          <cell r="AV72" t="str">
            <v>Don't Use</v>
          </cell>
          <cell r="AW72" t="str">
            <v>Don't Use</v>
          </cell>
          <cell r="AX72" t="str">
            <v>Don't Use</v>
          </cell>
          <cell r="AY72" t="str">
            <v>Don't Use</v>
          </cell>
          <cell r="AZ72" t="str">
            <v>Don't Use</v>
          </cell>
          <cell r="BA72" t="str">
            <v>Increase</v>
          </cell>
          <cell r="BB72" t="str">
            <v>Flat</v>
          </cell>
          <cell r="BC72" t="str">
            <v>Don't Use</v>
          </cell>
          <cell r="BD72" t="str">
            <v>Don't Use</v>
          </cell>
          <cell r="BE72" t="str">
            <v>Don't Use</v>
          </cell>
          <cell r="BF72" t="str">
            <v>Don't Use</v>
          </cell>
          <cell r="BG72" t="str">
            <v>Don't Use</v>
          </cell>
          <cell r="BH72" t="str">
            <v>Don't Use</v>
          </cell>
          <cell r="BI72" t="str">
            <v>Doing work internally</v>
          </cell>
          <cell r="BJ72" t="str">
            <v>Doing work internally</v>
          </cell>
          <cell r="BK72" t="str">
            <v>Already using services provider</v>
          </cell>
          <cell r="BL72" t="str">
            <v>Not Priority</v>
          </cell>
          <cell r="BM72" t="str">
            <v>Not Priority</v>
          </cell>
          <cell r="BN72" t="str">
            <v>Doing work internally</v>
          </cell>
          <cell r="BO72" t="str">
            <v>Not Priority</v>
          </cell>
          <cell r="BP72" t="str">
            <v>Doing work internally</v>
          </cell>
          <cell r="BQ72" t="str">
            <v>Already using services provider</v>
          </cell>
          <cell r="BR72" t="str">
            <v>Will use services provider 2H12</v>
          </cell>
          <cell r="BS72" t="str">
            <v>Not Priority</v>
          </cell>
          <cell r="BT72" t="str">
            <v>Will use services provider 2H12</v>
          </cell>
          <cell r="BU72">
            <v>1</v>
          </cell>
          <cell r="BV72">
            <v>7</v>
          </cell>
          <cell r="BW72">
            <v>2</v>
          </cell>
          <cell r="BX72">
            <v>4</v>
          </cell>
          <cell r="BY72">
            <v>6</v>
          </cell>
          <cell r="BZ72">
            <v>3</v>
          </cell>
          <cell r="CA72">
            <v>5</v>
          </cell>
          <cell r="CB72" t="str">
            <v>Somewhat less aggressive in discounting</v>
          </cell>
        </row>
        <row r="73">
          <cell r="A73" t="str">
            <v>US</v>
          </cell>
          <cell r="B73" t="str">
            <v>Financial services</v>
          </cell>
          <cell r="C73" t="str">
            <v>$1-5 Billion</v>
          </cell>
          <cell r="D73" t="str">
            <v>$500-600 Million</v>
          </cell>
          <cell r="E73">
            <v>0</v>
          </cell>
          <cell r="F73">
            <v>3</v>
          </cell>
          <cell r="G73">
            <v>5</v>
          </cell>
          <cell r="H73">
            <v>5</v>
          </cell>
          <cell r="I73">
            <v>5</v>
          </cell>
          <cell r="J73">
            <v>0</v>
          </cell>
          <cell r="K73">
            <v>0</v>
          </cell>
          <cell r="L73">
            <v>3</v>
          </cell>
          <cell r="M73">
            <v>15</v>
          </cell>
          <cell r="N73">
            <v>5</v>
          </cell>
          <cell r="O73">
            <v>4</v>
          </cell>
          <cell r="P73">
            <v>30</v>
          </cell>
          <cell r="Q73">
            <v>70</v>
          </cell>
          <cell r="R73">
            <v>50</v>
          </cell>
          <cell r="S73">
            <v>50</v>
          </cell>
          <cell r="T73" t="str">
            <v>Pent-up Projects</v>
          </cell>
          <cell r="U73" t="str">
            <v>Virtualization</v>
          </cell>
          <cell r="V73" t="str">
            <v>Technology Refresh</v>
          </cell>
          <cell r="W73" t="str">
            <v>Desktop SW</v>
          </cell>
          <cell r="X73" t="str">
            <v>Desktop SW</v>
          </cell>
          <cell r="Y73" t="str">
            <v>Collaboration</v>
          </cell>
          <cell r="Z73" t="str">
            <v>Equal chance of upward or downward revision</v>
          </cell>
          <cell r="AA73" t="str">
            <v>Everything subject to cuts</v>
          </cell>
          <cell r="AB73" t="str">
            <v>Anything contributing to bottom line</v>
          </cell>
          <cell r="AC73" t="str">
            <v>No change in level of discounting</v>
          </cell>
          <cell r="AD73" t="str">
            <v>Somewhat longer</v>
          </cell>
          <cell r="AE73">
            <v>100</v>
          </cell>
          <cell r="AF73">
            <v>0</v>
          </cell>
          <cell r="AG73">
            <v>0</v>
          </cell>
          <cell r="AH73" t="str">
            <v>50/50</v>
          </cell>
          <cell r="AI73" t="str">
            <v>Under</v>
          </cell>
          <cell r="AJ73">
            <v>5</v>
          </cell>
          <cell r="AK73" t="str">
            <v>NA / DK</v>
          </cell>
          <cell r="AL73" t="str">
            <v>NA / DK</v>
          </cell>
          <cell r="AM73">
            <v>0</v>
          </cell>
          <cell r="AN73">
            <v>5</v>
          </cell>
          <cell r="AO73" t="str">
            <v>NA / DK</v>
          </cell>
          <cell r="AP73" t="str">
            <v>NA / DK</v>
          </cell>
          <cell r="AQ73">
            <v>5</v>
          </cell>
          <cell r="AR73" t="str">
            <v>Flat</v>
          </cell>
          <cell r="AS73" t="str">
            <v>Don't Use</v>
          </cell>
          <cell r="AT73" t="str">
            <v>Don't Use</v>
          </cell>
          <cell r="AU73" t="str">
            <v>Don't Use</v>
          </cell>
          <cell r="AV73" t="str">
            <v>Flat</v>
          </cell>
          <cell r="AW73" t="str">
            <v>Flat</v>
          </cell>
          <cell r="AX73" t="str">
            <v>Flat</v>
          </cell>
          <cell r="AY73" t="str">
            <v>Flat</v>
          </cell>
          <cell r="AZ73" t="str">
            <v>Don't Use</v>
          </cell>
          <cell r="BA73" t="str">
            <v>Don't Use</v>
          </cell>
          <cell r="BB73" t="str">
            <v>Flat</v>
          </cell>
          <cell r="BC73" t="str">
            <v>Don't Use</v>
          </cell>
          <cell r="BD73" t="str">
            <v>Decrease</v>
          </cell>
          <cell r="BE73" t="str">
            <v>Don't Use</v>
          </cell>
          <cell r="BF73" t="str">
            <v>Don't Use</v>
          </cell>
          <cell r="BG73" t="str">
            <v>Don't Use</v>
          </cell>
          <cell r="BH73" t="str">
            <v>Don't Use</v>
          </cell>
          <cell r="BI73" t="str">
            <v>Already using services provider</v>
          </cell>
          <cell r="BJ73" t="str">
            <v>Doing work internally</v>
          </cell>
          <cell r="BK73" t="str">
            <v>Doing work internally</v>
          </cell>
          <cell r="BL73" t="str">
            <v>Doing work internally</v>
          </cell>
          <cell r="BM73" t="str">
            <v>Not Priority</v>
          </cell>
          <cell r="BN73" t="str">
            <v>Not Priority</v>
          </cell>
          <cell r="BO73" t="str">
            <v>Doing work internally</v>
          </cell>
          <cell r="BP73" t="str">
            <v>Doing work internally</v>
          </cell>
          <cell r="BQ73" t="str">
            <v>Doing work internally</v>
          </cell>
          <cell r="BR73" t="str">
            <v>Already using services provider</v>
          </cell>
          <cell r="BS73" t="str">
            <v>Not Priority</v>
          </cell>
          <cell r="BT73" t="str">
            <v>Already using services provider</v>
          </cell>
          <cell r="BU73">
            <v>1</v>
          </cell>
          <cell r="BV73">
            <v>6</v>
          </cell>
          <cell r="BW73">
            <v>4</v>
          </cell>
          <cell r="BX73">
            <v>1</v>
          </cell>
          <cell r="BY73">
            <v>5</v>
          </cell>
          <cell r="BZ73">
            <v>7</v>
          </cell>
          <cell r="CA73">
            <v>3</v>
          </cell>
          <cell r="CB73" t="str">
            <v>No change in level of discounting</v>
          </cell>
        </row>
        <row r="74">
          <cell r="A74" t="str">
            <v>US</v>
          </cell>
          <cell r="B74" t="str">
            <v>Financial services</v>
          </cell>
          <cell r="C74" t="str">
            <v>$5-10 Billion</v>
          </cell>
          <cell r="D74" t="str">
            <v>&lt;$100 Million</v>
          </cell>
          <cell r="E74">
            <v>5</v>
          </cell>
          <cell r="F74">
            <v>0</v>
          </cell>
          <cell r="G74">
            <v>2</v>
          </cell>
          <cell r="H74">
            <v>5</v>
          </cell>
          <cell r="I74">
            <v>5</v>
          </cell>
          <cell r="J74">
            <v>7</v>
          </cell>
          <cell r="K74">
            <v>5</v>
          </cell>
          <cell r="L74">
            <v>0</v>
          </cell>
          <cell r="M74">
            <v>0</v>
          </cell>
          <cell r="N74">
            <v>0</v>
          </cell>
          <cell r="O74">
            <v>5</v>
          </cell>
          <cell r="P74">
            <v>40</v>
          </cell>
          <cell r="Q74">
            <v>60</v>
          </cell>
          <cell r="R74">
            <v>40</v>
          </cell>
          <cell r="S74">
            <v>60</v>
          </cell>
          <cell r="T74" t="str">
            <v>Virtualization</v>
          </cell>
          <cell r="U74" t="str">
            <v>Database tools</v>
          </cell>
          <cell r="V74" t="str">
            <v>Regulatory compliance, privacy policies</v>
          </cell>
          <cell r="W74" t="str">
            <v>Custom app development</v>
          </cell>
          <cell r="X74" t="str">
            <v>Storage purchases</v>
          </cell>
          <cell r="Z74" t="str">
            <v>Upward revision is more likely</v>
          </cell>
          <cell r="AA74" t="str">
            <v>Custom apps</v>
          </cell>
          <cell r="AB74" t="str">
            <v>Virtualzatio project</v>
          </cell>
          <cell r="AC74" t="str">
            <v>Somewhat more aggressive in discounting</v>
          </cell>
          <cell r="AD74" t="str">
            <v>No Change</v>
          </cell>
          <cell r="AE74">
            <v>50</v>
          </cell>
          <cell r="AF74">
            <v>25</v>
          </cell>
          <cell r="AG74">
            <v>25</v>
          </cell>
          <cell r="AH74" t="str">
            <v>60/40</v>
          </cell>
          <cell r="AI74" t="str">
            <v>Under</v>
          </cell>
          <cell r="AJ74">
            <v>7</v>
          </cell>
          <cell r="AK74">
            <v>5</v>
          </cell>
          <cell r="AL74">
            <v>5</v>
          </cell>
          <cell r="AM74">
            <v>5</v>
          </cell>
          <cell r="AN74">
            <v>0</v>
          </cell>
          <cell r="AO74">
            <v>-5</v>
          </cell>
          <cell r="AP74">
            <v>5</v>
          </cell>
          <cell r="AQ74">
            <v>5</v>
          </cell>
          <cell r="AR74" t="str">
            <v>Don't Use</v>
          </cell>
          <cell r="AS74" t="str">
            <v>Don't Use</v>
          </cell>
          <cell r="AT74" t="str">
            <v>Don't Use</v>
          </cell>
          <cell r="AU74" t="str">
            <v>Don't Use</v>
          </cell>
          <cell r="AV74" t="str">
            <v>Don't Use</v>
          </cell>
          <cell r="AW74" t="str">
            <v>Decrease</v>
          </cell>
          <cell r="AX74" t="str">
            <v>Don't Use</v>
          </cell>
          <cell r="AY74" t="str">
            <v>Don't Use</v>
          </cell>
          <cell r="AZ74" t="str">
            <v>Don't Use</v>
          </cell>
          <cell r="BA74" t="str">
            <v>Flat</v>
          </cell>
          <cell r="BB74" t="str">
            <v>Don't Use</v>
          </cell>
          <cell r="BC74" t="str">
            <v>Don't Use</v>
          </cell>
          <cell r="BD74" t="str">
            <v>Don't Use</v>
          </cell>
          <cell r="BE74" t="str">
            <v>Don't Use</v>
          </cell>
          <cell r="BF74" t="str">
            <v>Don't Use</v>
          </cell>
          <cell r="BG74" t="str">
            <v>Don't Use</v>
          </cell>
          <cell r="BH74" t="str">
            <v>Flat</v>
          </cell>
          <cell r="BI74" t="str">
            <v>Doing work internally</v>
          </cell>
          <cell r="BJ74" t="str">
            <v>Not Priority</v>
          </cell>
          <cell r="BK74" t="str">
            <v>Not Priority</v>
          </cell>
          <cell r="BL74" t="str">
            <v>Doing work internally</v>
          </cell>
          <cell r="BM74" t="str">
            <v>Already using services provider</v>
          </cell>
          <cell r="BN74" t="str">
            <v>Already using services provider</v>
          </cell>
          <cell r="BO74" t="str">
            <v>Doing work internally</v>
          </cell>
          <cell r="BP74" t="str">
            <v>Already using services provider</v>
          </cell>
          <cell r="BQ74" t="str">
            <v>Already using services provider</v>
          </cell>
          <cell r="BR74" t="str">
            <v>Not Priority</v>
          </cell>
          <cell r="BS74" t="str">
            <v>Doing work internally</v>
          </cell>
          <cell r="BT74" t="str">
            <v>Doing work internally</v>
          </cell>
          <cell r="BU74">
            <v>4</v>
          </cell>
          <cell r="BV74">
            <v>7</v>
          </cell>
          <cell r="BW74">
            <v>1</v>
          </cell>
          <cell r="BX74">
            <v>5</v>
          </cell>
          <cell r="BY74">
            <v>2</v>
          </cell>
          <cell r="BZ74">
            <v>6</v>
          </cell>
          <cell r="CA74">
            <v>3</v>
          </cell>
          <cell r="CB74" t="str">
            <v>Somewhat less aggressive in discounting</v>
          </cell>
        </row>
        <row r="75">
          <cell r="A75" t="str">
            <v>US</v>
          </cell>
          <cell r="B75" t="str">
            <v>Financial services</v>
          </cell>
          <cell r="C75" t="str">
            <v>$1-5 Billion</v>
          </cell>
          <cell r="D75" t="str">
            <v>$200-300 Million</v>
          </cell>
          <cell r="E75">
            <v>0</v>
          </cell>
          <cell r="F75">
            <v>0</v>
          </cell>
          <cell r="G75">
            <v>0</v>
          </cell>
          <cell r="H75">
            <v>5</v>
          </cell>
          <cell r="I75">
            <v>2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5</v>
          </cell>
          <cell r="P75">
            <v>40</v>
          </cell>
          <cell r="Q75">
            <v>60</v>
          </cell>
          <cell r="R75">
            <v>35</v>
          </cell>
          <cell r="S75">
            <v>65</v>
          </cell>
          <cell r="T75" t="str">
            <v>Storage consolidation</v>
          </cell>
          <cell r="U75" t="str">
            <v>Virtualization</v>
          </cell>
          <cell r="V75" t="str">
            <v>Social enterprise apps</v>
          </cell>
          <cell r="W75" t="str">
            <v>New hardware purchases</v>
          </cell>
          <cell r="Z75" t="str">
            <v>‘No change’ to the budget is likely</v>
          </cell>
          <cell r="AA75" t="str">
            <v>Social networking apps</v>
          </cell>
          <cell r="AB75" t="str">
            <v>Storage consolidation</v>
          </cell>
          <cell r="AC75" t="str">
            <v>No change in level of discounting</v>
          </cell>
          <cell r="AD75" t="str">
            <v>No Change</v>
          </cell>
          <cell r="AE75">
            <v>90</v>
          </cell>
          <cell r="AF75">
            <v>0</v>
          </cell>
          <cell r="AG75">
            <v>10</v>
          </cell>
          <cell r="AH75" t="str">
            <v>50/50</v>
          </cell>
          <cell r="AI75" t="str">
            <v>In-Line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 t="str">
            <v>Don't Use</v>
          </cell>
          <cell r="AS75" t="str">
            <v>Don't Use</v>
          </cell>
          <cell r="AT75" t="str">
            <v>Don't Use</v>
          </cell>
          <cell r="AU75" t="str">
            <v>Don't Use</v>
          </cell>
          <cell r="AV75" t="str">
            <v>Don't Use</v>
          </cell>
          <cell r="AW75" t="str">
            <v>Don't Use</v>
          </cell>
          <cell r="AX75" t="str">
            <v>Don't Use</v>
          </cell>
          <cell r="AY75" t="str">
            <v>Don't Use</v>
          </cell>
          <cell r="AZ75" t="str">
            <v>Don't Use</v>
          </cell>
          <cell r="BA75" t="str">
            <v>Decrease</v>
          </cell>
          <cell r="BB75" t="str">
            <v>Don't Use</v>
          </cell>
          <cell r="BC75" t="str">
            <v>Don't Use</v>
          </cell>
          <cell r="BD75" t="str">
            <v>Don't Use</v>
          </cell>
          <cell r="BE75" t="str">
            <v>Don't Use</v>
          </cell>
          <cell r="BF75" t="str">
            <v>Don't Use</v>
          </cell>
          <cell r="BG75" t="str">
            <v>Don't Use</v>
          </cell>
          <cell r="BH75" t="str">
            <v>Don't Use</v>
          </cell>
          <cell r="BI75" t="str">
            <v>Will use services provider 2H12</v>
          </cell>
          <cell r="BJ75" t="str">
            <v>Doing work internally</v>
          </cell>
          <cell r="BK75" t="str">
            <v>Not Priority</v>
          </cell>
          <cell r="BL75" t="str">
            <v>Doing work internally</v>
          </cell>
          <cell r="BM75" t="str">
            <v>Already using services provider</v>
          </cell>
          <cell r="BN75" t="str">
            <v>Not Priority</v>
          </cell>
          <cell r="BO75" t="str">
            <v>Doing work internally</v>
          </cell>
          <cell r="BP75" t="str">
            <v>Will use services provider 2H12</v>
          </cell>
          <cell r="BQ75" t="str">
            <v>Already using services provider</v>
          </cell>
          <cell r="BR75" t="str">
            <v>Not Priority</v>
          </cell>
          <cell r="BS75" t="str">
            <v>Not Priority</v>
          </cell>
          <cell r="BT75" t="str">
            <v>Not Priority</v>
          </cell>
          <cell r="BU75">
            <v>6</v>
          </cell>
          <cell r="BV75">
            <v>7</v>
          </cell>
          <cell r="BW75">
            <v>3</v>
          </cell>
          <cell r="BX75">
            <v>4</v>
          </cell>
          <cell r="BY75">
            <v>2</v>
          </cell>
          <cell r="BZ75">
            <v>1</v>
          </cell>
          <cell r="CA75">
            <v>5</v>
          </cell>
          <cell r="CB75" t="str">
            <v>Somewhat less aggressive in discounting</v>
          </cell>
        </row>
        <row r="76">
          <cell r="A76" t="str">
            <v>US</v>
          </cell>
          <cell r="B76" t="str">
            <v>Financial services</v>
          </cell>
          <cell r="C76" t="str">
            <v>$15-20 Billion</v>
          </cell>
          <cell r="D76" t="str">
            <v>$200-300 Million</v>
          </cell>
          <cell r="E76">
            <v>5</v>
          </cell>
          <cell r="F76">
            <v>5</v>
          </cell>
          <cell r="G76">
            <v>0</v>
          </cell>
          <cell r="H76">
            <v>5</v>
          </cell>
          <cell r="I76">
            <v>5</v>
          </cell>
          <cell r="J76">
            <v>5</v>
          </cell>
          <cell r="K76">
            <v>0</v>
          </cell>
          <cell r="L76">
            <v>10</v>
          </cell>
          <cell r="M76">
            <v>10</v>
          </cell>
          <cell r="N76">
            <v>5</v>
          </cell>
          <cell r="O76">
            <v>6</v>
          </cell>
          <cell r="P76">
            <v>40</v>
          </cell>
          <cell r="Q76">
            <v>60</v>
          </cell>
          <cell r="R76">
            <v>50</v>
          </cell>
          <cell r="S76">
            <v>50</v>
          </cell>
          <cell r="T76" t="str">
            <v>Application integration</v>
          </cell>
          <cell r="U76" t="str">
            <v>Storage expansion</v>
          </cell>
          <cell r="V76" t="str">
            <v>Regulatory compliance</v>
          </cell>
          <cell r="W76" t="str">
            <v>PC replacement</v>
          </cell>
          <cell r="X76" t="str">
            <v>Printer replacement</v>
          </cell>
          <cell r="Y76" t="str">
            <v>Desktop software upgrades</v>
          </cell>
          <cell r="Z76" t="str">
            <v>‘No change’ to the budget is likely</v>
          </cell>
          <cell r="AA76" t="str">
            <v>Application integration</v>
          </cell>
          <cell r="AB76" t="str">
            <v>Regulatory compliance spending</v>
          </cell>
          <cell r="AC76" t="str">
            <v>No change in level of discounting</v>
          </cell>
          <cell r="AD76" t="str">
            <v>No Change</v>
          </cell>
          <cell r="AE76">
            <v>50</v>
          </cell>
          <cell r="AF76">
            <v>25</v>
          </cell>
          <cell r="AG76">
            <v>25</v>
          </cell>
          <cell r="AH76" t="str">
            <v>40/60</v>
          </cell>
          <cell r="AI76" t="str">
            <v>In-Line</v>
          </cell>
          <cell r="AJ76">
            <v>5</v>
          </cell>
          <cell r="AK76" t="str">
            <v>NA / DK</v>
          </cell>
          <cell r="AL76">
            <v>5</v>
          </cell>
          <cell r="AM76">
            <v>0</v>
          </cell>
          <cell r="AN76">
            <v>10</v>
          </cell>
          <cell r="AO76" t="str">
            <v>NA / DK</v>
          </cell>
          <cell r="AP76">
            <v>10</v>
          </cell>
          <cell r="AQ76">
            <v>0</v>
          </cell>
          <cell r="AR76" t="str">
            <v>Don't Use</v>
          </cell>
          <cell r="AS76" t="str">
            <v>Don't Use</v>
          </cell>
          <cell r="AT76" t="str">
            <v>Don't Use</v>
          </cell>
          <cell r="AU76" t="str">
            <v>Don't Use</v>
          </cell>
          <cell r="AV76" t="str">
            <v>Flat</v>
          </cell>
          <cell r="AW76" t="str">
            <v>Don't Use</v>
          </cell>
          <cell r="AX76" t="str">
            <v>Increase</v>
          </cell>
          <cell r="AY76" t="str">
            <v>Don't Use</v>
          </cell>
          <cell r="AZ76" t="str">
            <v>Don't Use</v>
          </cell>
          <cell r="BA76" t="str">
            <v>Flat</v>
          </cell>
          <cell r="BB76" t="str">
            <v>Flat</v>
          </cell>
          <cell r="BC76" t="str">
            <v>Don't Use</v>
          </cell>
          <cell r="BD76" t="str">
            <v>Don't Use</v>
          </cell>
          <cell r="BE76" t="str">
            <v>Don't Use</v>
          </cell>
          <cell r="BF76" t="str">
            <v>Don't Use</v>
          </cell>
          <cell r="BG76" t="str">
            <v>Don't Use</v>
          </cell>
          <cell r="BH76" t="str">
            <v>Don't Use</v>
          </cell>
          <cell r="BI76" t="str">
            <v>Already using services provider</v>
          </cell>
          <cell r="BJ76" t="str">
            <v>Doing work internally</v>
          </cell>
          <cell r="BK76" t="str">
            <v>Already using services provider</v>
          </cell>
          <cell r="BL76" t="str">
            <v>Doing work internally</v>
          </cell>
          <cell r="BM76" t="str">
            <v>Doing work internally</v>
          </cell>
          <cell r="BN76" t="str">
            <v>Already using services provider</v>
          </cell>
          <cell r="BO76" t="str">
            <v>Doing work internally</v>
          </cell>
          <cell r="BP76" t="str">
            <v>Doing work internally</v>
          </cell>
          <cell r="BQ76" t="str">
            <v>Doing work internally</v>
          </cell>
          <cell r="BR76" t="str">
            <v>Already using services provider</v>
          </cell>
          <cell r="BS76" t="str">
            <v>Doing work internally</v>
          </cell>
          <cell r="BT76" t="str">
            <v>Not Priority</v>
          </cell>
          <cell r="BU76">
            <v>5</v>
          </cell>
          <cell r="BV76">
            <v>7</v>
          </cell>
          <cell r="BW76">
            <v>6</v>
          </cell>
          <cell r="BX76">
            <v>1</v>
          </cell>
          <cell r="BY76">
            <v>4</v>
          </cell>
          <cell r="BZ76">
            <v>2</v>
          </cell>
          <cell r="CA76">
            <v>3</v>
          </cell>
          <cell r="CB76" t="str">
            <v>No change in level of discounting</v>
          </cell>
        </row>
        <row r="77">
          <cell r="A77" t="str">
            <v>US</v>
          </cell>
          <cell r="B77" t="str">
            <v>Financial services</v>
          </cell>
          <cell r="C77" t="str">
            <v>$1-5 Billion</v>
          </cell>
          <cell r="D77" t="str">
            <v>&lt;$100 Million</v>
          </cell>
          <cell r="E77">
            <v>15</v>
          </cell>
          <cell r="F77">
            <v>10</v>
          </cell>
          <cell r="G77">
            <v>10</v>
          </cell>
          <cell r="H77">
            <v>10</v>
          </cell>
          <cell r="I77">
            <v>10</v>
          </cell>
          <cell r="J77">
            <v>10</v>
          </cell>
          <cell r="K77">
            <v>20</v>
          </cell>
          <cell r="L77">
            <v>5</v>
          </cell>
          <cell r="M77">
            <v>15</v>
          </cell>
          <cell r="N77">
            <v>5</v>
          </cell>
          <cell r="O77">
            <v>7</v>
          </cell>
          <cell r="P77">
            <v>40</v>
          </cell>
          <cell r="Q77">
            <v>60</v>
          </cell>
          <cell r="R77">
            <v>65</v>
          </cell>
          <cell r="S77">
            <v>35</v>
          </cell>
          <cell r="T77" t="str">
            <v>NA / No Increase</v>
          </cell>
          <cell r="W77" t="str">
            <v>NA / No Decrease</v>
          </cell>
          <cell r="Z77" t="str">
            <v>Upward revision is more likely</v>
          </cell>
          <cell r="AA77" t="str">
            <v>NA / DK</v>
          </cell>
          <cell r="AB77" t="str">
            <v>NA / DK</v>
          </cell>
          <cell r="AC77" t="str">
            <v>Somewhat more aggressive in discounting</v>
          </cell>
          <cell r="AD77" t="str">
            <v>Somewhat longer</v>
          </cell>
          <cell r="AE77">
            <v>75</v>
          </cell>
          <cell r="AF77">
            <v>0</v>
          </cell>
          <cell r="AG77">
            <v>25</v>
          </cell>
          <cell r="AH77" t="str">
            <v>60/40</v>
          </cell>
          <cell r="AI77" t="str">
            <v>Under</v>
          </cell>
          <cell r="AJ77">
            <v>5</v>
          </cell>
          <cell r="AK77" t="str">
            <v>NA / DK</v>
          </cell>
          <cell r="AL77">
            <v>0</v>
          </cell>
          <cell r="AM77">
            <v>10</v>
          </cell>
          <cell r="AN77">
            <v>25</v>
          </cell>
          <cell r="AO77" t="str">
            <v>NA / DK</v>
          </cell>
          <cell r="AP77" t="str">
            <v>NA / DK</v>
          </cell>
          <cell r="AQ77" t="str">
            <v>NA / DK</v>
          </cell>
          <cell r="AR77" t="str">
            <v>Don't Use</v>
          </cell>
          <cell r="AS77" t="str">
            <v>Don't Use</v>
          </cell>
          <cell r="AT77" t="str">
            <v>Don't Use</v>
          </cell>
          <cell r="AU77" t="str">
            <v>Don't Use</v>
          </cell>
          <cell r="AV77" t="str">
            <v>Don't Use</v>
          </cell>
          <cell r="AW77" t="str">
            <v>Don't Use</v>
          </cell>
          <cell r="AX77" t="str">
            <v>Don't Use</v>
          </cell>
          <cell r="AY77" t="str">
            <v>Don't Use</v>
          </cell>
          <cell r="AZ77" t="str">
            <v>Don't Use</v>
          </cell>
          <cell r="BA77" t="str">
            <v>Increase</v>
          </cell>
          <cell r="BB77" t="str">
            <v>Flat</v>
          </cell>
          <cell r="BC77" t="str">
            <v>Don't Use</v>
          </cell>
          <cell r="BD77" t="str">
            <v>Don't Use</v>
          </cell>
          <cell r="BE77" t="str">
            <v>Don't Use</v>
          </cell>
          <cell r="BF77" t="str">
            <v>Don't Use</v>
          </cell>
          <cell r="BG77" t="str">
            <v>Don't Use</v>
          </cell>
          <cell r="BH77" t="str">
            <v>Don't Use</v>
          </cell>
          <cell r="BI77" t="str">
            <v>Doing work internally</v>
          </cell>
          <cell r="BJ77" t="str">
            <v>Doing work internally</v>
          </cell>
          <cell r="BK77" t="str">
            <v>Doing work internally</v>
          </cell>
          <cell r="BL77" t="str">
            <v>Doing work internally</v>
          </cell>
          <cell r="BM77" t="str">
            <v>Doing work internally</v>
          </cell>
          <cell r="BN77" t="str">
            <v>Not Priority</v>
          </cell>
          <cell r="BO77" t="str">
            <v>Doing work internally</v>
          </cell>
          <cell r="BP77" t="str">
            <v>Doing work internally</v>
          </cell>
          <cell r="BQ77" t="str">
            <v>Doing work internally</v>
          </cell>
          <cell r="BR77" t="str">
            <v>Not Priority</v>
          </cell>
          <cell r="BS77" t="str">
            <v>Not Priority</v>
          </cell>
          <cell r="BT77" t="str">
            <v>Not Priority</v>
          </cell>
          <cell r="BU77">
            <v>4</v>
          </cell>
          <cell r="BV77">
            <v>7</v>
          </cell>
          <cell r="BW77">
            <v>2</v>
          </cell>
          <cell r="BX77">
            <v>5</v>
          </cell>
          <cell r="BY77">
            <v>3</v>
          </cell>
          <cell r="BZ77">
            <v>1</v>
          </cell>
          <cell r="CA77">
            <v>6</v>
          </cell>
          <cell r="CB77" t="str">
            <v>No change in level of discounting</v>
          </cell>
        </row>
        <row r="78">
          <cell r="A78" t="str">
            <v>US</v>
          </cell>
          <cell r="B78" t="str">
            <v>Financial services</v>
          </cell>
          <cell r="C78" t="str">
            <v>$10-15 Billion</v>
          </cell>
          <cell r="D78" t="str">
            <v>$200-300 Million</v>
          </cell>
          <cell r="E78">
            <v>-7</v>
          </cell>
          <cell r="F78">
            <v>2</v>
          </cell>
          <cell r="G78">
            <v>-2</v>
          </cell>
          <cell r="H78">
            <v>-8</v>
          </cell>
          <cell r="I78">
            <v>-5</v>
          </cell>
          <cell r="J78">
            <v>-5</v>
          </cell>
          <cell r="K78">
            <v>2</v>
          </cell>
          <cell r="L78">
            <v>-3</v>
          </cell>
          <cell r="M78">
            <v>0</v>
          </cell>
          <cell r="N78">
            <v>7</v>
          </cell>
          <cell r="O78">
            <v>3</v>
          </cell>
          <cell r="P78">
            <v>40</v>
          </cell>
          <cell r="Q78">
            <v>60</v>
          </cell>
          <cell r="R78">
            <v>40</v>
          </cell>
          <cell r="S78">
            <v>60</v>
          </cell>
          <cell r="T78" t="str">
            <v>Database management</v>
          </cell>
          <cell r="U78" t="str">
            <v>SAP updates</v>
          </cell>
          <cell r="V78" t="str">
            <v>New web-based apps</v>
          </cell>
          <cell r="W78" t="str">
            <v>Software licenses</v>
          </cell>
          <cell r="X78" t="str">
            <v>WAN</v>
          </cell>
          <cell r="Z78" t="str">
            <v>‘No change’ to the budget is likely</v>
          </cell>
          <cell r="AA78" t="str">
            <v>Hardware upgrades</v>
          </cell>
          <cell r="AB78" t="str">
            <v>Mission critical systems</v>
          </cell>
          <cell r="AC78" t="str">
            <v>Somewhat more aggressive in discounting</v>
          </cell>
          <cell r="AD78" t="str">
            <v>Somewhat longer</v>
          </cell>
          <cell r="AE78">
            <v>100</v>
          </cell>
          <cell r="AF78">
            <v>0</v>
          </cell>
          <cell r="AG78">
            <v>0</v>
          </cell>
          <cell r="AH78" t="str">
            <v>40/60</v>
          </cell>
          <cell r="AI78" t="str">
            <v>Under</v>
          </cell>
          <cell r="AJ78">
            <v>2</v>
          </cell>
          <cell r="AK78">
            <v>0</v>
          </cell>
          <cell r="AL78" t="str">
            <v>NA / DK</v>
          </cell>
          <cell r="AM78" t="str">
            <v>NA / DK</v>
          </cell>
          <cell r="AN78">
            <v>8</v>
          </cell>
          <cell r="AO78">
            <v>5</v>
          </cell>
          <cell r="AP78">
            <v>0</v>
          </cell>
          <cell r="AQ78">
            <v>0</v>
          </cell>
          <cell r="AR78" t="str">
            <v>Increase</v>
          </cell>
          <cell r="AS78" t="str">
            <v>Decrease</v>
          </cell>
          <cell r="AT78" t="str">
            <v>Don't Use</v>
          </cell>
          <cell r="AU78" t="str">
            <v>Don't Use</v>
          </cell>
          <cell r="AV78" t="str">
            <v>Don't Use</v>
          </cell>
          <cell r="AW78" t="str">
            <v>Flat</v>
          </cell>
          <cell r="AX78" t="str">
            <v>Don't Use</v>
          </cell>
          <cell r="AY78" t="str">
            <v>Don't Use</v>
          </cell>
          <cell r="AZ78" t="str">
            <v>Don't Use</v>
          </cell>
          <cell r="BA78" t="str">
            <v>Decrease</v>
          </cell>
          <cell r="BB78" t="str">
            <v>Flat</v>
          </cell>
          <cell r="BC78" t="str">
            <v>Decrease</v>
          </cell>
          <cell r="BD78" t="str">
            <v>Don't Use</v>
          </cell>
          <cell r="BE78" t="str">
            <v>Don't Use</v>
          </cell>
          <cell r="BF78" t="str">
            <v>Don't Use</v>
          </cell>
          <cell r="BG78" t="str">
            <v>Don't Use</v>
          </cell>
          <cell r="BH78" t="str">
            <v>Don't Use</v>
          </cell>
          <cell r="BI78" t="str">
            <v>Doing work internally</v>
          </cell>
          <cell r="BJ78" t="str">
            <v>Doing work internally</v>
          </cell>
          <cell r="BK78" t="str">
            <v>Doing work internally</v>
          </cell>
          <cell r="BL78" t="str">
            <v>Not Priority</v>
          </cell>
          <cell r="BM78" t="str">
            <v>Doing work internally</v>
          </cell>
          <cell r="BN78" t="str">
            <v>Already using services provider</v>
          </cell>
          <cell r="BO78" t="str">
            <v>Doing work internally</v>
          </cell>
          <cell r="BP78" t="str">
            <v>Will use services provider 2H12</v>
          </cell>
          <cell r="BQ78" t="str">
            <v>Doing work internally</v>
          </cell>
          <cell r="BR78" t="str">
            <v>Not Priority</v>
          </cell>
          <cell r="BS78" t="str">
            <v>Doing work internally</v>
          </cell>
          <cell r="BT78" t="str">
            <v>Doing work internally</v>
          </cell>
          <cell r="BU78">
            <v>4</v>
          </cell>
          <cell r="BV78">
            <v>6</v>
          </cell>
          <cell r="BW78">
            <v>2</v>
          </cell>
          <cell r="BX78">
            <v>1</v>
          </cell>
          <cell r="BY78">
            <v>5</v>
          </cell>
          <cell r="BZ78">
            <v>7</v>
          </cell>
          <cell r="CA78">
            <v>3</v>
          </cell>
          <cell r="CB78" t="str">
            <v>Somewhat more aggressive in discounting</v>
          </cell>
        </row>
        <row r="79">
          <cell r="A79" t="str">
            <v>US</v>
          </cell>
          <cell r="B79" t="str">
            <v>Financial services</v>
          </cell>
          <cell r="C79" t="str">
            <v>&gt;$20 Billion</v>
          </cell>
          <cell r="D79" t="str">
            <v>&lt;$100 Million</v>
          </cell>
          <cell r="E79">
            <v>-10</v>
          </cell>
          <cell r="F79">
            <v>0</v>
          </cell>
          <cell r="G79">
            <v>-8</v>
          </cell>
          <cell r="H79">
            <v>-5</v>
          </cell>
          <cell r="I79">
            <v>-5</v>
          </cell>
          <cell r="J79">
            <v>-10</v>
          </cell>
          <cell r="K79">
            <v>-5</v>
          </cell>
          <cell r="L79">
            <v>-5</v>
          </cell>
          <cell r="M79">
            <v>-5</v>
          </cell>
          <cell r="N79">
            <v>-7</v>
          </cell>
          <cell r="O79">
            <v>4</v>
          </cell>
          <cell r="P79">
            <v>40</v>
          </cell>
          <cell r="Q79">
            <v>60</v>
          </cell>
          <cell r="R79">
            <v>60</v>
          </cell>
          <cell r="S79">
            <v>40</v>
          </cell>
          <cell r="T79" t="str">
            <v>Call center applications</v>
          </cell>
          <cell r="U79" t="str">
            <v>SAN upgrades</v>
          </cell>
          <cell r="V79" t="str">
            <v>Data analytics</v>
          </cell>
          <cell r="W79" t="str">
            <v>New services contracts</v>
          </cell>
          <cell r="X79" t="str">
            <v>ERP</v>
          </cell>
          <cell r="Z79" t="str">
            <v>Equal chance of upward or downward revision</v>
          </cell>
          <cell r="AA79" t="str">
            <v>Outside services</v>
          </cell>
          <cell r="AB79" t="str">
            <v>Maintenance spending</v>
          </cell>
          <cell r="AC79" t="str">
            <v>No change in level of discounting</v>
          </cell>
          <cell r="AD79" t="str">
            <v>No Change</v>
          </cell>
          <cell r="AE79">
            <v>95</v>
          </cell>
          <cell r="AF79">
            <v>5</v>
          </cell>
          <cell r="AG79">
            <v>0</v>
          </cell>
          <cell r="AH79" t="str">
            <v>80/20</v>
          </cell>
          <cell r="AI79" t="str">
            <v>In-Line</v>
          </cell>
          <cell r="AJ79">
            <v>-7</v>
          </cell>
          <cell r="AK79">
            <v>-10</v>
          </cell>
          <cell r="AL79">
            <v>10</v>
          </cell>
          <cell r="AM79">
            <v>0</v>
          </cell>
          <cell r="AN79">
            <v>-10</v>
          </cell>
          <cell r="AO79">
            <v>5</v>
          </cell>
          <cell r="AP79">
            <v>0</v>
          </cell>
          <cell r="AQ79">
            <v>0</v>
          </cell>
          <cell r="AR79" t="str">
            <v>Flat</v>
          </cell>
          <cell r="AS79" t="str">
            <v>Don't Use</v>
          </cell>
          <cell r="AT79" t="str">
            <v>Don't Use</v>
          </cell>
          <cell r="AU79" t="str">
            <v>Don't Use</v>
          </cell>
          <cell r="AV79" t="str">
            <v>Don't Use</v>
          </cell>
          <cell r="AW79" t="str">
            <v>Don't Use</v>
          </cell>
          <cell r="AX79" t="str">
            <v>Increase</v>
          </cell>
          <cell r="AY79" t="str">
            <v>Don't Use</v>
          </cell>
          <cell r="AZ79" t="str">
            <v>Increase</v>
          </cell>
          <cell r="BA79" t="str">
            <v>Flat</v>
          </cell>
          <cell r="BB79" t="str">
            <v>Flat</v>
          </cell>
          <cell r="BC79" t="str">
            <v>Don't Use</v>
          </cell>
          <cell r="BD79" t="str">
            <v>Don't Use</v>
          </cell>
          <cell r="BE79" t="str">
            <v>Don't Use</v>
          </cell>
          <cell r="BF79" t="str">
            <v>Flat</v>
          </cell>
          <cell r="BG79" t="str">
            <v>Flat</v>
          </cell>
          <cell r="BH79" t="str">
            <v>Don't Use</v>
          </cell>
          <cell r="BI79" t="str">
            <v>Doing work internally</v>
          </cell>
          <cell r="BJ79" t="str">
            <v>Doing work internally</v>
          </cell>
          <cell r="BK79" t="str">
            <v>Doing work internally</v>
          </cell>
          <cell r="BL79" t="str">
            <v>Doing work internally</v>
          </cell>
          <cell r="BM79" t="str">
            <v>Already using services provider</v>
          </cell>
          <cell r="BN79" t="str">
            <v>Doing work internally</v>
          </cell>
          <cell r="BO79" t="str">
            <v>Doing work internally</v>
          </cell>
          <cell r="BP79" t="str">
            <v>Not Priority</v>
          </cell>
          <cell r="BQ79" t="str">
            <v>Doing work internally</v>
          </cell>
          <cell r="BR79" t="str">
            <v>Not Priority</v>
          </cell>
          <cell r="BS79" t="str">
            <v>Not Priority</v>
          </cell>
          <cell r="BT79" t="str">
            <v>Doing work internally</v>
          </cell>
          <cell r="BU79">
            <v>3</v>
          </cell>
          <cell r="BV79">
            <v>5</v>
          </cell>
          <cell r="BW79">
            <v>7</v>
          </cell>
          <cell r="BX79">
            <v>2</v>
          </cell>
          <cell r="BY79">
            <v>6</v>
          </cell>
          <cell r="BZ79">
            <v>4</v>
          </cell>
          <cell r="CA79">
            <v>1</v>
          </cell>
          <cell r="CB79" t="str">
            <v>No change in level of discounting</v>
          </cell>
        </row>
        <row r="80">
          <cell r="A80" t="str">
            <v>US</v>
          </cell>
          <cell r="B80" t="str">
            <v>Financial services</v>
          </cell>
          <cell r="C80" t="str">
            <v>$500 Million - $1 Billion</v>
          </cell>
          <cell r="D80" t="str">
            <v>&lt;$100 Million</v>
          </cell>
          <cell r="E80">
            <v>8</v>
          </cell>
          <cell r="F80">
            <v>11</v>
          </cell>
          <cell r="G80">
            <v>5</v>
          </cell>
          <cell r="H80">
            <v>5</v>
          </cell>
          <cell r="I80">
            <v>15</v>
          </cell>
          <cell r="J80">
            <v>10</v>
          </cell>
          <cell r="K80">
            <v>12</v>
          </cell>
          <cell r="L80">
            <v>10</v>
          </cell>
          <cell r="M80">
            <v>8</v>
          </cell>
          <cell r="N80">
            <v>5</v>
          </cell>
          <cell r="O80">
            <v>7</v>
          </cell>
          <cell r="P80">
            <v>45</v>
          </cell>
          <cell r="Q80">
            <v>55</v>
          </cell>
          <cell r="R80">
            <v>50</v>
          </cell>
          <cell r="S80">
            <v>50</v>
          </cell>
          <cell r="T80" t="str">
            <v>WAN optimization</v>
          </cell>
          <cell r="U80" t="str">
            <v>SaaS</v>
          </cell>
          <cell r="V80" t="str">
            <v>VDI</v>
          </cell>
          <cell r="W80" t="str">
            <v>MPLS &amp; DS3 protocols</v>
          </cell>
          <cell r="X80" t="str">
            <v>Network switches</v>
          </cell>
          <cell r="Z80" t="str">
            <v>‘No change’ to the budget is likely</v>
          </cell>
          <cell r="AA80" t="str">
            <v>VDI project</v>
          </cell>
          <cell r="AB80" t="str">
            <v>End user access</v>
          </cell>
          <cell r="AC80" t="str">
            <v>Somewhat less aggressive in discounting</v>
          </cell>
          <cell r="AD80" t="str">
            <v>Somewhat quicker</v>
          </cell>
          <cell r="AE80">
            <v>75</v>
          </cell>
          <cell r="AF80">
            <v>15</v>
          </cell>
          <cell r="AG80">
            <v>10</v>
          </cell>
          <cell r="AH80" t="str">
            <v>50/50</v>
          </cell>
          <cell r="AI80" t="str">
            <v>Under</v>
          </cell>
          <cell r="AJ80">
            <v>5</v>
          </cell>
          <cell r="AK80">
            <v>5</v>
          </cell>
          <cell r="AL80">
            <v>5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 t="str">
            <v>Flat</v>
          </cell>
          <cell r="AS80" t="str">
            <v>Don't Use</v>
          </cell>
          <cell r="AT80" t="str">
            <v>Don't Use</v>
          </cell>
          <cell r="AU80" t="str">
            <v>Don't Use</v>
          </cell>
          <cell r="AV80" t="str">
            <v>Don't Use</v>
          </cell>
          <cell r="AW80" t="str">
            <v>Don't Use</v>
          </cell>
          <cell r="AX80" t="str">
            <v>Flat</v>
          </cell>
          <cell r="AY80" t="str">
            <v>Don't Use</v>
          </cell>
          <cell r="AZ80" t="str">
            <v>Don't Use</v>
          </cell>
          <cell r="BA80" t="str">
            <v>Flat</v>
          </cell>
          <cell r="BB80" t="str">
            <v>Increase</v>
          </cell>
          <cell r="BC80" t="str">
            <v>Don't Use</v>
          </cell>
          <cell r="BD80" t="str">
            <v>Don't Use</v>
          </cell>
          <cell r="BE80" t="str">
            <v>Flat</v>
          </cell>
          <cell r="BF80" t="str">
            <v>Don't Use</v>
          </cell>
          <cell r="BG80" t="str">
            <v>Flat</v>
          </cell>
          <cell r="BH80" t="str">
            <v>Don't Use</v>
          </cell>
          <cell r="BI80" t="str">
            <v>Doing work internally</v>
          </cell>
          <cell r="BJ80" t="str">
            <v>Doing work internally</v>
          </cell>
          <cell r="BK80" t="str">
            <v>Not Priority</v>
          </cell>
          <cell r="BL80" t="str">
            <v>Doing work internally</v>
          </cell>
          <cell r="BM80" t="str">
            <v>Doing work internally</v>
          </cell>
          <cell r="BN80" t="str">
            <v>Will use services provider 2H12</v>
          </cell>
          <cell r="BO80" t="str">
            <v>Doing work internally</v>
          </cell>
          <cell r="BP80" t="str">
            <v>Not Priority</v>
          </cell>
          <cell r="BQ80" t="str">
            <v>Not Priority</v>
          </cell>
          <cell r="BR80" t="str">
            <v>Not Priority</v>
          </cell>
          <cell r="BS80" t="str">
            <v>Not Priority</v>
          </cell>
          <cell r="BT80" t="str">
            <v>Not Priority</v>
          </cell>
          <cell r="BU80">
            <v>3</v>
          </cell>
          <cell r="BV80">
            <v>4</v>
          </cell>
          <cell r="BW80">
            <v>6</v>
          </cell>
          <cell r="BX80">
            <v>5</v>
          </cell>
          <cell r="BY80">
            <v>1</v>
          </cell>
          <cell r="BZ80">
            <v>7</v>
          </cell>
          <cell r="CA80">
            <v>2</v>
          </cell>
          <cell r="CB80" t="str">
            <v>Significantly more aggressive in discounting</v>
          </cell>
        </row>
        <row r="81">
          <cell r="A81" t="str">
            <v>US</v>
          </cell>
          <cell r="B81" t="str">
            <v>Financial services</v>
          </cell>
          <cell r="C81" t="str">
            <v>$5-10 Billion</v>
          </cell>
          <cell r="D81" t="str">
            <v>&lt;$100 Million</v>
          </cell>
          <cell r="E81">
            <v>2</v>
          </cell>
          <cell r="F81">
            <v>3</v>
          </cell>
          <cell r="G81">
            <v>2</v>
          </cell>
          <cell r="H81">
            <v>0</v>
          </cell>
          <cell r="I81">
            <v>5</v>
          </cell>
          <cell r="J81">
            <v>10</v>
          </cell>
          <cell r="K81">
            <v>3</v>
          </cell>
          <cell r="L81">
            <v>3</v>
          </cell>
          <cell r="M81">
            <v>5</v>
          </cell>
          <cell r="N81">
            <v>3</v>
          </cell>
          <cell r="O81">
            <v>7</v>
          </cell>
          <cell r="P81">
            <v>50</v>
          </cell>
          <cell r="Q81">
            <v>50</v>
          </cell>
          <cell r="R81">
            <v>45</v>
          </cell>
          <cell r="S81">
            <v>55</v>
          </cell>
          <cell r="T81" t="str">
            <v>HW Refresh</v>
          </cell>
          <cell r="U81" t="str">
            <v>Internal Cloud</v>
          </cell>
          <cell r="V81" t="str">
            <v>Virtualization</v>
          </cell>
          <cell r="W81" t="str">
            <v>NA / No Decrease</v>
          </cell>
          <cell r="Z81" t="str">
            <v>‘No change’ to the budget is likely</v>
          </cell>
          <cell r="AA81" t="str">
            <v>Hardware upgrades</v>
          </cell>
          <cell r="AB81" t="str">
            <v>Core IT functions</v>
          </cell>
          <cell r="AC81" t="str">
            <v>No change in level of discounting</v>
          </cell>
          <cell r="AD81" t="str">
            <v>No Change</v>
          </cell>
          <cell r="AE81">
            <v>80</v>
          </cell>
          <cell r="AF81">
            <v>15</v>
          </cell>
          <cell r="AG81">
            <v>5</v>
          </cell>
          <cell r="AH81" t="str">
            <v>50/50</v>
          </cell>
          <cell r="AI81" t="str">
            <v>In-Line</v>
          </cell>
          <cell r="AJ81">
            <v>10</v>
          </cell>
          <cell r="AK81">
            <v>10</v>
          </cell>
          <cell r="AL81">
            <v>10</v>
          </cell>
          <cell r="AM81">
            <v>10</v>
          </cell>
          <cell r="AN81">
            <v>7</v>
          </cell>
          <cell r="AO81">
            <v>5</v>
          </cell>
          <cell r="AP81">
            <v>10</v>
          </cell>
          <cell r="AQ81">
            <v>10</v>
          </cell>
          <cell r="AR81" t="str">
            <v>Don't Use</v>
          </cell>
          <cell r="AS81" t="str">
            <v>Don't Use</v>
          </cell>
          <cell r="AT81" t="str">
            <v>Don't Use</v>
          </cell>
          <cell r="AU81" t="str">
            <v>Don't Use</v>
          </cell>
          <cell r="AV81" t="str">
            <v>Increase</v>
          </cell>
          <cell r="AW81" t="str">
            <v>Don't Use</v>
          </cell>
          <cell r="AX81" t="str">
            <v>Flat</v>
          </cell>
          <cell r="AY81" t="str">
            <v>Don't Use</v>
          </cell>
          <cell r="AZ81" t="str">
            <v>Don't Use</v>
          </cell>
          <cell r="BA81" t="str">
            <v>Flat</v>
          </cell>
          <cell r="BB81" t="str">
            <v>Don't Use</v>
          </cell>
          <cell r="BC81" t="str">
            <v>Flat</v>
          </cell>
          <cell r="BD81" t="str">
            <v>Don't Use</v>
          </cell>
          <cell r="BE81" t="str">
            <v>Don't Use</v>
          </cell>
          <cell r="BF81" t="str">
            <v>Don't Use</v>
          </cell>
          <cell r="BG81" t="str">
            <v>Flat</v>
          </cell>
          <cell r="BH81" t="str">
            <v>Don't Use</v>
          </cell>
          <cell r="BI81" t="str">
            <v>Not Priority</v>
          </cell>
          <cell r="BJ81" t="str">
            <v>Not Priority</v>
          </cell>
          <cell r="BK81" t="str">
            <v>Doing work internally</v>
          </cell>
          <cell r="BL81" t="str">
            <v>Not Priority</v>
          </cell>
          <cell r="BM81" t="str">
            <v>Not Priority</v>
          </cell>
          <cell r="BN81" t="str">
            <v>Already using services provider</v>
          </cell>
          <cell r="BO81" t="str">
            <v>Doing work internally</v>
          </cell>
          <cell r="BP81" t="str">
            <v>Not Priority</v>
          </cell>
          <cell r="BQ81" t="str">
            <v>Already using services provider</v>
          </cell>
          <cell r="BR81" t="str">
            <v>Doing work internally</v>
          </cell>
          <cell r="BS81" t="str">
            <v>Doing work internally</v>
          </cell>
          <cell r="BT81" t="str">
            <v>Not Priority</v>
          </cell>
          <cell r="BU81">
            <v>1</v>
          </cell>
          <cell r="BV81">
            <v>7</v>
          </cell>
          <cell r="BW81">
            <v>4</v>
          </cell>
          <cell r="BX81">
            <v>3</v>
          </cell>
          <cell r="BY81">
            <v>2</v>
          </cell>
          <cell r="BZ81">
            <v>5</v>
          </cell>
          <cell r="CA81">
            <v>6</v>
          </cell>
          <cell r="CB81" t="str">
            <v>No change in level of discounting</v>
          </cell>
        </row>
        <row r="82">
          <cell r="A82" t="str">
            <v>US</v>
          </cell>
          <cell r="B82" t="str">
            <v>Financial services</v>
          </cell>
          <cell r="C82" t="str">
            <v>$1-5 Billion</v>
          </cell>
          <cell r="D82" t="str">
            <v>$100-200 Million</v>
          </cell>
          <cell r="E82">
            <v>15</v>
          </cell>
          <cell r="F82">
            <v>5</v>
          </cell>
          <cell r="G82">
            <v>15</v>
          </cell>
          <cell r="H82">
            <v>20</v>
          </cell>
          <cell r="I82">
            <v>10</v>
          </cell>
          <cell r="J82">
            <v>8</v>
          </cell>
          <cell r="K82">
            <v>5</v>
          </cell>
          <cell r="L82">
            <v>5</v>
          </cell>
          <cell r="M82">
            <v>5</v>
          </cell>
          <cell r="N82">
            <v>5</v>
          </cell>
          <cell r="O82">
            <v>3</v>
          </cell>
          <cell r="P82">
            <v>50</v>
          </cell>
          <cell r="Q82">
            <v>50</v>
          </cell>
          <cell r="R82">
            <v>50</v>
          </cell>
          <cell r="S82">
            <v>50</v>
          </cell>
          <cell r="T82" t="str">
            <v>ERP</v>
          </cell>
          <cell r="U82" t="str">
            <v>Internal cloud projects</v>
          </cell>
          <cell r="W82" t="str">
            <v>Network infrastructure updates</v>
          </cell>
          <cell r="Z82" t="str">
            <v>Equal chance of upward or downward revision</v>
          </cell>
          <cell r="AA82" t="str">
            <v>Do not see any cuts happening unless we have catostrophic downturn</v>
          </cell>
          <cell r="AB82" t="str">
            <v>Anything misison critical</v>
          </cell>
          <cell r="AC82" t="str">
            <v>No change in level of discounting</v>
          </cell>
          <cell r="AD82" t="str">
            <v>No Change</v>
          </cell>
          <cell r="AE82">
            <v>50</v>
          </cell>
          <cell r="AF82">
            <v>25</v>
          </cell>
          <cell r="AG82">
            <v>25</v>
          </cell>
          <cell r="AH82" t="str">
            <v>50/50</v>
          </cell>
          <cell r="AI82" t="str">
            <v>Under</v>
          </cell>
          <cell r="AJ82">
            <v>0</v>
          </cell>
          <cell r="AK82">
            <v>10</v>
          </cell>
          <cell r="AL82">
            <v>5</v>
          </cell>
          <cell r="AM82">
            <v>5</v>
          </cell>
          <cell r="AN82">
            <v>-8</v>
          </cell>
          <cell r="AO82">
            <v>-5</v>
          </cell>
          <cell r="AP82">
            <v>-5</v>
          </cell>
          <cell r="AQ82">
            <v>0</v>
          </cell>
          <cell r="AR82" t="str">
            <v>Don't Use</v>
          </cell>
          <cell r="AS82" t="str">
            <v>Flat</v>
          </cell>
          <cell r="AT82" t="str">
            <v>Don't Use</v>
          </cell>
          <cell r="AU82" t="str">
            <v>Don't Use</v>
          </cell>
          <cell r="AV82" t="str">
            <v>Increase</v>
          </cell>
          <cell r="AW82" t="str">
            <v>Don't Use</v>
          </cell>
          <cell r="AX82" t="str">
            <v>Flat</v>
          </cell>
          <cell r="AY82" t="str">
            <v>Don't Use</v>
          </cell>
          <cell r="AZ82" t="str">
            <v>Don't Use</v>
          </cell>
          <cell r="BA82" t="str">
            <v>Increase</v>
          </cell>
          <cell r="BB82" t="str">
            <v>Flat</v>
          </cell>
          <cell r="BC82" t="str">
            <v>Don't Use</v>
          </cell>
          <cell r="BD82" t="str">
            <v>Don't Use</v>
          </cell>
          <cell r="BE82" t="str">
            <v>Don't Use</v>
          </cell>
          <cell r="BF82" t="str">
            <v>Don't Use</v>
          </cell>
          <cell r="BG82" t="str">
            <v>Don't Use</v>
          </cell>
          <cell r="BH82" t="str">
            <v>Don't Use</v>
          </cell>
          <cell r="BI82" t="str">
            <v>Doing work internally</v>
          </cell>
          <cell r="BJ82" t="str">
            <v>Not Priority</v>
          </cell>
          <cell r="BK82" t="str">
            <v>Not Priority</v>
          </cell>
          <cell r="BL82" t="str">
            <v>Doing work internally</v>
          </cell>
          <cell r="BM82" t="str">
            <v>Doing work internally</v>
          </cell>
          <cell r="BN82" t="str">
            <v>Will use services provider 2H12</v>
          </cell>
          <cell r="BO82" t="str">
            <v>Doing work internally</v>
          </cell>
          <cell r="BP82" t="str">
            <v>Not Priority</v>
          </cell>
          <cell r="BQ82" t="str">
            <v>Not Priority</v>
          </cell>
          <cell r="BR82" t="str">
            <v>Not Priority</v>
          </cell>
          <cell r="BS82" t="str">
            <v>Already using services provider</v>
          </cell>
          <cell r="BT82" t="str">
            <v>Already using services provider</v>
          </cell>
          <cell r="BU82">
            <v>2</v>
          </cell>
          <cell r="BV82">
            <v>5</v>
          </cell>
          <cell r="BW82">
            <v>6</v>
          </cell>
          <cell r="BX82">
            <v>7</v>
          </cell>
          <cell r="BY82">
            <v>3</v>
          </cell>
          <cell r="BZ82">
            <v>1</v>
          </cell>
          <cell r="CA82">
            <v>4</v>
          </cell>
          <cell r="CB82" t="str">
            <v>No change in level of discounting</v>
          </cell>
        </row>
        <row r="83">
          <cell r="A83" t="str">
            <v>US</v>
          </cell>
          <cell r="B83" t="str">
            <v>Financial services</v>
          </cell>
          <cell r="C83" t="str">
            <v>$500 Million - $1 Billion</v>
          </cell>
          <cell r="D83" t="str">
            <v>&lt;$100 Million</v>
          </cell>
          <cell r="E83">
            <v>3</v>
          </cell>
          <cell r="F83">
            <v>0</v>
          </cell>
          <cell r="G83">
            <v>3</v>
          </cell>
          <cell r="H83">
            <v>5</v>
          </cell>
          <cell r="I83">
            <v>5</v>
          </cell>
          <cell r="J83">
            <v>2</v>
          </cell>
          <cell r="K83">
            <v>5</v>
          </cell>
          <cell r="L83">
            <v>5</v>
          </cell>
          <cell r="M83">
            <v>3</v>
          </cell>
          <cell r="N83">
            <v>10</v>
          </cell>
          <cell r="O83">
            <v>6</v>
          </cell>
          <cell r="P83">
            <v>50</v>
          </cell>
          <cell r="Q83">
            <v>50</v>
          </cell>
          <cell r="R83">
            <v>50</v>
          </cell>
          <cell r="S83">
            <v>50</v>
          </cell>
          <cell r="T83" t="str">
            <v>Remote access</v>
          </cell>
          <cell r="U83" t="str">
            <v>New network switches</v>
          </cell>
          <cell r="V83" t="str">
            <v>Virtualization</v>
          </cell>
          <cell r="W83" t="str">
            <v>ERP</v>
          </cell>
          <cell r="X83" t="str">
            <v>PCs</v>
          </cell>
          <cell r="Y83" t="str">
            <v xml:space="preserve">Printers and peripherals </v>
          </cell>
          <cell r="Z83" t="str">
            <v>Upward revision is more likely</v>
          </cell>
          <cell r="AA83" t="str">
            <v>NA / DK</v>
          </cell>
          <cell r="AB83" t="str">
            <v>NA / DK</v>
          </cell>
          <cell r="AC83" t="str">
            <v>No change in level of discounting</v>
          </cell>
          <cell r="AD83" t="str">
            <v>Significantly longer</v>
          </cell>
          <cell r="AE83">
            <v>50</v>
          </cell>
          <cell r="AF83">
            <v>25</v>
          </cell>
          <cell r="AG83">
            <v>25</v>
          </cell>
          <cell r="AH83" t="str">
            <v>40/60</v>
          </cell>
          <cell r="AI83" t="str">
            <v>Over</v>
          </cell>
          <cell r="AJ83">
            <v>-10</v>
          </cell>
          <cell r="AK83">
            <v>8</v>
          </cell>
          <cell r="AL83">
            <v>5</v>
          </cell>
          <cell r="AM83">
            <v>15</v>
          </cell>
          <cell r="AN83">
            <v>8</v>
          </cell>
          <cell r="AO83">
            <v>8</v>
          </cell>
          <cell r="AP83">
            <v>5</v>
          </cell>
          <cell r="AQ83">
            <v>5</v>
          </cell>
          <cell r="AR83" t="str">
            <v>Increase</v>
          </cell>
          <cell r="AS83" t="str">
            <v>Don't Use</v>
          </cell>
          <cell r="AT83" t="str">
            <v>Don't Use</v>
          </cell>
          <cell r="AU83" t="str">
            <v>Flat</v>
          </cell>
          <cell r="AV83" t="str">
            <v>Don't Use</v>
          </cell>
          <cell r="AW83" t="str">
            <v>Don't Use</v>
          </cell>
          <cell r="AX83" t="str">
            <v>Don't Use</v>
          </cell>
          <cell r="AY83" t="str">
            <v>Don't Use</v>
          </cell>
          <cell r="AZ83" t="str">
            <v>Don't Use</v>
          </cell>
          <cell r="BA83" t="str">
            <v>Don't Use</v>
          </cell>
          <cell r="BB83" t="str">
            <v>Flat</v>
          </cell>
          <cell r="BC83" t="str">
            <v>Don't Use</v>
          </cell>
          <cell r="BD83" t="str">
            <v>Don't Use</v>
          </cell>
          <cell r="BE83" t="str">
            <v>Don't Use</v>
          </cell>
          <cell r="BF83" t="str">
            <v>Flat</v>
          </cell>
          <cell r="BG83" t="str">
            <v>Don't Use</v>
          </cell>
          <cell r="BH83" t="str">
            <v>Don't Use</v>
          </cell>
          <cell r="BI83" t="str">
            <v>Doing work internally</v>
          </cell>
          <cell r="BJ83" t="str">
            <v>Already using services provider</v>
          </cell>
          <cell r="BK83" t="str">
            <v>Already using services provider</v>
          </cell>
          <cell r="BL83" t="str">
            <v>Will use services provider 2H12</v>
          </cell>
          <cell r="BM83" t="str">
            <v>Doing work internally</v>
          </cell>
          <cell r="BN83" t="str">
            <v>Not Priority</v>
          </cell>
          <cell r="BO83" t="str">
            <v>Already using services provider</v>
          </cell>
          <cell r="BP83" t="str">
            <v>Not Priority</v>
          </cell>
          <cell r="BQ83" t="str">
            <v>Will use services provider 2H12</v>
          </cell>
          <cell r="BR83" t="str">
            <v>Doing work internally</v>
          </cell>
          <cell r="BS83" t="str">
            <v>Doing work internally</v>
          </cell>
          <cell r="BT83" t="str">
            <v>Not Priority</v>
          </cell>
          <cell r="BU83">
            <v>1</v>
          </cell>
          <cell r="BV83">
            <v>4</v>
          </cell>
          <cell r="BW83">
            <v>2</v>
          </cell>
          <cell r="BX83">
            <v>7</v>
          </cell>
          <cell r="BY83">
            <v>6</v>
          </cell>
          <cell r="BZ83">
            <v>5</v>
          </cell>
          <cell r="CA83">
            <v>3</v>
          </cell>
          <cell r="CB83" t="str">
            <v>No change in level of discounting</v>
          </cell>
        </row>
        <row r="84">
          <cell r="A84" t="str">
            <v>US</v>
          </cell>
          <cell r="B84" t="str">
            <v>Financial services</v>
          </cell>
          <cell r="C84" t="str">
            <v>$1-5 Billion</v>
          </cell>
          <cell r="D84" t="str">
            <v>&lt;$100 Million</v>
          </cell>
          <cell r="E84">
            <v>5</v>
          </cell>
          <cell r="F84">
            <v>5</v>
          </cell>
          <cell r="G84">
            <v>0</v>
          </cell>
          <cell r="H84">
            <v>5</v>
          </cell>
          <cell r="I84">
            <v>5</v>
          </cell>
          <cell r="J84">
            <v>0</v>
          </cell>
          <cell r="K84">
            <v>5</v>
          </cell>
          <cell r="L84">
            <v>7</v>
          </cell>
          <cell r="M84">
            <v>5</v>
          </cell>
          <cell r="N84">
            <v>-5</v>
          </cell>
          <cell r="O84">
            <v>4</v>
          </cell>
          <cell r="P84">
            <v>55</v>
          </cell>
          <cell r="Q84">
            <v>45</v>
          </cell>
          <cell r="R84">
            <v>50</v>
          </cell>
          <cell r="S84">
            <v>50</v>
          </cell>
          <cell r="T84" t="str">
            <v>HR applications</v>
          </cell>
          <cell r="U84" t="str">
            <v>Server upgrades</v>
          </cell>
          <cell r="W84" t="str">
            <v>ERP</v>
          </cell>
          <cell r="X84" t="str">
            <v>Software seats</v>
          </cell>
          <cell r="Z84" t="str">
            <v>‘No change’ to the budget is likely</v>
          </cell>
          <cell r="AA84" t="str">
            <v>HR app updates</v>
          </cell>
          <cell r="AB84" t="str">
            <v xml:space="preserve">Business continuity </v>
          </cell>
          <cell r="AC84" t="str">
            <v>No change in level of discounting</v>
          </cell>
          <cell r="AD84" t="str">
            <v>No Change</v>
          </cell>
          <cell r="AE84">
            <v>100</v>
          </cell>
          <cell r="AF84">
            <v>0</v>
          </cell>
          <cell r="AG84">
            <v>0</v>
          </cell>
          <cell r="AH84" t="str">
            <v>50/50</v>
          </cell>
          <cell r="AI84" t="str">
            <v>Over</v>
          </cell>
          <cell r="AJ84">
            <v>-8</v>
          </cell>
          <cell r="AK84">
            <v>5</v>
          </cell>
          <cell r="AL84">
            <v>1</v>
          </cell>
          <cell r="AM84">
            <v>10</v>
          </cell>
          <cell r="AN84">
            <v>-10</v>
          </cell>
          <cell r="AO84">
            <v>0</v>
          </cell>
          <cell r="AP84">
            <v>0</v>
          </cell>
          <cell r="AQ84">
            <v>0</v>
          </cell>
          <cell r="AR84" t="str">
            <v>Don't Use</v>
          </cell>
          <cell r="AS84" t="str">
            <v>Flat</v>
          </cell>
          <cell r="AT84" t="str">
            <v>Increase</v>
          </cell>
          <cell r="AU84" t="str">
            <v>Don't Use</v>
          </cell>
          <cell r="AV84" t="str">
            <v>Don't Use</v>
          </cell>
          <cell r="AW84" t="str">
            <v>Don't Use</v>
          </cell>
          <cell r="AX84" t="str">
            <v>Don't Use</v>
          </cell>
          <cell r="AY84" t="str">
            <v>Don't Use</v>
          </cell>
          <cell r="AZ84" t="str">
            <v>Don't Use</v>
          </cell>
          <cell r="BA84" t="str">
            <v>Flat</v>
          </cell>
          <cell r="BB84" t="str">
            <v>Flat</v>
          </cell>
          <cell r="BC84" t="str">
            <v>Don't Use</v>
          </cell>
          <cell r="BD84" t="str">
            <v>Don't Use</v>
          </cell>
          <cell r="BE84" t="str">
            <v>Don't Use</v>
          </cell>
          <cell r="BF84" t="str">
            <v>Flat</v>
          </cell>
          <cell r="BG84" t="str">
            <v>Flat</v>
          </cell>
          <cell r="BH84" t="str">
            <v>Don't Use</v>
          </cell>
          <cell r="BI84" t="str">
            <v>Not Priority</v>
          </cell>
          <cell r="BJ84" t="str">
            <v>Doing work internally</v>
          </cell>
          <cell r="BK84" t="str">
            <v>Not Priority</v>
          </cell>
          <cell r="BL84" t="str">
            <v>Not Priority</v>
          </cell>
          <cell r="BM84" t="str">
            <v>Doing work internally</v>
          </cell>
          <cell r="BN84" t="str">
            <v>Not Priority</v>
          </cell>
          <cell r="BO84" t="str">
            <v>Doing work internally</v>
          </cell>
          <cell r="BP84" t="str">
            <v>Not Priority</v>
          </cell>
          <cell r="BQ84" t="str">
            <v>Already using services provider</v>
          </cell>
          <cell r="BR84" t="str">
            <v>Not Priority</v>
          </cell>
          <cell r="BS84" t="str">
            <v>Doing work internally</v>
          </cell>
          <cell r="BT84" t="str">
            <v>Not Priority</v>
          </cell>
          <cell r="BU84">
            <v>5</v>
          </cell>
          <cell r="BV84">
            <v>6</v>
          </cell>
          <cell r="BW84">
            <v>4</v>
          </cell>
          <cell r="BX84">
            <v>7</v>
          </cell>
          <cell r="BY84">
            <v>2</v>
          </cell>
          <cell r="BZ84">
            <v>1</v>
          </cell>
          <cell r="CA84">
            <v>3</v>
          </cell>
          <cell r="CB84" t="str">
            <v>No change in level of discounting</v>
          </cell>
        </row>
        <row r="85">
          <cell r="A85" t="str">
            <v>US</v>
          </cell>
          <cell r="B85" t="str">
            <v>Financial services</v>
          </cell>
          <cell r="C85" t="str">
            <v>$5-10 Billion</v>
          </cell>
          <cell r="D85" t="str">
            <v>$300-400 Million</v>
          </cell>
          <cell r="E85">
            <v>10</v>
          </cell>
          <cell r="F85">
            <v>8</v>
          </cell>
          <cell r="G85">
            <v>3</v>
          </cell>
          <cell r="H85">
            <v>15</v>
          </cell>
          <cell r="I85">
            <v>10</v>
          </cell>
          <cell r="J85">
            <v>5</v>
          </cell>
          <cell r="K85">
            <v>10</v>
          </cell>
          <cell r="L85">
            <v>10</v>
          </cell>
          <cell r="M85">
            <v>8</v>
          </cell>
          <cell r="N85">
            <v>12</v>
          </cell>
          <cell r="O85">
            <v>8</v>
          </cell>
          <cell r="P85">
            <v>60</v>
          </cell>
          <cell r="Q85">
            <v>40</v>
          </cell>
          <cell r="R85">
            <v>60</v>
          </cell>
          <cell r="S85">
            <v>40</v>
          </cell>
          <cell r="T85" t="str">
            <v>PLM launch</v>
          </cell>
          <cell r="U85" t="str">
            <v>CRM</v>
          </cell>
          <cell r="V85" t="str">
            <v>Big data integrations</v>
          </cell>
          <cell r="W85" t="str">
            <v>Wireless initiative complete</v>
          </cell>
          <cell r="X85" t="str">
            <v xml:space="preserve">Multimedia support </v>
          </cell>
          <cell r="Y85" t="str">
            <v>Web applications</v>
          </cell>
          <cell r="Z85" t="str">
            <v>Upward revision is more likely</v>
          </cell>
          <cell r="AA85" t="str">
            <v>New Projects</v>
          </cell>
          <cell r="AB85" t="str">
            <v>Mission critical systems</v>
          </cell>
          <cell r="AC85" t="str">
            <v>Somewhat more aggressive in discounting</v>
          </cell>
          <cell r="AD85" t="str">
            <v>Somewhat quicker</v>
          </cell>
          <cell r="AE85">
            <v>85</v>
          </cell>
          <cell r="AF85">
            <v>15</v>
          </cell>
          <cell r="AG85">
            <v>0</v>
          </cell>
          <cell r="AH85" t="str">
            <v>60/40</v>
          </cell>
          <cell r="AI85" t="str">
            <v>Over</v>
          </cell>
          <cell r="AJ85">
            <v>5</v>
          </cell>
          <cell r="AK85">
            <v>2</v>
          </cell>
          <cell r="AL85">
            <v>12</v>
          </cell>
          <cell r="AM85">
            <v>10</v>
          </cell>
          <cell r="AN85">
            <v>10</v>
          </cell>
          <cell r="AO85">
            <v>7</v>
          </cell>
          <cell r="AP85">
            <v>0</v>
          </cell>
          <cell r="AQ85">
            <v>5</v>
          </cell>
          <cell r="AR85" t="str">
            <v>Flat</v>
          </cell>
          <cell r="AS85" t="str">
            <v>Don't Use</v>
          </cell>
          <cell r="AT85" t="str">
            <v>Flat</v>
          </cell>
          <cell r="AU85" t="str">
            <v>Don't Use</v>
          </cell>
          <cell r="AV85" t="str">
            <v>Flat</v>
          </cell>
          <cell r="AW85" t="str">
            <v>Don't Use</v>
          </cell>
          <cell r="AX85" t="str">
            <v>Don't Use</v>
          </cell>
          <cell r="AY85" t="str">
            <v>Don't Use</v>
          </cell>
          <cell r="AZ85" t="str">
            <v>Don't Use</v>
          </cell>
          <cell r="BA85" t="str">
            <v>Don't Use</v>
          </cell>
          <cell r="BB85" t="str">
            <v>Flat</v>
          </cell>
          <cell r="BC85" t="str">
            <v>Flat</v>
          </cell>
          <cell r="BD85" t="str">
            <v>Don't Use</v>
          </cell>
          <cell r="BE85" t="str">
            <v>Don't Use</v>
          </cell>
          <cell r="BF85" t="str">
            <v>Flat</v>
          </cell>
          <cell r="BG85" t="str">
            <v>Don't Use</v>
          </cell>
          <cell r="BH85" t="str">
            <v>Don't Use</v>
          </cell>
          <cell r="BI85" t="str">
            <v>Will use services provider 2H12</v>
          </cell>
          <cell r="BJ85" t="str">
            <v>Not Priority</v>
          </cell>
          <cell r="BK85" t="str">
            <v>Doing work internally</v>
          </cell>
          <cell r="BL85" t="str">
            <v>Not Priority</v>
          </cell>
          <cell r="BM85" t="str">
            <v>Not Priority</v>
          </cell>
          <cell r="BN85" t="str">
            <v>Already using services provider</v>
          </cell>
          <cell r="BO85" t="str">
            <v>Doing work internally</v>
          </cell>
          <cell r="BP85" t="str">
            <v>Not Priority</v>
          </cell>
          <cell r="BQ85" t="str">
            <v>Not Priority</v>
          </cell>
          <cell r="BR85" t="str">
            <v>Already using services provider</v>
          </cell>
          <cell r="BS85" t="str">
            <v>Doing work internally</v>
          </cell>
          <cell r="BT85" t="str">
            <v>Not Priority</v>
          </cell>
          <cell r="BU85">
            <v>2</v>
          </cell>
          <cell r="BV85">
            <v>6</v>
          </cell>
          <cell r="BW85">
            <v>3</v>
          </cell>
          <cell r="BX85">
            <v>5</v>
          </cell>
          <cell r="BY85">
            <v>7</v>
          </cell>
          <cell r="BZ85">
            <v>4</v>
          </cell>
          <cell r="CA85">
            <v>1</v>
          </cell>
          <cell r="CB85" t="str">
            <v>No change in level of discounting</v>
          </cell>
        </row>
        <row r="86">
          <cell r="A86" t="str">
            <v>US</v>
          </cell>
          <cell r="B86" t="str">
            <v>Financial services</v>
          </cell>
          <cell r="C86" t="str">
            <v>$1-5 Billion</v>
          </cell>
          <cell r="D86" t="str">
            <v>$200-300 Million</v>
          </cell>
          <cell r="E86">
            <v>8</v>
          </cell>
          <cell r="F86">
            <v>9</v>
          </cell>
          <cell r="G86">
            <v>8</v>
          </cell>
          <cell r="H86">
            <v>10</v>
          </cell>
          <cell r="I86">
            <v>8</v>
          </cell>
          <cell r="J86">
            <v>3</v>
          </cell>
          <cell r="K86">
            <v>5</v>
          </cell>
          <cell r="L86">
            <v>5</v>
          </cell>
          <cell r="M86">
            <v>5</v>
          </cell>
          <cell r="N86">
            <v>5</v>
          </cell>
          <cell r="O86">
            <v>6</v>
          </cell>
          <cell r="P86">
            <v>60</v>
          </cell>
          <cell r="Q86">
            <v>40</v>
          </cell>
          <cell r="R86">
            <v>50</v>
          </cell>
          <cell r="S86">
            <v>50</v>
          </cell>
          <cell r="T86" t="str">
            <v>Data Warehousing</v>
          </cell>
          <cell r="U86" t="str">
            <v>ERP</v>
          </cell>
          <cell r="V86" t="str">
            <v>PCs</v>
          </cell>
          <cell r="W86" t="str">
            <v>Business intelligence tools</v>
          </cell>
          <cell r="Z86" t="str">
            <v>‘No change’ to the budget is likely</v>
          </cell>
          <cell r="AA86" t="str">
            <v>NA / DK</v>
          </cell>
          <cell r="AB86" t="str">
            <v>NA / DK</v>
          </cell>
          <cell r="AC86" t="str">
            <v>Somewhat more aggressive in discounting</v>
          </cell>
          <cell r="AD86" t="str">
            <v>No Change</v>
          </cell>
          <cell r="AE86">
            <v>100</v>
          </cell>
          <cell r="AF86">
            <v>0</v>
          </cell>
          <cell r="AG86">
            <v>0</v>
          </cell>
          <cell r="AH86" t="str">
            <v>50/50</v>
          </cell>
          <cell r="AI86" t="str">
            <v>In-Line</v>
          </cell>
          <cell r="AJ86">
            <v>8</v>
          </cell>
          <cell r="AK86">
            <v>5</v>
          </cell>
          <cell r="AL86">
            <v>0</v>
          </cell>
          <cell r="AM86">
            <v>0</v>
          </cell>
          <cell r="AN86">
            <v>10</v>
          </cell>
          <cell r="AO86">
            <v>10</v>
          </cell>
          <cell r="AP86">
            <v>5</v>
          </cell>
          <cell r="AQ86">
            <v>5</v>
          </cell>
          <cell r="AR86" t="str">
            <v>Don't Use</v>
          </cell>
          <cell r="AS86" t="str">
            <v>Don't Use</v>
          </cell>
          <cell r="AT86" t="str">
            <v>Don't Use</v>
          </cell>
          <cell r="AU86" t="str">
            <v>Flat</v>
          </cell>
          <cell r="AV86" t="str">
            <v>Don't Use</v>
          </cell>
          <cell r="AW86" t="str">
            <v>Increase</v>
          </cell>
          <cell r="AX86" t="str">
            <v>Flat</v>
          </cell>
          <cell r="AY86" t="str">
            <v>Don't Use</v>
          </cell>
          <cell r="AZ86" t="str">
            <v>Flat</v>
          </cell>
          <cell r="BA86" t="str">
            <v>Increase</v>
          </cell>
          <cell r="BB86" t="str">
            <v>Flat</v>
          </cell>
          <cell r="BC86" t="str">
            <v>Don't Use</v>
          </cell>
          <cell r="BD86" t="str">
            <v>Don't Use</v>
          </cell>
          <cell r="BE86" t="str">
            <v>Don't Use</v>
          </cell>
          <cell r="BF86" t="str">
            <v>Don't Use</v>
          </cell>
          <cell r="BG86" t="str">
            <v>Don't Use</v>
          </cell>
          <cell r="BH86" t="str">
            <v>Don't Use</v>
          </cell>
          <cell r="BI86" t="str">
            <v>Will use services provider 2H12</v>
          </cell>
          <cell r="BJ86" t="str">
            <v>Not Priority</v>
          </cell>
          <cell r="BK86" t="str">
            <v>Not Priority</v>
          </cell>
          <cell r="BL86" t="str">
            <v>Already using services provider</v>
          </cell>
          <cell r="BM86" t="str">
            <v>Will use services provider 2H12</v>
          </cell>
          <cell r="BN86" t="str">
            <v>Doing work internally</v>
          </cell>
          <cell r="BO86" t="str">
            <v>Doing work internally</v>
          </cell>
          <cell r="BP86" t="str">
            <v>Doing work internally</v>
          </cell>
          <cell r="BQ86" t="str">
            <v>Not Priority</v>
          </cell>
          <cell r="BR86" t="str">
            <v>Not Priority</v>
          </cell>
          <cell r="BS86" t="str">
            <v>Already using services provider</v>
          </cell>
          <cell r="BT86" t="str">
            <v>Not Priority</v>
          </cell>
          <cell r="BU86">
            <v>6</v>
          </cell>
          <cell r="BV86">
            <v>5</v>
          </cell>
          <cell r="BW86">
            <v>3</v>
          </cell>
          <cell r="BX86">
            <v>1</v>
          </cell>
          <cell r="BY86">
            <v>7</v>
          </cell>
          <cell r="BZ86">
            <v>4</v>
          </cell>
          <cell r="CA86">
            <v>2</v>
          </cell>
          <cell r="CB86" t="str">
            <v>Somewhat more aggressive in discounting</v>
          </cell>
        </row>
        <row r="87">
          <cell r="A87" t="str">
            <v>US</v>
          </cell>
          <cell r="B87" t="str">
            <v>Financial services</v>
          </cell>
          <cell r="C87" t="str">
            <v>$5-10 Billion</v>
          </cell>
          <cell r="D87" t="str">
            <v>$100-200 Million</v>
          </cell>
          <cell r="E87">
            <v>7</v>
          </cell>
          <cell r="F87">
            <v>12</v>
          </cell>
          <cell r="G87">
            <v>10</v>
          </cell>
          <cell r="H87">
            <v>5</v>
          </cell>
          <cell r="I87">
            <v>7</v>
          </cell>
          <cell r="J87">
            <v>2</v>
          </cell>
          <cell r="K87">
            <v>10</v>
          </cell>
          <cell r="L87">
            <v>10</v>
          </cell>
          <cell r="M87">
            <v>15</v>
          </cell>
          <cell r="N87">
            <v>10</v>
          </cell>
          <cell r="O87">
            <v>8</v>
          </cell>
          <cell r="P87">
            <v>60</v>
          </cell>
          <cell r="Q87">
            <v>40</v>
          </cell>
          <cell r="R87">
            <v>60</v>
          </cell>
          <cell r="S87">
            <v>40</v>
          </cell>
          <cell r="T87" t="str">
            <v>NA / No Increase</v>
          </cell>
          <cell r="W87" t="str">
            <v>NA / No Decrease</v>
          </cell>
          <cell r="Z87" t="str">
            <v>Equal chance of upward or downward revision</v>
          </cell>
          <cell r="AA87" t="str">
            <v>ERP upgrade</v>
          </cell>
          <cell r="AB87" t="str">
            <v>VDI projects</v>
          </cell>
          <cell r="AC87" t="str">
            <v>Somewhat more aggressive in discounting</v>
          </cell>
          <cell r="AD87" t="str">
            <v>Somewhat longer</v>
          </cell>
          <cell r="AE87">
            <v>85</v>
          </cell>
          <cell r="AF87">
            <v>10</v>
          </cell>
          <cell r="AG87">
            <v>5</v>
          </cell>
          <cell r="AH87" t="str">
            <v>50/50</v>
          </cell>
          <cell r="AI87" t="str">
            <v>In-Line</v>
          </cell>
          <cell r="AJ87">
            <v>10</v>
          </cell>
          <cell r="AK87">
            <v>2</v>
          </cell>
          <cell r="AL87">
            <v>5</v>
          </cell>
          <cell r="AM87">
            <v>5</v>
          </cell>
          <cell r="AN87">
            <v>10</v>
          </cell>
          <cell r="AO87">
            <v>10</v>
          </cell>
          <cell r="AP87">
            <v>10</v>
          </cell>
          <cell r="AQ87">
            <v>12</v>
          </cell>
          <cell r="AR87" t="str">
            <v>Flat</v>
          </cell>
          <cell r="AS87" t="str">
            <v>Don't Use</v>
          </cell>
          <cell r="AT87" t="str">
            <v>Don't Use</v>
          </cell>
          <cell r="AU87" t="str">
            <v>Don't Use</v>
          </cell>
          <cell r="AV87" t="str">
            <v>Flat</v>
          </cell>
          <cell r="AW87" t="str">
            <v>Don't Use</v>
          </cell>
          <cell r="AX87" t="str">
            <v>Decrease</v>
          </cell>
          <cell r="AY87" t="str">
            <v>Don't Use</v>
          </cell>
          <cell r="AZ87" t="str">
            <v>Don't Use</v>
          </cell>
          <cell r="BA87" t="str">
            <v>Don't Use</v>
          </cell>
          <cell r="BB87" t="str">
            <v>Increase</v>
          </cell>
          <cell r="BC87" t="str">
            <v>Don't Use</v>
          </cell>
          <cell r="BD87" t="str">
            <v>Don't Use</v>
          </cell>
          <cell r="BE87" t="str">
            <v>Don't Use</v>
          </cell>
          <cell r="BF87" t="str">
            <v>Increase</v>
          </cell>
          <cell r="BG87" t="str">
            <v>Don't Use</v>
          </cell>
          <cell r="BH87" t="str">
            <v>Don't Use</v>
          </cell>
          <cell r="BI87" t="str">
            <v>Doing work internally</v>
          </cell>
          <cell r="BJ87" t="str">
            <v>Not Priority</v>
          </cell>
          <cell r="BK87" t="str">
            <v>Doing work internally</v>
          </cell>
          <cell r="BL87" t="str">
            <v>Doing work internally</v>
          </cell>
          <cell r="BM87" t="str">
            <v>Doing work internally</v>
          </cell>
          <cell r="BN87" t="str">
            <v>Doing work internally</v>
          </cell>
          <cell r="BO87" t="str">
            <v>Already using services provider</v>
          </cell>
          <cell r="BP87" t="str">
            <v>Will use services provider 2H12</v>
          </cell>
          <cell r="BQ87" t="str">
            <v>Will use services provider 2H12</v>
          </cell>
          <cell r="BR87" t="str">
            <v>Will use services provider 2H12</v>
          </cell>
          <cell r="BS87" t="str">
            <v>Not Priority</v>
          </cell>
          <cell r="BT87" t="str">
            <v>Doing work internally</v>
          </cell>
          <cell r="BU87">
            <v>4</v>
          </cell>
          <cell r="BV87">
            <v>7</v>
          </cell>
          <cell r="BW87">
            <v>1</v>
          </cell>
          <cell r="BX87">
            <v>2</v>
          </cell>
          <cell r="BY87">
            <v>3</v>
          </cell>
          <cell r="BZ87">
            <v>5</v>
          </cell>
          <cell r="CA87">
            <v>6</v>
          </cell>
          <cell r="CB87" t="str">
            <v>Somewhat less aggressive in discounting</v>
          </cell>
        </row>
        <row r="88">
          <cell r="A88" t="str">
            <v>US</v>
          </cell>
          <cell r="B88" t="str">
            <v>Financial services</v>
          </cell>
          <cell r="C88" t="str">
            <v>$1-5 Billion</v>
          </cell>
          <cell r="D88" t="str">
            <v>&lt;$100 Million</v>
          </cell>
          <cell r="E88">
            <v>-5</v>
          </cell>
          <cell r="F88">
            <v>-5</v>
          </cell>
          <cell r="G88">
            <v>-5</v>
          </cell>
          <cell r="H88">
            <v>-5</v>
          </cell>
          <cell r="I88">
            <v>-5</v>
          </cell>
          <cell r="J88">
            <v>-5</v>
          </cell>
          <cell r="K88">
            <v>-5</v>
          </cell>
          <cell r="L88">
            <v>-5</v>
          </cell>
          <cell r="M88">
            <v>-5</v>
          </cell>
          <cell r="N88">
            <v>-5</v>
          </cell>
          <cell r="O88">
            <v>3</v>
          </cell>
          <cell r="P88">
            <v>65</v>
          </cell>
          <cell r="Q88">
            <v>35</v>
          </cell>
          <cell r="R88">
            <v>70</v>
          </cell>
          <cell r="S88">
            <v>30</v>
          </cell>
          <cell r="T88" t="str">
            <v>Virtualization</v>
          </cell>
          <cell r="U88" t="str">
            <v>Compliance Issues</v>
          </cell>
          <cell r="V88" t="str">
            <v>Security</v>
          </cell>
          <cell r="W88" t="str">
            <v>NA / No Decrease</v>
          </cell>
          <cell r="Z88" t="str">
            <v>‘No change’ to the budget is likely</v>
          </cell>
          <cell r="AA88" t="str">
            <v>Security</v>
          </cell>
          <cell r="AB88" t="str">
            <v>Security</v>
          </cell>
          <cell r="AC88" t="str">
            <v>No change in level of discounting</v>
          </cell>
          <cell r="AD88" t="str">
            <v>No Change</v>
          </cell>
          <cell r="AE88">
            <v>92</v>
          </cell>
          <cell r="AF88">
            <v>8</v>
          </cell>
          <cell r="AG88">
            <v>0</v>
          </cell>
          <cell r="AH88" t="str">
            <v>30/70</v>
          </cell>
          <cell r="AI88" t="str">
            <v>In-Line</v>
          </cell>
          <cell r="AJ88">
            <v>-5</v>
          </cell>
          <cell r="AK88">
            <v>0</v>
          </cell>
          <cell r="AL88">
            <v>0</v>
          </cell>
          <cell r="AM88">
            <v>5</v>
          </cell>
          <cell r="AN88">
            <v>-5</v>
          </cell>
          <cell r="AO88">
            <v>0</v>
          </cell>
          <cell r="AP88">
            <v>0</v>
          </cell>
          <cell r="AQ88">
            <v>3</v>
          </cell>
          <cell r="AR88" t="str">
            <v>Don't Use</v>
          </cell>
          <cell r="AS88" t="str">
            <v>Decrease</v>
          </cell>
          <cell r="AT88" t="str">
            <v>Don't Use</v>
          </cell>
          <cell r="AU88" t="str">
            <v>Don't Use</v>
          </cell>
          <cell r="AV88" t="str">
            <v>Don't Use</v>
          </cell>
          <cell r="AW88" t="str">
            <v>Don't Use</v>
          </cell>
          <cell r="AX88" t="str">
            <v>Don't Use</v>
          </cell>
          <cell r="AY88" t="str">
            <v>Don't Use</v>
          </cell>
          <cell r="AZ88" t="str">
            <v>Flat</v>
          </cell>
          <cell r="BA88" t="str">
            <v>Decrease</v>
          </cell>
          <cell r="BB88" t="str">
            <v>Increase</v>
          </cell>
          <cell r="BC88" t="str">
            <v>Flat</v>
          </cell>
          <cell r="BD88" t="str">
            <v>Don't Use</v>
          </cell>
          <cell r="BE88" t="str">
            <v>Don't Use</v>
          </cell>
          <cell r="BF88" t="str">
            <v>Don't Use</v>
          </cell>
          <cell r="BG88" t="str">
            <v>Don't Use</v>
          </cell>
          <cell r="BH88" t="str">
            <v>Don't Use</v>
          </cell>
          <cell r="BI88" t="str">
            <v>Already using services provider</v>
          </cell>
          <cell r="BJ88" t="str">
            <v>Doing work internally</v>
          </cell>
          <cell r="BK88" t="str">
            <v>Will use services provider 2H12</v>
          </cell>
          <cell r="BL88" t="str">
            <v>Not Priority</v>
          </cell>
          <cell r="BM88" t="str">
            <v>Doing work internally</v>
          </cell>
          <cell r="BN88" t="str">
            <v>Doing work internally</v>
          </cell>
          <cell r="BO88" t="str">
            <v>Already using services provider</v>
          </cell>
          <cell r="BP88" t="str">
            <v>Doing work internally</v>
          </cell>
          <cell r="BQ88" t="str">
            <v>Already using services provider</v>
          </cell>
          <cell r="BR88" t="str">
            <v>Doing work internally</v>
          </cell>
          <cell r="BS88" t="str">
            <v>Not Priority</v>
          </cell>
          <cell r="BT88" t="str">
            <v>Not Priority</v>
          </cell>
          <cell r="BU88">
            <v>4</v>
          </cell>
          <cell r="BV88">
            <v>6</v>
          </cell>
          <cell r="BW88">
            <v>2</v>
          </cell>
          <cell r="BX88">
            <v>1</v>
          </cell>
          <cell r="BY88">
            <v>7</v>
          </cell>
          <cell r="BZ88">
            <v>3</v>
          </cell>
          <cell r="CA88">
            <v>5</v>
          </cell>
          <cell r="CB88" t="str">
            <v>No change in level of discounting</v>
          </cell>
        </row>
        <row r="89">
          <cell r="A89" t="str">
            <v>US</v>
          </cell>
          <cell r="B89" t="str">
            <v>Financial services</v>
          </cell>
          <cell r="C89" t="str">
            <v>$5-10 Billion</v>
          </cell>
          <cell r="D89" t="str">
            <v>$500-600 Million</v>
          </cell>
          <cell r="E89">
            <v>10</v>
          </cell>
          <cell r="F89">
            <v>5</v>
          </cell>
          <cell r="G89">
            <v>10</v>
          </cell>
          <cell r="H89">
            <v>7</v>
          </cell>
          <cell r="I89">
            <v>7</v>
          </cell>
          <cell r="J89">
            <v>10</v>
          </cell>
          <cell r="K89">
            <v>5</v>
          </cell>
          <cell r="L89">
            <v>5</v>
          </cell>
          <cell r="M89">
            <v>5</v>
          </cell>
          <cell r="N89">
            <v>5</v>
          </cell>
          <cell r="O89">
            <v>5</v>
          </cell>
          <cell r="P89">
            <v>65</v>
          </cell>
          <cell r="Q89">
            <v>45</v>
          </cell>
          <cell r="R89">
            <v>60</v>
          </cell>
          <cell r="S89">
            <v>40</v>
          </cell>
          <cell r="T89" t="str">
            <v>SOA infrastructure</v>
          </cell>
          <cell r="U89" t="str">
            <v>Financial apps</v>
          </cell>
          <cell r="V89" t="str">
            <v>Web based application integration</v>
          </cell>
          <cell r="W89" t="str">
            <v>WAN projects</v>
          </cell>
          <cell r="X89" t="str">
            <v>Wireless</v>
          </cell>
          <cell r="Z89" t="str">
            <v>‘No change’ to the budget is likely</v>
          </cell>
          <cell r="AA89" t="str">
            <v>Social networking apps</v>
          </cell>
          <cell r="AB89" t="str">
            <v>High ROI projects like server updrades</v>
          </cell>
          <cell r="AC89" t="str">
            <v>No change in level of discounting</v>
          </cell>
          <cell r="AD89" t="str">
            <v>Somewhat longer</v>
          </cell>
          <cell r="AE89" t="str">
            <v>NA / DK</v>
          </cell>
          <cell r="AF89" t="str">
            <v>NA / DK</v>
          </cell>
          <cell r="AG89" t="str">
            <v>NA / DK</v>
          </cell>
          <cell r="AH89" t="str">
            <v>50/50</v>
          </cell>
          <cell r="AI89" t="str">
            <v>In-Line</v>
          </cell>
          <cell r="AJ89">
            <v>10</v>
          </cell>
          <cell r="AK89" t="str">
            <v>NA / DK</v>
          </cell>
          <cell r="AL89">
            <v>10</v>
          </cell>
          <cell r="AM89">
            <v>0</v>
          </cell>
          <cell r="AN89">
            <v>5</v>
          </cell>
          <cell r="AO89" t="str">
            <v>NA / DK</v>
          </cell>
          <cell r="AP89">
            <v>13</v>
          </cell>
          <cell r="AQ89">
            <v>0</v>
          </cell>
          <cell r="AR89" t="str">
            <v>Flat</v>
          </cell>
          <cell r="AS89" t="str">
            <v>Don't Use</v>
          </cell>
          <cell r="AT89" t="str">
            <v>Don't Use</v>
          </cell>
          <cell r="AU89" t="str">
            <v>Don't Use</v>
          </cell>
          <cell r="AV89" t="str">
            <v>Don't Use</v>
          </cell>
          <cell r="AW89" t="str">
            <v>Increase</v>
          </cell>
          <cell r="AX89" t="str">
            <v>Don't Use</v>
          </cell>
          <cell r="AY89" t="str">
            <v>Don't Use</v>
          </cell>
          <cell r="AZ89" t="str">
            <v>Don't Use</v>
          </cell>
          <cell r="BA89" t="str">
            <v>Don't Use</v>
          </cell>
          <cell r="BB89" t="str">
            <v>Don't Use</v>
          </cell>
          <cell r="BC89" t="str">
            <v>Flat</v>
          </cell>
          <cell r="BD89" t="str">
            <v>Don't Use</v>
          </cell>
          <cell r="BE89" t="str">
            <v>Don't Use</v>
          </cell>
          <cell r="BF89" t="str">
            <v>Don't Use</v>
          </cell>
          <cell r="BG89" t="str">
            <v>Don't Use</v>
          </cell>
          <cell r="BH89" t="str">
            <v>Don't Use</v>
          </cell>
          <cell r="BI89" t="str">
            <v>Not Priority</v>
          </cell>
          <cell r="BJ89" t="str">
            <v>Not Priority</v>
          </cell>
          <cell r="BK89" t="str">
            <v>Doing work internally</v>
          </cell>
          <cell r="BL89" t="str">
            <v>Not Priority</v>
          </cell>
          <cell r="BM89" t="str">
            <v>Doing work internally</v>
          </cell>
          <cell r="BN89" t="str">
            <v>Not Priority</v>
          </cell>
          <cell r="BO89" t="str">
            <v>Doing work internally</v>
          </cell>
          <cell r="BP89" t="str">
            <v>Not Priority</v>
          </cell>
          <cell r="BQ89" t="str">
            <v>Not Priority</v>
          </cell>
          <cell r="BR89" t="str">
            <v>Not Priority</v>
          </cell>
          <cell r="BS89" t="str">
            <v>Doing work internally</v>
          </cell>
          <cell r="BT89" t="str">
            <v>Already using services provider</v>
          </cell>
          <cell r="BU89">
            <v>2</v>
          </cell>
          <cell r="BV89">
            <v>7</v>
          </cell>
          <cell r="BW89">
            <v>1</v>
          </cell>
          <cell r="BX89">
            <v>4</v>
          </cell>
          <cell r="BY89">
            <v>5</v>
          </cell>
          <cell r="BZ89">
            <v>3</v>
          </cell>
          <cell r="CA89">
            <v>6</v>
          </cell>
          <cell r="CB89" t="str">
            <v>No change in level of discounting</v>
          </cell>
        </row>
        <row r="90">
          <cell r="A90" t="str">
            <v>US</v>
          </cell>
          <cell r="B90" t="str">
            <v>Financial services</v>
          </cell>
          <cell r="C90" t="str">
            <v>$500 Million - $1 Billion</v>
          </cell>
          <cell r="D90" t="str">
            <v>&lt;$100 Million</v>
          </cell>
          <cell r="E90">
            <v>10</v>
          </cell>
          <cell r="F90">
            <v>10</v>
          </cell>
          <cell r="G90">
            <v>10</v>
          </cell>
          <cell r="H90">
            <v>10</v>
          </cell>
          <cell r="I90">
            <v>10</v>
          </cell>
          <cell r="J90">
            <v>8</v>
          </cell>
          <cell r="K90">
            <v>12</v>
          </cell>
          <cell r="L90">
            <v>0</v>
          </cell>
          <cell r="M90">
            <v>7</v>
          </cell>
          <cell r="N90">
            <v>0</v>
          </cell>
          <cell r="O90">
            <v>6</v>
          </cell>
          <cell r="P90">
            <v>70</v>
          </cell>
          <cell r="Q90">
            <v>30</v>
          </cell>
          <cell r="R90">
            <v>50</v>
          </cell>
          <cell r="S90">
            <v>50</v>
          </cell>
          <cell r="T90" t="str">
            <v>Data Center refresh</v>
          </cell>
          <cell r="U90" t="str">
            <v>Utility Computing</v>
          </cell>
          <cell r="V90" t="str">
            <v>Virtualization</v>
          </cell>
          <cell r="W90" t="str">
            <v>Outsourcing Initiatives</v>
          </cell>
          <cell r="X90" t="str">
            <v>Storage Growth</v>
          </cell>
          <cell r="Z90" t="str">
            <v>‘No change’ to the budget is likely</v>
          </cell>
          <cell r="AA90" t="str">
            <v>Utility computing</v>
          </cell>
          <cell r="AB90" t="str">
            <v>Data center upgrades</v>
          </cell>
          <cell r="AC90" t="str">
            <v>No change in level of discounting</v>
          </cell>
          <cell r="AD90" t="str">
            <v>Somewhat longer</v>
          </cell>
          <cell r="AE90">
            <v>50</v>
          </cell>
          <cell r="AF90">
            <v>50</v>
          </cell>
          <cell r="AG90">
            <v>0</v>
          </cell>
          <cell r="AH90" t="str">
            <v>50/50</v>
          </cell>
          <cell r="AI90" t="str">
            <v>In-Line</v>
          </cell>
          <cell r="AJ90">
            <v>10</v>
          </cell>
          <cell r="AK90">
            <v>7</v>
          </cell>
          <cell r="AL90">
            <v>0</v>
          </cell>
          <cell r="AM90">
            <v>5</v>
          </cell>
          <cell r="AN90">
            <v>3</v>
          </cell>
          <cell r="AO90">
            <v>5</v>
          </cell>
          <cell r="AP90">
            <v>5</v>
          </cell>
          <cell r="AQ90">
            <v>0</v>
          </cell>
          <cell r="AR90" t="str">
            <v>Flat</v>
          </cell>
          <cell r="AS90" t="str">
            <v>Don't Use</v>
          </cell>
          <cell r="AT90" t="str">
            <v>Don't Use</v>
          </cell>
          <cell r="AU90" t="str">
            <v>Don't Use</v>
          </cell>
          <cell r="AV90" t="str">
            <v>Don't Use</v>
          </cell>
          <cell r="AW90" t="str">
            <v>Flat</v>
          </cell>
          <cell r="AX90" t="str">
            <v>Don't Use</v>
          </cell>
          <cell r="AY90" t="str">
            <v>Don't Use</v>
          </cell>
          <cell r="AZ90" t="str">
            <v>Don't Use</v>
          </cell>
          <cell r="BA90" t="str">
            <v>Don't Use</v>
          </cell>
          <cell r="BB90" t="str">
            <v>Flat</v>
          </cell>
          <cell r="BC90" t="str">
            <v>Flat</v>
          </cell>
          <cell r="BD90" t="str">
            <v>Don't Use</v>
          </cell>
          <cell r="BE90" t="str">
            <v>Don't Use</v>
          </cell>
          <cell r="BF90" t="str">
            <v>Don't Use</v>
          </cell>
          <cell r="BG90" t="str">
            <v>Don't Use</v>
          </cell>
          <cell r="BH90" t="str">
            <v>Don't Use</v>
          </cell>
          <cell r="BI90" t="str">
            <v>Doing work internally</v>
          </cell>
          <cell r="BJ90" t="str">
            <v>Doing work internally</v>
          </cell>
          <cell r="BK90" t="str">
            <v>Not Priority</v>
          </cell>
          <cell r="BL90" t="str">
            <v>Already using services provider</v>
          </cell>
          <cell r="BM90" t="str">
            <v>Not Priority</v>
          </cell>
          <cell r="BN90" t="str">
            <v>Not Priority</v>
          </cell>
          <cell r="BO90" t="str">
            <v>Doing work internally</v>
          </cell>
          <cell r="BP90" t="str">
            <v>Not Priority</v>
          </cell>
          <cell r="BQ90" t="str">
            <v>Doing work internally</v>
          </cell>
          <cell r="BR90" t="str">
            <v>Not Priority</v>
          </cell>
          <cell r="BS90" t="str">
            <v>Doing work internally</v>
          </cell>
          <cell r="BT90" t="str">
            <v>Not Priority</v>
          </cell>
          <cell r="BU90">
            <v>4</v>
          </cell>
          <cell r="BW90">
            <v>1</v>
          </cell>
          <cell r="BX90">
            <v>2</v>
          </cell>
          <cell r="BY90">
            <v>3</v>
          </cell>
          <cell r="BZ90">
            <v>6</v>
          </cell>
          <cell r="CA90">
            <v>5</v>
          </cell>
          <cell r="CB90" t="str">
            <v>No change in level of discounting</v>
          </cell>
        </row>
        <row r="91">
          <cell r="A91" t="str">
            <v>US</v>
          </cell>
          <cell r="B91" t="str">
            <v>Healthcare</v>
          </cell>
          <cell r="C91" t="str">
            <v>$5-10 Billion</v>
          </cell>
          <cell r="D91" t="str">
            <v>&lt;$100 Million</v>
          </cell>
          <cell r="E91">
            <v>8</v>
          </cell>
          <cell r="F91">
            <v>3</v>
          </cell>
          <cell r="G91">
            <v>3</v>
          </cell>
          <cell r="H91">
            <v>5</v>
          </cell>
          <cell r="I91">
            <v>5</v>
          </cell>
          <cell r="J91">
            <v>5</v>
          </cell>
          <cell r="K91">
            <v>3</v>
          </cell>
          <cell r="L91">
            <v>3</v>
          </cell>
          <cell r="M91">
            <v>3</v>
          </cell>
          <cell r="N91">
            <v>7</v>
          </cell>
          <cell r="O91">
            <v>5</v>
          </cell>
          <cell r="P91">
            <v>35</v>
          </cell>
          <cell r="Q91">
            <v>65</v>
          </cell>
          <cell r="R91">
            <v>45</v>
          </cell>
          <cell r="S91">
            <v>55</v>
          </cell>
          <cell r="T91" t="str">
            <v>EHR project</v>
          </cell>
          <cell r="U91" t="str">
            <v>ICD-10</v>
          </cell>
          <cell r="V91" t="str">
            <v>Physician access</v>
          </cell>
          <cell r="W91" t="str">
            <v>PCs</v>
          </cell>
          <cell r="X91" t="str">
            <v>Windows upgrades</v>
          </cell>
          <cell r="Z91" t="str">
            <v>Equal chance of upward or downward revision</v>
          </cell>
          <cell r="AA91" t="str">
            <v>Cloud intiatives</v>
          </cell>
          <cell r="AB91" t="str">
            <v>Core infrastructure</v>
          </cell>
          <cell r="AC91" t="str">
            <v>Somewhat more aggressive in discounting</v>
          </cell>
          <cell r="AD91" t="str">
            <v>Somewhat longer</v>
          </cell>
          <cell r="AE91">
            <v>50</v>
          </cell>
          <cell r="AF91">
            <v>15</v>
          </cell>
          <cell r="AG91">
            <v>35</v>
          </cell>
          <cell r="AH91" t="str">
            <v>50/50</v>
          </cell>
          <cell r="AI91" t="str">
            <v>In-Line</v>
          </cell>
          <cell r="AJ91">
            <v>13</v>
          </cell>
          <cell r="AK91" t="str">
            <v>NA / DK</v>
          </cell>
          <cell r="AL91">
            <v>10</v>
          </cell>
          <cell r="AM91">
            <v>5</v>
          </cell>
          <cell r="AN91">
            <v>5</v>
          </cell>
          <cell r="AO91" t="str">
            <v>NA / DK</v>
          </cell>
          <cell r="AP91">
            <v>5</v>
          </cell>
          <cell r="AQ91">
            <v>5</v>
          </cell>
          <cell r="AR91" t="str">
            <v>Don't Use</v>
          </cell>
          <cell r="AS91" t="str">
            <v>Don't Use</v>
          </cell>
          <cell r="AT91" t="str">
            <v>Flat</v>
          </cell>
          <cell r="AU91" t="str">
            <v>Don't Use</v>
          </cell>
          <cell r="AV91" t="str">
            <v>Don't Use</v>
          </cell>
          <cell r="AW91" t="str">
            <v>Don't Use</v>
          </cell>
          <cell r="AX91" t="str">
            <v>Don't Use</v>
          </cell>
          <cell r="AY91" t="str">
            <v>Don't Use</v>
          </cell>
          <cell r="AZ91" t="str">
            <v>Don't Use</v>
          </cell>
          <cell r="BA91" t="str">
            <v>Don't Use</v>
          </cell>
          <cell r="BB91" t="str">
            <v>Don't Use</v>
          </cell>
          <cell r="BC91" t="str">
            <v>Don't Use</v>
          </cell>
          <cell r="BD91" t="str">
            <v>Don't Use</v>
          </cell>
          <cell r="BE91" t="str">
            <v>Don't Use</v>
          </cell>
          <cell r="BF91" t="str">
            <v>Don't Use</v>
          </cell>
          <cell r="BG91" t="str">
            <v>Flat</v>
          </cell>
          <cell r="BH91" t="str">
            <v>Don't Use</v>
          </cell>
          <cell r="BI91" t="str">
            <v>Not Priority</v>
          </cell>
          <cell r="BJ91" t="str">
            <v>Doing work internally</v>
          </cell>
          <cell r="BK91" t="str">
            <v>Already using services provider</v>
          </cell>
          <cell r="BL91" t="str">
            <v>Not Priority</v>
          </cell>
          <cell r="BM91" t="str">
            <v>Not Priority</v>
          </cell>
          <cell r="BN91" t="str">
            <v>Doing work internally</v>
          </cell>
          <cell r="BO91" t="str">
            <v>Doing work internally</v>
          </cell>
          <cell r="BP91" t="str">
            <v>Not Priority</v>
          </cell>
          <cell r="BQ91" t="str">
            <v>Doing work internally</v>
          </cell>
          <cell r="BR91" t="str">
            <v>Already using services provider</v>
          </cell>
          <cell r="BS91" t="str">
            <v>Not Priority</v>
          </cell>
          <cell r="BT91" t="str">
            <v>Not Priority</v>
          </cell>
          <cell r="BU91">
            <v>2</v>
          </cell>
          <cell r="BV91">
            <v>7</v>
          </cell>
          <cell r="BW91">
            <v>6</v>
          </cell>
          <cell r="BX91">
            <v>1</v>
          </cell>
          <cell r="BY91">
            <v>4</v>
          </cell>
          <cell r="BZ91">
            <v>3</v>
          </cell>
          <cell r="CA91">
            <v>5</v>
          </cell>
          <cell r="CB91" t="str">
            <v>Significantly more aggressive in discounting</v>
          </cell>
        </row>
        <row r="92">
          <cell r="A92" t="str">
            <v>US</v>
          </cell>
          <cell r="B92" t="str">
            <v>Healthcare</v>
          </cell>
          <cell r="C92" t="str">
            <v>$500 Million - $1 Billion</v>
          </cell>
          <cell r="D92" t="str">
            <v>&lt;$100 Million</v>
          </cell>
          <cell r="E92">
            <v>5</v>
          </cell>
          <cell r="F92">
            <v>5</v>
          </cell>
          <cell r="G92">
            <v>2</v>
          </cell>
          <cell r="H92">
            <v>5</v>
          </cell>
          <cell r="I92">
            <v>1</v>
          </cell>
          <cell r="J92">
            <v>10</v>
          </cell>
          <cell r="K92">
            <v>0</v>
          </cell>
          <cell r="L92">
            <v>5</v>
          </cell>
          <cell r="M92">
            <v>2</v>
          </cell>
          <cell r="N92">
            <v>5</v>
          </cell>
          <cell r="O92">
            <v>8</v>
          </cell>
          <cell r="P92">
            <v>40</v>
          </cell>
          <cell r="Q92">
            <v>60</v>
          </cell>
          <cell r="R92">
            <v>60</v>
          </cell>
          <cell r="S92">
            <v>40</v>
          </cell>
          <cell r="T92" t="str">
            <v>Clinical automation applications</v>
          </cell>
          <cell r="U92" t="str">
            <v>Mobile hardware</v>
          </cell>
          <cell r="W92" t="str">
            <v>Network upgrades and network equipment</v>
          </cell>
          <cell r="Z92" t="str">
            <v>Equal chance of upward or downward revision</v>
          </cell>
          <cell r="AA92" t="str">
            <v>Web applications</v>
          </cell>
          <cell r="AB92" t="str">
            <v>Clinical apps</v>
          </cell>
          <cell r="AC92" t="str">
            <v>Somewhat less aggressive in discounting</v>
          </cell>
          <cell r="AD92" t="str">
            <v>Somewhat longer</v>
          </cell>
          <cell r="AE92">
            <v>90</v>
          </cell>
          <cell r="AF92">
            <v>10</v>
          </cell>
          <cell r="AG92">
            <v>0</v>
          </cell>
          <cell r="AH92" t="str">
            <v>40/60</v>
          </cell>
          <cell r="AI92" t="str">
            <v>In-Line</v>
          </cell>
          <cell r="AJ92">
            <v>5</v>
          </cell>
          <cell r="AK92">
            <v>0</v>
          </cell>
          <cell r="AL92">
            <v>0</v>
          </cell>
          <cell r="AM92">
            <v>0</v>
          </cell>
          <cell r="AN92">
            <v>5</v>
          </cell>
          <cell r="AO92">
            <v>0</v>
          </cell>
          <cell r="AP92">
            <v>0</v>
          </cell>
          <cell r="AQ92">
            <v>0</v>
          </cell>
          <cell r="AR92" t="str">
            <v>Don't Use</v>
          </cell>
          <cell r="AS92" t="str">
            <v>Don't Use</v>
          </cell>
          <cell r="AT92" t="str">
            <v>Don't Use</v>
          </cell>
          <cell r="AU92" t="str">
            <v>Don't Use</v>
          </cell>
          <cell r="AV92" t="str">
            <v>Don't Use</v>
          </cell>
          <cell r="AW92" t="str">
            <v>Don't Use</v>
          </cell>
          <cell r="AX92" t="str">
            <v>Don't Use</v>
          </cell>
          <cell r="AY92" t="str">
            <v>Don't Use</v>
          </cell>
          <cell r="AZ92" t="str">
            <v>Don't Use</v>
          </cell>
          <cell r="BA92" t="str">
            <v>Flat</v>
          </cell>
          <cell r="BB92" t="str">
            <v>Flat</v>
          </cell>
          <cell r="BC92" t="str">
            <v>Don't Use</v>
          </cell>
          <cell r="BD92" t="str">
            <v>Don't Use</v>
          </cell>
          <cell r="BE92" t="str">
            <v>Don't Use</v>
          </cell>
          <cell r="BF92" t="str">
            <v>Don't Use</v>
          </cell>
          <cell r="BG92" t="str">
            <v>Don't Use</v>
          </cell>
          <cell r="BH92" t="str">
            <v>Don't Use</v>
          </cell>
          <cell r="BI92" t="str">
            <v>Already using services provider</v>
          </cell>
          <cell r="BJ92" t="str">
            <v>Doing work internally</v>
          </cell>
          <cell r="BK92" t="str">
            <v>Doing work internally</v>
          </cell>
          <cell r="BL92" t="str">
            <v>Already using services provider</v>
          </cell>
          <cell r="BM92" t="str">
            <v>Already using services provider</v>
          </cell>
          <cell r="BN92" t="str">
            <v>Not Priority</v>
          </cell>
          <cell r="BO92" t="str">
            <v>Already using services provider</v>
          </cell>
          <cell r="BP92" t="str">
            <v>Not Priority</v>
          </cell>
          <cell r="BQ92" t="str">
            <v>Already using services provider</v>
          </cell>
          <cell r="BR92" t="str">
            <v>Not Priority</v>
          </cell>
          <cell r="BS92" t="str">
            <v>Not Priority</v>
          </cell>
          <cell r="BT92" t="str">
            <v>Not Priority</v>
          </cell>
          <cell r="BU92">
            <v>3</v>
          </cell>
          <cell r="BV92">
            <v>7</v>
          </cell>
          <cell r="BW92">
            <v>2</v>
          </cell>
          <cell r="BX92">
            <v>5</v>
          </cell>
          <cell r="BY92">
            <v>6</v>
          </cell>
          <cell r="BZ92">
            <v>4</v>
          </cell>
          <cell r="CA92">
            <v>1</v>
          </cell>
          <cell r="CB92" t="str">
            <v>Somewhat more aggressive in discounting</v>
          </cell>
        </row>
        <row r="93">
          <cell r="A93" t="str">
            <v>US</v>
          </cell>
          <cell r="B93" t="str">
            <v>Healthcare</v>
          </cell>
          <cell r="C93" t="str">
            <v>&gt;$20 Billion</v>
          </cell>
          <cell r="D93" t="str">
            <v>&gt;$700 Million</v>
          </cell>
          <cell r="E93">
            <v>5</v>
          </cell>
          <cell r="F93">
            <v>5</v>
          </cell>
          <cell r="G93">
            <v>5</v>
          </cell>
          <cell r="H93">
            <v>2</v>
          </cell>
          <cell r="I93">
            <v>0</v>
          </cell>
          <cell r="J93">
            <v>0</v>
          </cell>
          <cell r="K93">
            <v>5</v>
          </cell>
          <cell r="L93">
            <v>5</v>
          </cell>
          <cell r="M93">
            <v>0</v>
          </cell>
          <cell r="N93">
            <v>0</v>
          </cell>
          <cell r="O93">
            <v>5</v>
          </cell>
          <cell r="P93">
            <v>40</v>
          </cell>
          <cell r="Q93">
            <v>60</v>
          </cell>
          <cell r="R93">
            <v>50</v>
          </cell>
          <cell r="S93">
            <v>50</v>
          </cell>
          <cell r="T93" t="str">
            <v>Tech refresh</v>
          </cell>
          <cell r="W93" t="str">
            <v>NA / No Decrease</v>
          </cell>
          <cell r="Z93" t="str">
            <v>‘No change’ to the budget is likely</v>
          </cell>
          <cell r="AA93" t="str">
            <v>Clinical Data Warehouse</v>
          </cell>
          <cell r="AB93" t="str">
            <v>Physician EMR</v>
          </cell>
          <cell r="AC93" t="str">
            <v>Somewhat more aggressive in discounting</v>
          </cell>
          <cell r="AD93" t="str">
            <v>Somewhat longer</v>
          </cell>
          <cell r="AE93">
            <v>70</v>
          </cell>
          <cell r="AF93">
            <v>30</v>
          </cell>
          <cell r="AG93">
            <v>0</v>
          </cell>
          <cell r="AH93" t="str">
            <v>50/50</v>
          </cell>
          <cell r="AI93" t="str">
            <v>In-Line</v>
          </cell>
          <cell r="AJ93">
            <v>5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 t="str">
            <v>Don't Use</v>
          </cell>
          <cell r="AS93" t="str">
            <v>Don't Use</v>
          </cell>
          <cell r="AT93" t="str">
            <v>Don't Use</v>
          </cell>
          <cell r="AU93" t="str">
            <v>Don't Use</v>
          </cell>
          <cell r="AV93" t="str">
            <v>Don't Use</v>
          </cell>
          <cell r="AW93" t="str">
            <v>Don't Use</v>
          </cell>
          <cell r="AX93" t="str">
            <v>Flat</v>
          </cell>
          <cell r="AY93" t="str">
            <v>Don't Use</v>
          </cell>
          <cell r="AZ93" t="str">
            <v>Don't Use</v>
          </cell>
          <cell r="BA93" t="str">
            <v>Decrease</v>
          </cell>
          <cell r="BB93" t="str">
            <v>Decrease</v>
          </cell>
          <cell r="BC93" t="str">
            <v>Flat</v>
          </cell>
          <cell r="BD93" t="str">
            <v>Don't Use</v>
          </cell>
          <cell r="BE93" t="str">
            <v>Don't Use</v>
          </cell>
          <cell r="BF93" t="str">
            <v>Don't Use</v>
          </cell>
          <cell r="BG93" t="str">
            <v>Flat</v>
          </cell>
          <cell r="BH93" t="str">
            <v>Don't Use</v>
          </cell>
          <cell r="BI93" t="str">
            <v>Doing work internally</v>
          </cell>
          <cell r="BJ93" t="str">
            <v>Doing work internally</v>
          </cell>
          <cell r="BK93" t="str">
            <v>Doing work internally</v>
          </cell>
          <cell r="BL93" t="str">
            <v>Not Priority</v>
          </cell>
          <cell r="BM93" t="str">
            <v>Doing work internally</v>
          </cell>
          <cell r="BN93" t="str">
            <v>Not Priority</v>
          </cell>
          <cell r="BO93" t="str">
            <v>Doing work internally</v>
          </cell>
          <cell r="BP93" t="str">
            <v>Not Priority</v>
          </cell>
          <cell r="BQ93" t="str">
            <v>Not Priority</v>
          </cell>
          <cell r="BR93" t="str">
            <v>Doing work internally</v>
          </cell>
          <cell r="BS93" t="str">
            <v>Not Priority</v>
          </cell>
          <cell r="BT93" t="str">
            <v>Already using services provider</v>
          </cell>
          <cell r="BU93">
            <v>1</v>
          </cell>
          <cell r="BV93">
            <v>6</v>
          </cell>
          <cell r="BW93">
            <v>2</v>
          </cell>
          <cell r="BX93">
            <v>5</v>
          </cell>
          <cell r="BY93">
            <v>7</v>
          </cell>
          <cell r="BZ93">
            <v>3</v>
          </cell>
          <cell r="CA93">
            <v>4</v>
          </cell>
          <cell r="CB93" t="str">
            <v>No change in level of discounting</v>
          </cell>
        </row>
        <row r="94">
          <cell r="A94" t="str">
            <v>US</v>
          </cell>
          <cell r="B94" t="str">
            <v>Healthcare</v>
          </cell>
          <cell r="C94" t="str">
            <v>$5-10 Billion</v>
          </cell>
          <cell r="D94" t="str">
            <v>$100-200 Million</v>
          </cell>
          <cell r="E94">
            <v>10</v>
          </cell>
          <cell r="F94">
            <v>5</v>
          </cell>
          <cell r="G94">
            <v>7</v>
          </cell>
          <cell r="H94">
            <v>10</v>
          </cell>
          <cell r="I94">
            <v>2</v>
          </cell>
          <cell r="J94">
            <v>5</v>
          </cell>
          <cell r="K94">
            <v>2</v>
          </cell>
          <cell r="L94">
            <v>6</v>
          </cell>
          <cell r="M94">
            <v>3</v>
          </cell>
          <cell r="N94">
            <v>2</v>
          </cell>
          <cell r="O94">
            <v>3</v>
          </cell>
          <cell r="P94">
            <v>50</v>
          </cell>
          <cell r="Q94">
            <v>50</v>
          </cell>
          <cell r="R94">
            <v>40</v>
          </cell>
          <cell r="S94">
            <v>60</v>
          </cell>
          <cell r="T94" t="str">
            <v>Open source health information exchanges</v>
          </cell>
          <cell r="U94" t="str">
            <v>EHR (Electronic Health Records) systems</v>
          </cell>
          <cell r="V94" t="str">
            <v>Increase storage capacity</v>
          </cell>
          <cell r="W94" t="str">
            <v>Completed some web based projects</v>
          </cell>
          <cell r="Z94" t="str">
            <v>Upward revision is more likely</v>
          </cell>
          <cell r="AA94" t="str">
            <v>NA / DK</v>
          </cell>
          <cell r="AB94" t="str">
            <v>NA / DK</v>
          </cell>
          <cell r="AC94" t="str">
            <v>Somewhat less aggressive in discounting</v>
          </cell>
          <cell r="AD94" t="str">
            <v>No Change</v>
          </cell>
          <cell r="AE94">
            <v>100</v>
          </cell>
          <cell r="AF94">
            <v>0</v>
          </cell>
          <cell r="AG94">
            <v>0</v>
          </cell>
          <cell r="AH94" t="str">
            <v>70/30</v>
          </cell>
          <cell r="AI94" t="str">
            <v>In-Line</v>
          </cell>
          <cell r="AJ94">
            <v>10</v>
          </cell>
          <cell r="AK94">
            <v>5</v>
          </cell>
          <cell r="AL94">
            <v>5</v>
          </cell>
          <cell r="AM94">
            <v>0</v>
          </cell>
          <cell r="AN94">
            <v>5</v>
          </cell>
          <cell r="AO94">
            <v>3</v>
          </cell>
          <cell r="AP94">
            <v>0</v>
          </cell>
          <cell r="AQ94">
            <v>0</v>
          </cell>
          <cell r="AR94" t="str">
            <v>Don't Use</v>
          </cell>
          <cell r="AS94" t="str">
            <v>Don't Use</v>
          </cell>
          <cell r="AT94" t="str">
            <v>Don't Use</v>
          </cell>
          <cell r="AU94" t="str">
            <v>Don't Use</v>
          </cell>
          <cell r="AV94" t="str">
            <v>Don't Use</v>
          </cell>
          <cell r="AW94" t="str">
            <v>Don't Use</v>
          </cell>
          <cell r="AX94" t="str">
            <v>Flat</v>
          </cell>
          <cell r="AY94" t="str">
            <v>Don't Use</v>
          </cell>
          <cell r="AZ94" t="str">
            <v>Don't Use</v>
          </cell>
          <cell r="BA94" t="str">
            <v>Decrease</v>
          </cell>
          <cell r="BB94" t="str">
            <v>Flat</v>
          </cell>
          <cell r="BC94" t="str">
            <v>Don't Use</v>
          </cell>
          <cell r="BD94" t="str">
            <v>Don't Use</v>
          </cell>
          <cell r="BE94" t="str">
            <v>Don't Use</v>
          </cell>
          <cell r="BF94" t="str">
            <v>Don't Use</v>
          </cell>
          <cell r="BG94" t="str">
            <v>Don't Use</v>
          </cell>
          <cell r="BH94" t="str">
            <v>Don't Use</v>
          </cell>
          <cell r="BI94" t="str">
            <v>Doing work internally</v>
          </cell>
          <cell r="BJ94" t="str">
            <v>Doing work internally</v>
          </cell>
          <cell r="BK94" t="str">
            <v>Doing work internally</v>
          </cell>
          <cell r="BL94" t="str">
            <v>Doing work internally</v>
          </cell>
          <cell r="BM94" t="str">
            <v>Doing work internally</v>
          </cell>
          <cell r="BN94" t="str">
            <v>Already using services provider</v>
          </cell>
          <cell r="BO94" t="str">
            <v>Doing work internally</v>
          </cell>
          <cell r="BP94" t="str">
            <v>Already using services provider</v>
          </cell>
          <cell r="BQ94" t="str">
            <v>Already using services provider</v>
          </cell>
          <cell r="BR94" t="str">
            <v>Not Priority</v>
          </cell>
          <cell r="BS94" t="str">
            <v>Not Priority</v>
          </cell>
          <cell r="BT94" t="str">
            <v>Not Priority</v>
          </cell>
          <cell r="BU94">
            <v>1</v>
          </cell>
          <cell r="BV94">
            <v>5</v>
          </cell>
          <cell r="BW94">
            <v>2</v>
          </cell>
          <cell r="BX94">
            <v>4</v>
          </cell>
          <cell r="BY94">
            <v>7</v>
          </cell>
          <cell r="BZ94">
            <v>3</v>
          </cell>
          <cell r="CA94">
            <v>6</v>
          </cell>
          <cell r="CB94" t="str">
            <v>No change in level of discounting</v>
          </cell>
        </row>
        <row r="95">
          <cell r="A95" t="str">
            <v>US</v>
          </cell>
          <cell r="B95" t="str">
            <v>Healthcare</v>
          </cell>
          <cell r="C95" t="str">
            <v>$1-5 Billion</v>
          </cell>
          <cell r="D95" t="str">
            <v>&lt;$100 Million</v>
          </cell>
          <cell r="E95">
            <v>9</v>
          </cell>
          <cell r="F95">
            <v>10</v>
          </cell>
          <cell r="G95">
            <v>10</v>
          </cell>
          <cell r="H95">
            <v>1</v>
          </cell>
          <cell r="I95">
            <v>10</v>
          </cell>
          <cell r="J95">
            <v>5</v>
          </cell>
          <cell r="K95">
            <v>5</v>
          </cell>
          <cell r="L95">
            <v>10</v>
          </cell>
          <cell r="M95">
            <v>5</v>
          </cell>
          <cell r="N95">
            <v>5</v>
          </cell>
          <cell r="O95">
            <v>5</v>
          </cell>
          <cell r="P95">
            <v>50</v>
          </cell>
          <cell r="Q95">
            <v>50</v>
          </cell>
          <cell r="R95">
            <v>50</v>
          </cell>
          <cell r="S95">
            <v>50</v>
          </cell>
          <cell r="T95" t="str">
            <v>Handhelds</v>
          </cell>
          <cell r="U95" t="str">
            <v>Bedside network access</v>
          </cell>
          <cell r="V95" t="str">
            <v>Billing software</v>
          </cell>
          <cell r="W95" t="str">
            <v>Network infrastructure maintenance</v>
          </cell>
          <cell r="X95" t="str">
            <v>Data consolidatio</v>
          </cell>
          <cell r="Y95" t="str">
            <v>EHR projects</v>
          </cell>
          <cell r="Z95" t="str">
            <v>‘No change’ to the budget is likely</v>
          </cell>
          <cell r="AA95" t="str">
            <v>NA / DK</v>
          </cell>
          <cell r="AB95" t="str">
            <v>NA / DK</v>
          </cell>
          <cell r="AC95" t="str">
            <v>Somewhat more aggressive in discounting</v>
          </cell>
          <cell r="AD95" t="str">
            <v>No Change</v>
          </cell>
          <cell r="AE95">
            <v>85</v>
          </cell>
          <cell r="AF95">
            <v>0</v>
          </cell>
          <cell r="AG95">
            <v>15</v>
          </cell>
          <cell r="AH95" t="str">
            <v>60/40</v>
          </cell>
          <cell r="AI95" t="str">
            <v>In-Line</v>
          </cell>
          <cell r="AJ95">
            <v>7</v>
          </cell>
          <cell r="AK95" t="str">
            <v>NA / DK</v>
          </cell>
          <cell r="AL95" t="str">
            <v>NA / DK</v>
          </cell>
          <cell r="AM95" t="str">
            <v>NA / DK</v>
          </cell>
          <cell r="AN95">
            <v>8</v>
          </cell>
          <cell r="AO95">
            <v>15</v>
          </cell>
          <cell r="AP95">
            <v>5</v>
          </cell>
          <cell r="AQ95" t="str">
            <v>NA / DK</v>
          </cell>
          <cell r="AR95" t="str">
            <v>Flat</v>
          </cell>
          <cell r="AS95" t="str">
            <v>Flat</v>
          </cell>
          <cell r="AT95" t="str">
            <v>Flat</v>
          </cell>
          <cell r="AU95" t="str">
            <v>Don't Use</v>
          </cell>
          <cell r="AV95" t="str">
            <v>Don't Use</v>
          </cell>
          <cell r="AW95" t="str">
            <v>Don't Use</v>
          </cell>
          <cell r="AX95" t="str">
            <v>Flat</v>
          </cell>
          <cell r="AY95" t="str">
            <v>Don't Use</v>
          </cell>
          <cell r="AZ95" t="str">
            <v>Don't Use</v>
          </cell>
          <cell r="BA95" t="str">
            <v>Don't Use</v>
          </cell>
          <cell r="BB95" t="str">
            <v>Flat</v>
          </cell>
          <cell r="BC95" t="str">
            <v>Don't Use</v>
          </cell>
          <cell r="BD95" t="str">
            <v>Don't Use</v>
          </cell>
          <cell r="BE95" t="str">
            <v>Don't Use</v>
          </cell>
          <cell r="BF95" t="str">
            <v>Don't Use</v>
          </cell>
          <cell r="BG95" t="str">
            <v>Flat</v>
          </cell>
          <cell r="BH95" t="str">
            <v>Don't Use</v>
          </cell>
          <cell r="BI95" t="str">
            <v>Already using services provider</v>
          </cell>
          <cell r="BJ95" t="str">
            <v>Doing work internally</v>
          </cell>
          <cell r="BK95" t="str">
            <v>Doing work internally</v>
          </cell>
          <cell r="BL95" t="str">
            <v>Not Priority</v>
          </cell>
          <cell r="BM95" t="str">
            <v>Doing work internally</v>
          </cell>
          <cell r="BN95" t="str">
            <v>Not Priority</v>
          </cell>
          <cell r="BO95" t="str">
            <v>Doing work internally</v>
          </cell>
          <cell r="BP95" t="str">
            <v>Will use services provider 1H12</v>
          </cell>
          <cell r="BQ95" t="str">
            <v>Not Priority</v>
          </cell>
          <cell r="BR95" t="str">
            <v>Already using services provider</v>
          </cell>
          <cell r="BS95" t="str">
            <v>Doing work internally</v>
          </cell>
          <cell r="BT95" t="str">
            <v>Not Priority</v>
          </cell>
          <cell r="BU95">
            <v>1</v>
          </cell>
          <cell r="BV95">
            <v>7</v>
          </cell>
          <cell r="BW95">
            <v>6</v>
          </cell>
          <cell r="BX95">
            <v>4</v>
          </cell>
          <cell r="BY95">
            <v>5</v>
          </cell>
          <cell r="BZ95">
            <v>2</v>
          </cell>
          <cell r="CA95">
            <v>3</v>
          </cell>
          <cell r="CB95" t="str">
            <v>No change in level of discounting</v>
          </cell>
        </row>
        <row r="96">
          <cell r="A96" t="str">
            <v>US</v>
          </cell>
          <cell r="B96" t="str">
            <v>Healthcare</v>
          </cell>
          <cell r="C96" t="str">
            <v>$500 Million - $1 Billion</v>
          </cell>
          <cell r="D96" t="str">
            <v>&lt;$100 Million</v>
          </cell>
          <cell r="E96">
            <v>0</v>
          </cell>
          <cell r="F96">
            <v>5</v>
          </cell>
          <cell r="G96">
            <v>5</v>
          </cell>
          <cell r="H96">
            <v>5</v>
          </cell>
          <cell r="I96">
            <v>0</v>
          </cell>
          <cell r="J96">
            <v>2</v>
          </cell>
          <cell r="K96">
            <v>5</v>
          </cell>
          <cell r="L96">
            <v>5</v>
          </cell>
          <cell r="M96">
            <v>-2</v>
          </cell>
          <cell r="N96">
            <v>5</v>
          </cell>
          <cell r="O96">
            <v>7</v>
          </cell>
          <cell r="P96">
            <v>55</v>
          </cell>
          <cell r="Q96">
            <v>45</v>
          </cell>
          <cell r="R96">
            <v>50</v>
          </cell>
          <cell r="S96">
            <v>50</v>
          </cell>
          <cell r="T96" t="str">
            <v>Meating MU requirements</v>
          </cell>
          <cell r="U96" t="str">
            <v>Security requirements</v>
          </cell>
          <cell r="V96" t="str">
            <v>EHR (Electronic Health Records) systems</v>
          </cell>
          <cell r="W96" t="str">
            <v>NA / No Decrease</v>
          </cell>
          <cell r="Z96" t="str">
            <v>Equal chance of upward or downward revision</v>
          </cell>
          <cell r="AA96" t="str">
            <v>Consulting / Outsourcing</v>
          </cell>
          <cell r="AB96" t="str">
            <v>Nothing</v>
          </cell>
          <cell r="AC96" t="str">
            <v>Somewhat less aggressive in discounting</v>
          </cell>
          <cell r="AD96" t="str">
            <v>Somewhat longer</v>
          </cell>
          <cell r="AE96">
            <v>90</v>
          </cell>
          <cell r="AF96">
            <v>0</v>
          </cell>
          <cell r="AG96">
            <v>10</v>
          </cell>
          <cell r="AH96" t="str">
            <v>40/60</v>
          </cell>
          <cell r="AI96" t="str">
            <v>In-Line</v>
          </cell>
          <cell r="AJ96">
            <v>5</v>
          </cell>
          <cell r="AK96">
            <v>15</v>
          </cell>
          <cell r="AL96">
            <v>0</v>
          </cell>
          <cell r="AM96">
            <v>0</v>
          </cell>
          <cell r="AN96">
            <v>15</v>
          </cell>
          <cell r="AO96" t="str">
            <v>NA / DK</v>
          </cell>
          <cell r="AP96" t="str">
            <v>NA / DK</v>
          </cell>
          <cell r="AQ96">
            <v>5</v>
          </cell>
          <cell r="AR96" t="str">
            <v>Don't Use</v>
          </cell>
          <cell r="AS96" t="str">
            <v>Flat</v>
          </cell>
          <cell r="AT96" t="str">
            <v>Don't Use</v>
          </cell>
          <cell r="AU96" t="str">
            <v>Don't Use</v>
          </cell>
          <cell r="AV96" t="str">
            <v>Don't Use</v>
          </cell>
          <cell r="AW96" t="str">
            <v>Don't Use</v>
          </cell>
          <cell r="AX96" t="str">
            <v>Don't Use</v>
          </cell>
          <cell r="AY96" t="str">
            <v>Don't Use</v>
          </cell>
          <cell r="AZ96" t="str">
            <v>Don't Use</v>
          </cell>
          <cell r="BA96" t="str">
            <v>Increase</v>
          </cell>
          <cell r="BB96" t="str">
            <v>Flat</v>
          </cell>
          <cell r="BC96" t="str">
            <v>Don't Use</v>
          </cell>
          <cell r="BD96" t="str">
            <v>Don't Use</v>
          </cell>
          <cell r="BE96" t="str">
            <v>Don't Use</v>
          </cell>
          <cell r="BF96" t="str">
            <v>Don't Use</v>
          </cell>
          <cell r="BG96" t="str">
            <v>Don't Use</v>
          </cell>
          <cell r="BH96" t="str">
            <v>Don't Use</v>
          </cell>
          <cell r="BI96" t="str">
            <v>Already using services provider</v>
          </cell>
          <cell r="BJ96" t="str">
            <v>Doing work internally</v>
          </cell>
          <cell r="BK96" t="str">
            <v>Doing work internally</v>
          </cell>
          <cell r="BL96" t="str">
            <v>Doing work internally</v>
          </cell>
          <cell r="BM96" t="str">
            <v>Already using services provider</v>
          </cell>
          <cell r="BN96" t="str">
            <v>Not Priority</v>
          </cell>
          <cell r="BO96" t="str">
            <v>Doing work internally</v>
          </cell>
          <cell r="BP96" t="str">
            <v>Doing work internally</v>
          </cell>
          <cell r="BQ96" t="str">
            <v>Already using services provider</v>
          </cell>
          <cell r="BR96" t="str">
            <v>Doing work internally</v>
          </cell>
          <cell r="BS96" t="str">
            <v>Doing work internally</v>
          </cell>
          <cell r="BT96" t="str">
            <v>Not Priority</v>
          </cell>
          <cell r="BU96">
            <v>4</v>
          </cell>
          <cell r="BV96">
            <v>7</v>
          </cell>
          <cell r="BW96">
            <v>6</v>
          </cell>
          <cell r="BX96">
            <v>3</v>
          </cell>
          <cell r="BY96">
            <v>1</v>
          </cell>
          <cell r="BZ96">
            <v>2</v>
          </cell>
          <cell r="CA96">
            <v>5</v>
          </cell>
          <cell r="CB96" t="str">
            <v>Significantly less aggressive in discounting</v>
          </cell>
        </row>
        <row r="97">
          <cell r="A97" t="str">
            <v>US</v>
          </cell>
          <cell r="B97" t="str">
            <v>Healthcare</v>
          </cell>
          <cell r="C97" t="str">
            <v>$500 Million - $1 Billion</v>
          </cell>
          <cell r="D97" t="str">
            <v>&lt;$100 Million</v>
          </cell>
          <cell r="E97">
            <v>3</v>
          </cell>
          <cell r="F97">
            <v>5</v>
          </cell>
          <cell r="G97">
            <v>5</v>
          </cell>
          <cell r="H97">
            <v>0</v>
          </cell>
          <cell r="I97">
            <v>2</v>
          </cell>
          <cell r="J97">
            <v>2</v>
          </cell>
          <cell r="K97">
            <v>-7</v>
          </cell>
          <cell r="L97">
            <v>-5</v>
          </cell>
          <cell r="M97">
            <v>5</v>
          </cell>
          <cell r="N97">
            <v>0</v>
          </cell>
          <cell r="O97">
            <v>6</v>
          </cell>
          <cell r="P97">
            <v>55</v>
          </cell>
          <cell r="Q97">
            <v>45</v>
          </cell>
          <cell r="R97">
            <v>40</v>
          </cell>
          <cell r="S97">
            <v>60</v>
          </cell>
          <cell r="T97" t="str">
            <v>Data warehouse</v>
          </cell>
          <cell r="U97" t="str">
            <v>Clinical app upgrades</v>
          </cell>
          <cell r="V97" t="str">
            <v>Physician sign in</v>
          </cell>
          <cell r="W97" t="str">
            <v>Networking upgrades</v>
          </cell>
          <cell r="X97" t="str">
            <v>Use of outside services</v>
          </cell>
          <cell r="Y97" t="str">
            <v xml:space="preserve">EHR </v>
          </cell>
          <cell r="Z97" t="str">
            <v>Equal chance of upward or downward revision</v>
          </cell>
          <cell r="AA97" t="str">
            <v>Non-Critical Projects</v>
          </cell>
          <cell r="AB97" t="str">
            <v>Mission critical systems</v>
          </cell>
          <cell r="AC97" t="str">
            <v>Somewhat more aggressive in discounting</v>
          </cell>
          <cell r="AD97" t="str">
            <v>Somewhat longer</v>
          </cell>
          <cell r="AE97">
            <v>50</v>
          </cell>
          <cell r="AF97">
            <v>50</v>
          </cell>
          <cell r="AG97">
            <v>0</v>
          </cell>
          <cell r="AH97" t="str">
            <v>40/60</v>
          </cell>
          <cell r="AI97" t="str">
            <v>In-Line</v>
          </cell>
          <cell r="AJ97">
            <v>5</v>
          </cell>
          <cell r="AK97">
            <v>0</v>
          </cell>
          <cell r="AL97">
            <v>10</v>
          </cell>
          <cell r="AM97">
            <v>5</v>
          </cell>
          <cell r="AN97">
            <v>5</v>
          </cell>
          <cell r="AO97">
            <v>0</v>
          </cell>
          <cell r="AP97">
            <v>0</v>
          </cell>
          <cell r="AQ97">
            <v>5</v>
          </cell>
          <cell r="AR97" t="str">
            <v>Don't Use</v>
          </cell>
          <cell r="AS97" t="str">
            <v>Don't Use</v>
          </cell>
          <cell r="AT97" t="str">
            <v>Don't Use</v>
          </cell>
          <cell r="AU97" t="str">
            <v>Don't Use</v>
          </cell>
          <cell r="AV97" t="str">
            <v>Don't Use</v>
          </cell>
          <cell r="AW97" t="str">
            <v>Decrease</v>
          </cell>
          <cell r="AX97" t="str">
            <v>Don't Use</v>
          </cell>
          <cell r="AY97" t="str">
            <v>Don't Use</v>
          </cell>
          <cell r="AZ97" t="str">
            <v>Don't Use</v>
          </cell>
          <cell r="BA97" t="str">
            <v>Flat</v>
          </cell>
          <cell r="BB97" t="str">
            <v>Flat</v>
          </cell>
          <cell r="BC97" t="str">
            <v>Don't Use</v>
          </cell>
          <cell r="BD97" t="str">
            <v>Don't Use</v>
          </cell>
          <cell r="BE97" t="str">
            <v>Don't Use</v>
          </cell>
          <cell r="BF97" t="str">
            <v>Don't Use</v>
          </cell>
          <cell r="BG97" t="str">
            <v>Don't Use</v>
          </cell>
          <cell r="BH97" t="str">
            <v>Don't Use</v>
          </cell>
          <cell r="BI97" t="str">
            <v>Already using services provider</v>
          </cell>
          <cell r="BJ97" t="str">
            <v>Doing work internally</v>
          </cell>
          <cell r="BK97" t="str">
            <v>Doing work internally</v>
          </cell>
          <cell r="BL97" t="str">
            <v>Not Priority</v>
          </cell>
          <cell r="BM97" t="str">
            <v>Doing work internally</v>
          </cell>
          <cell r="BN97" t="str">
            <v>Not Priority</v>
          </cell>
          <cell r="BO97" t="str">
            <v>Not Priority</v>
          </cell>
          <cell r="BP97" t="str">
            <v>Not Priority</v>
          </cell>
          <cell r="BQ97" t="str">
            <v>Already using services provider</v>
          </cell>
          <cell r="BR97" t="str">
            <v>Doing work internally</v>
          </cell>
          <cell r="BS97" t="str">
            <v>Not Priority</v>
          </cell>
          <cell r="BT97" t="str">
            <v>Not Priority</v>
          </cell>
          <cell r="BU97">
            <v>6</v>
          </cell>
          <cell r="BV97">
            <v>7</v>
          </cell>
          <cell r="BW97">
            <v>2</v>
          </cell>
          <cell r="BX97">
            <v>4</v>
          </cell>
          <cell r="BY97">
            <v>3</v>
          </cell>
          <cell r="BZ97">
            <v>1</v>
          </cell>
          <cell r="CA97">
            <v>5</v>
          </cell>
          <cell r="CB97" t="str">
            <v>Somewhat more aggressive in discounting</v>
          </cell>
        </row>
        <row r="98">
          <cell r="A98" t="str">
            <v>US</v>
          </cell>
          <cell r="B98" t="str">
            <v>Healthcare</v>
          </cell>
          <cell r="C98" t="str">
            <v>$5-10 Billion</v>
          </cell>
          <cell r="D98" t="str">
            <v>$100-200 Million</v>
          </cell>
          <cell r="E98">
            <v>11</v>
          </cell>
          <cell r="F98">
            <v>7</v>
          </cell>
          <cell r="G98">
            <v>5</v>
          </cell>
          <cell r="H98">
            <v>10</v>
          </cell>
          <cell r="I98">
            <v>5</v>
          </cell>
          <cell r="J98">
            <v>10</v>
          </cell>
          <cell r="K98">
            <v>5</v>
          </cell>
          <cell r="L98">
            <v>7</v>
          </cell>
          <cell r="M98">
            <v>10</v>
          </cell>
          <cell r="N98">
            <v>5</v>
          </cell>
          <cell r="O98">
            <v>6</v>
          </cell>
          <cell r="P98">
            <v>60</v>
          </cell>
          <cell r="Q98">
            <v>40</v>
          </cell>
          <cell r="R98">
            <v>60</v>
          </cell>
          <cell r="S98">
            <v>40</v>
          </cell>
          <cell r="T98" t="str">
            <v>MU requirements</v>
          </cell>
          <cell r="U98" t="str">
            <v>ERP</v>
          </cell>
          <cell r="W98" t="str">
            <v>EHR requirements met, for now</v>
          </cell>
          <cell r="Z98" t="str">
            <v>Downward revision is more likely</v>
          </cell>
          <cell r="AA98" t="str">
            <v>Nothing</v>
          </cell>
          <cell r="AB98" t="str">
            <v>Don't think anyting will get cut</v>
          </cell>
          <cell r="AC98" t="str">
            <v>Somewhat more aggressive in discounting</v>
          </cell>
          <cell r="AD98" t="str">
            <v>Somewhat longer</v>
          </cell>
          <cell r="AE98">
            <v>80</v>
          </cell>
          <cell r="AF98">
            <v>10</v>
          </cell>
          <cell r="AG98">
            <v>10</v>
          </cell>
          <cell r="AH98" t="str">
            <v>40/60</v>
          </cell>
          <cell r="AI98" t="str">
            <v>Under</v>
          </cell>
          <cell r="AJ98">
            <v>12</v>
          </cell>
          <cell r="AK98">
            <v>0</v>
          </cell>
          <cell r="AL98">
            <v>7</v>
          </cell>
          <cell r="AM98">
            <v>5</v>
          </cell>
          <cell r="AN98">
            <v>5</v>
          </cell>
          <cell r="AO98" t="str">
            <v>NA / DK</v>
          </cell>
          <cell r="AP98">
            <v>5</v>
          </cell>
          <cell r="AQ98">
            <v>0</v>
          </cell>
          <cell r="AR98" t="str">
            <v>Don't Use</v>
          </cell>
          <cell r="AS98" t="str">
            <v>Decrease</v>
          </cell>
          <cell r="AT98" t="str">
            <v>Don't Use</v>
          </cell>
          <cell r="AU98" t="str">
            <v>Don't Use</v>
          </cell>
          <cell r="AV98" t="str">
            <v>Don't Use</v>
          </cell>
          <cell r="AW98" t="str">
            <v>Don't Use</v>
          </cell>
          <cell r="AX98" t="str">
            <v>Flat</v>
          </cell>
          <cell r="AY98" t="str">
            <v>Don't Use</v>
          </cell>
          <cell r="AZ98" t="str">
            <v>Don't Use</v>
          </cell>
          <cell r="BA98" t="str">
            <v>Don't Use</v>
          </cell>
          <cell r="BB98" t="str">
            <v>Flat</v>
          </cell>
          <cell r="BC98" t="str">
            <v>Don't Use</v>
          </cell>
          <cell r="BD98" t="str">
            <v>Don't Use</v>
          </cell>
          <cell r="BE98" t="str">
            <v>Don't Use</v>
          </cell>
          <cell r="BF98" t="str">
            <v>Don't Use</v>
          </cell>
          <cell r="BG98" t="str">
            <v>Decrease</v>
          </cell>
          <cell r="BH98" t="str">
            <v>Don't Use</v>
          </cell>
          <cell r="BI98" t="str">
            <v>Not Priority</v>
          </cell>
          <cell r="BJ98" t="str">
            <v>Not Priority</v>
          </cell>
          <cell r="BK98" t="str">
            <v>Already using services provider</v>
          </cell>
          <cell r="BL98" t="str">
            <v>Not Priority</v>
          </cell>
          <cell r="BM98" t="str">
            <v>Doing work internally</v>
          </cell>
          <cell r="BN98" t="str">
            <v>Already using services provider</v>
          </cell>
          <cell r="BO98" t="str">
            <v>Will use services provider 2H12</v>
          </cell>
          <cell r="BP98" t="str">
            <v>Not Priority</v>
          </cell>
          <cell r="BQ98" t="str">
            <v>Not Priority</v>
          </cell>
          <cell r="BR98" t="str">
            <v>Not Priority</v>
          </cell>
          <cell r="BS98" t="str">
            <v>Not Priority</v>
          </cell>
          <cell r="BT98" t="str">
            <v>Not Priority</v>
          </cell>
          <cell r="BU98">
            <v>5</v>
          </cell>
          <cell r="BV98">
            <v>2</v>
          </cell>
          <cell r="BW98">
            <v>1</v>
          </cell>
          <cell r="BX98">
            <v>6</v>
          </cell>
          <cell r="BY98">
            <v>4</v>
          </cell>
          <cell r="BZ98">
            <v>3</v>
          </cell>
          <cell r="CA98">
            <v>7</v>
          </cell>
          <cell r="CB98" t="str">
            <v>No change in level of discounting</v>
          </cell>
        </row>
        <row r="99">
          <cell r="A99" t="str">
            <v>US</v>
          </cell>
          <cell r="B99" t="str">
            <v>Hospitality / Leisure</v>
          </cell>
          <cell r="C99" t="str">
            <v>$5-10 Billion</v>
          </cell>
          <cell r="D99" t="str">
            <v>$200-300 Million</v>
          </cell>
          <cell r="E99">
            <v>-5</v>
          </cell>
          <cell r="F99">
            <v>-10</v>
          </cell>
          <cell r="G99">
            <v>-5</v>
          </cell>
          <cell r="H99">
            <v>-5</v>
          </cell>
          <cell r="I99">
            <v>-5</v>
          </cell>
          <cell r="J99">
            <v>-5</v>
          </cell>
          <cell r="K99">
            <v>-8</v>
          </cell>
          <cell r="L99">
            <v>0</v>
          </cell>
          <cell r="M99">
            <v>0</v>
          </cell>
          <cell r="N99">
            <v>5</v>
          </cell>
          <cell r="O99">
            <v>2</v>
          </cell>
          <cell r="P99">
            <v>50</v>
          </cell>
          <cell r="Q99">
            <v>50</v>
          </cell>
          <cell r="R99">
            <v>60</v>
          </cell>
          <cell r="S99">
            <v>40</v>
          </cell>
          <cell r="T99" t="str">
            <v>Dealing with increased customer data</v>
          </cell>
          <cell r="U99" t="str">
            <v>e-Discovery requirements</v>
          </cell>
          <cell r="V99" t="str">
            <v>Web portal</v>
          </cell>
          <cell r="W99" t="str">
            <v>Telecom hardware</v>
          </cell>
          <cell r="X99" t="str">
            <v>BCDR</v>
          </cell>
          <cell r="Z99" t="str">
            <v>‘No change’ to the budget is likely</v>
          </cell>
          <cell r="AA99" t="str">
            <v>This would be decided at departmental level</v>
          </cell>
          <cell r="AB99" t="str">
            <v>Anything security related</v>
          </cell>
          <cell r="AC99" t="str">
            <v>Somewhat less aggressive in discounting</v>
          </cell>
          <cell r="AD99" t="str">
            <v>Somewhat longer</v>
          </cell>
          <cell r="AE99">
            <v>80</v>
          </cell>
          <cell r="AF99">
            <v>20</v>
          </cell>
          <cell r="AG99">
            <v>0</v>
          </cell>
          <cell r="AH99" t="str">
            <v>50/50</v>
          </cell>
          <cell r="AI99" t="str">
            <v>Under</v>
          </cell>
          <cell r="AJ99">
            <v>-7</v>
          </cell>
          <cell r="AK99" t="str">
            <v>NA / DK</v>
          </cell>
          <cell r="AL99">
            <v>0</v>
          </cell>
          <cell r="AM99" t="str">
            <v>NA / DK</v>
          </cell>
          <cell r="AN99">
            <v>5</v>
          </cell>
          <cell r="AO99" t="str">
            <v>NA / DK</v>
          </cell>
          <cell r="AP99">
            <v>-5</v>
          </cell>
          <cell r="AQ99" t="str">
            <v>NA / DK</v>
          </cell>
          <cell r="AR99" t="str">
            <v>Flat</v>
          </cell>
          <cell r="AS99" t="str">
            <v>Don't Use</v>
          </cell>
          <cell r="AT99" t="str">
            <v>Don't Use</v>
          </cell>
          <cell r="AU99" t="str">
            <v>Don't Use</v>
          </cell>
          <cell r="AV99" t="str">
            <v>Don't Use</v>
          </cell>
          <cell r="AW99" t="str">
            <v>Don't Use</v>
          </cell>
          <cell r="AX99" t="str">
            <v>Don't Use</v>
          </cell>
          <cell r="AY99" t="str">
            <v>Don't Use</v>
          </cell>
          <cell r="AZ99" t="str">
            <v>Don't Use</v>
          </cell>
          <cell r="BA99" t="str">
            <v>Don't Use</v>
          </cell>
          <cell r="BB99" t="str">
            <v>Don't Use</v>
          </cell>
          <cell r="BC99" t="str">
            <v>Don't Use</v>
          </cell>
          <cell r="BD99" t="str">
            <v>Don't Use</v>
          </cell>
          <cell r="BE99" t="str">
            <v>Don't Use</v>
          </cell>
          <cell r="BF99" t="str">
            <v>Don't Use</v>
          </cell>
          <cell r="BG99" t="str">
            <v>Don't Use</v>
          </cell>
          <cell r="BH99" t="str">
            <v>Don't Use</v>
          </cell>
          <cell r="BI99" t="str">
            <v>Not Priority</v>
          </cell>
          <cell r="BJ99" t="str">
            <v>Not Priority</v>
          </cell>
          <cell r="BK99" t="str">
            <v>Doing work internally</v>
          </cell>
          <cell r="BL99" t="str">
            <v>Not Priority</v>
          </cell>
          <cell r="BM99" t="str">
            <v>Doing work internally</v>
          </cell>
          <cell r="BN99" t="str">
            <v>Not Priority</v>
          </cell>
          <cell r="BO99" t="str">
            <v>Doing work internally</v>
          </cell>
          <cell r="BP99" t="str">
            <v>Not Priority</v>
          </cell>
          <cell r="BQ99" t="str">
            <v>Will use services provider 2H12</v>
          </cell>
          <cell r="BR99" t="str">
            <v>Not Priority</v>
          </cell>
          <cell r="BS99" t="str">
            <v>Not Priority</v>
          </cell>
          <cell r="BT99" t="str">
            <v>Not Priority</v>
          </cell>
          <cell r="BU99">
            <v>2</v>
          </cell>
          <cell r="BV99">
            <v>7</v>
          </cell>
          <cell r="BW99">
            <v>4</v>
          </cell>
          <cell r="BX99">
            <v>5</v>
          </cell>
          <cell r="BY99">
            <v>3</v>
          </cell>
          <cell r="BZ99">
            <v>1</v>
          </cell>
          <cell r="CA99">
            <v>6</v>
          </cell>
          <cell r="CB99" t="str">
            <v>Somewhat less aggressive in discounting</v>
          </cell>
        </row>
        <row r="100">
          <cell r="A100" t="str">
            <v>US</v>
          </cell>
          <cell r="B100" t="str">
            <v>Manufacturing</v>
          </cell>
          <cell r="C100" t="str">
            <v>$5-10 Billion</v>
          </cell>
          <cell r="D100" t="str">
            <v>$100-200 Million</v>
          </cell>
          <cell r="E100">
            <v>0</v>
          </cell>
          <cell r="F100">
            <v>-5</v>
          </cell>
          <cell r="G100">
            <v>0</v>
          </cell>
          <cell r="H100">
            <v>0.01</v>
          </cell>
          <cell r="I100">
            <v>0</v>
          </cell>
          <cell r="J100">
            <v>-5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</v>
          </cell>
          <cell r="P100">
            <v>50</v>
          </cell>
          <cell r="Q100">
            <v>50</v>
          </cell>
          <cell r="R100" t="str">
            <v>NA / DK</v>
          </cell>
          <cell r="S100" t="str">
            <v>NA / DK</v>
          </cell>
          <cell r="T100" t="str">
            <v>Licensing</v>
          </cell>
          <cell r="W100" t="str">
            <v>Hosting</v>
          </cell>
          <cell r="Z100" t="str">
            <v>Downward revision is more likely</v>
          </cell>
          <cell r="AA100" t="str">
            <v>Infrastructure</v>
          </cell>
          <cell r="AB100" t="str">
            <v>Applications</v>
          </cell>
          <cell r="AC100" t="str">
            <v>No change in level of discounting</v>
          </cell>
          <cell r="AD100" t="str">
            <v>Somewhat longer</v>
          </cell>
          <cell r="AE100">
            <v>90</v>
          </cell>
          <cell r="AF100">
            <v>5</v>
          </cell>
          <cell r="AG100">
            <v>5</v>
          </cell>
          <cell r="AH100" t="str">
            <v>60/40</v>
          </cell>
          <cell r="AI100" t="str">
            <v>In-Line</v>
          </cell>
          <cell r="AJ100">
            <v>-20</v>
          </cell>
          <cell r="AK100">
            <v>0</v>
          </cell>
          <cell r="AL100">
            <v>0</v>
          </cell>
          <cell r="AM100">
            <v>0</v>
          </cell>
          <cell r="AN100">
            <v>-10</v>
          </cell>
          <cell r="AO100">
            <v>0</v>
          </cell>
          <cell r="AP100">
            <v>-5</v>
          </cell>
          <cell r="AQ100">
            <v>300</v>
          </cell>
          <cell r="AR100" t="str">
            <v>Don't Use</v>
          </cell>
          <cell r="AS100" t="str">
            <v>Don't Use</v>
          </cell>
          <cell r="AT100" t="str">
            <v>Don't Use</v>
          </cell>
          <cell r="AU100" t="str">
            <v>Don't Use</v>
          </cell>
          <cell r="AV100" t="str">
            <v>Don't Use</v>
          </cell>
          <cell r="AW100" t="str">
            <v>Don't Use</v>
          </cell>
          <cell r="AX100" t="str">
            <v>Don't Use</v>
          </cell>
          <cell r="AY100" t="str">
            <v>Don't Use</v>
          </cell>
          <cell r="AZ100" t="str">
            <v>Don't Use</v>
          </cell>
          <cell r="BA100" t="str">
            <v>Decrease</v>
          </cell>
          <cell r="BB100" t="str">
            <v>Flat</v>
          </cell>
          <cell r="BC100" t="str">
            <v>Don't Use</v>
          </cell>
          <cell r="BD100" t="str">
            <v>Don't Use</v>
          </cell>
          <cell r="BE100" t="str">
            <v>Don't Use</v>
          </cell>
          <cell r="BF100" t="str">
            <v>Don't Use</v>
          </cell>
          <cell r="BG100" t="str">
            <v>Don't Use</v>
          </cell>
          <cell r="BH100" t="str">
            <v>Don't Use</v>
          </cell>
          <cell r="BI100" t="str">
            <v>Already using services provider</v>
          </cell>
          <cell r="BJ100" t="str">
            <v>Already using services provider</v>
          </cell>
          <cell r="BK100" t="str">
            <v>Not Priority</v>
          </cell>
          <cell r="BL100" t="str">
            <v>Not Priority</v>
          </cell>
          <cell r="BM100" t="str">
            <v>Already using services provider</v>
          </cell>
          <cell r="BN100" t="str">
            <v>Not Priority</v>
          </cell>
          <cell r="BO100" t="str">
            <v>Already using services provider</v>
          </cell>
          <cell r="BP100" t="str">
            <v>Already using services provider</v>
          </cell>
          <cell r="BQ100" t="str">
            <v>Doing work internally</v>
          </cell>
          <cell r="BR100" t="str">
            <v>Doing work internally</v>
          </cell>
          <cell r="BS100" t="str">
            <v>Not Priority</v>
          </cell>
          <cell r="BT100" t="str">
            <v>Not Priority</v>
          </cell>
          <cell r="BU100">
            <v>1</v>
          </cell>
          <cell r="BV100">
            <v>5</v>
          </cell>
          <cell r="BW100">
            <v>2</v>
          </cell>
          <cell r="BX100">
            <v>7</v>
          </cell>
          <cell r="BY100">
            <v>3</v>
          </cell>
          <cell r="BZ100">
            <v>4</v>
          </cell>
          <cell r="CA100">
            <v>6</v>
          </cell>
          <cell r="CB100" t="str">
            <v>No change in level of discounting</v>
          </cell>
        </row>
        <row r="101">
          <cell r="A101" t="str">
            <v>US</v>
          </cell>
          <cell r="B101" t="str">
            <v>Manufacturing</v>
          </cell>
          <cell r="C101" t="str">
            <v>$10-15 Billion</v>
          </cell>
          <cell r="D101" t="str">
            <v>&lt;$100 Million</v>
          </cell>
          <cell r="E101">
            <v>10</v>
          </cell>
          <cell r="F101">
            <v>5</v>
          </cell>
          <cell r="G101">
            <v>8</v>
          </cell>
          <cell r="H101">
            <v>5</v>
          </cell>
          <cell r="I101">
            <v>5</v>
          </cell>
          <cell r="J101">
            <v>10</v>
          </cell>
          <cell r="K101">
            <v>6</v>
          </cell>
          <cell r="L101">
            <v>3</v>
          </cell>
          <cell r="M101">
            <v>3</v>
          </cell>
          <cell r="N101">
            <v>5</v>
          </cell>
          <cell r="O101">
            <v>6</v>
          </cell>
          <cell r="P101">
            <v>25</v>
          </cell>
          <cell r="Q101">
            <v>75</v>
          </cell>
          <cell r="R101">
            <v>30</v>
          </cell>
          <cell r="S101">
            <v>70</v>
          </cell>
          <cell r="T101" t="str">
            <v>SaaS based CRM</v>
          </cell>
          <cell r="U101" t="str">
            <v>ERP integration</v>
          </cell>
          <cell r="V101" t="str">
            <v>Virtualization</v>
          </cell>
          <cell r="W101" t="str">
            <v>Scheduled HW upgrades</v>
          </cell>
          <cell r="Z101" t="str">
            <v>Equal chance of upward or downward revision</v>
          </cell>
          <cell r="AA101" t="str">
            <v>Everything subject to cuts</v>
          </cell>
          <cell r="AB101" t="str">
            <v>Everything subject to cuts</v>
          </cell>
          <cell r="AC101" t="str">
            <v>Somewhat more aggressive in discounting</v>
          </cell>
          <cell r="AD101" t="str">
            <v>Somewhat longer</v>
          </cell>
          <cell r="AE101">
            <v>70</v>
          </cell>
          <cell r="AF101">
            <v>30</v>
          </cell>
          <cell r="AG101">
            <v>0</v>
          </cell>
          <cell r="AH101" t="str">
            <v>50/50</v>
          </cell>
          <cell r="AI101" t="str">
            <v>Over</v>
          </cell>
          <cell r="AJ101">
            <v>15</v>
          </cell>
          <cell r="AK101">
            <v>10</v>
          </cell>
          <cell r="AL101">
            <v>5</v>
          </cell>
          <cell r="AM101">
            <v>7</v>
          </cell>
          <cell r="AN101">
            <v>-3</v>
          </cell>
          <cell r="AO101">
            <v>8</v>
          </cell>
          <cell r="AP101">
            <v>5</v>
          </cell>
          <cell r="AQ101">
            <v>0</v>
          </cell>
          <cell r="AR101" t="str">
            <v>Decrease</v>
          </cell>
          <cell r="AS101" t="str">
            <v>Flat</v>
          </cell>
          <cell r="AT101" t="str">
            <v>Don't Use</v>
          </cell>
          <cell r="AU101" t="str">
            <v>Don't Use</v>
          </cell>
          <cell r="AV101" t="str">
            <v>Decrease</v>
          </cell>
          <cell r="AW101" t="str">
            <v>Don't Use</v>
          </cell>
          <cell r="AX101" t="str">
            <v>Increase</v>
          </cell>
          <cell r="AY101" t="str">
            <v>Don't Use</v>
          </cell>
          <cell r="AZ101" t="str">
            <v>Don't Use</v>
          </cell>
          <cell r="BA101" t="str">
            <v>Don't Use</v>
          </cell>
          <cell r="BB101" t="str">
            <v>Flat</v>
          </cell>
          <cell r="BC101" t="str">
            <v>Decrease</v>
          </cell>
          <cell r="BD101" t="str">
            <v>Don't Use</v>
          </cell>
          <cell r="BE101" t="str">
            <v>Don't Use</v>
          </cell>
          <cell r="BF101" t="str">
            <v>Don't Use</v>
          </cell>
          <cell r="BG101" t="str">
            <v>Flat</v>
          </cell>
          <cell r="BH101" t="str">
            <v>Don't Use</v>
          </cell>
          <cell r="BI101" t="str">
            <v>Not Priority</v>
          </cell>
          <cell r="BJ101" t="str">
            <v>Already using services provider</v>
          </cell>
          <cell r="BK101" t="str">
            <v>Doing work internally</v>
          </cell>
          <cell r="BL101" t="str">
            <v>Not Priority</v>
          </cell>
          <cell r="BM101" t="str">
            <v>Already using services provider</v>
          </cell>
          <cell r="BN101" t="str">
            <v>Not Priority</v>
          </cell>
          <cell r="BO101" t="str">
            <v>Already using services provider</v>
          </cell>
          <cell r="BP101" t="str">
            <v>Will use services provider 2H12</v>
          </cell>
          <cell r="BQ101" t="str">
            <v>Not Priority</v>
          </cell>
          <cell r="BR101" t="str">
            <v>Doing work internally</v>
          </cell>
          <cell r="BS101" t="str">
            <v>Doing work internally</v>
          </cell>
          <cell r="BT101" t="str">
            <v>Already using services provider</v>
          </cell>
          <cell r="BU101">
            <v>1</v>
          </cell>
          <cell r="BV101">
            <v>7</v>
          </cell>
          <cell r="BW101">
            <v>4</v>
          </cell>
          <cell r="BX101">
            <v>6</v>
          </cell>
          <cell r="BY101">
            <v>2</v>
          </cell>
          <cell r="BZ101">
            <v>3</v>
          </cell>
          <cell r="CA101">
            <v>5</v>
          </cell>
          <cell r="CB101" t="str">
            <v>Significantly more aggressive in discounting</v>
          </cell>
        </row>
        <row r="102">
          <cell r="A102" t="str">
            <v>US</v>
          </cell>
          <cell r="B102" t="str">
            <v>Manufacturing</v>
          </cell>
          <cell r="C102" t="str">
            <v>$1-5 Billion</v>
          </cell>
          <cell r="D102" t="str">
            <v>$200-300 Million</v>
          </cell>
          <cell r="E102">
            <v>5</v>
          </cell>
          <cell r="F102">
            <v>20</v>
          </cell>
          <cell r="G102">
            <v>3</v>
          </cell>
          <cell r="H102">
            <v>0</v>
          </cell>
          <cell r="I102">
            <v>0</v>
          </cell>
          <cell r="J102">
            <v>10</v>
          </cell>
          <cell r="K102">
            <v>10</v>
          </cell>
          <cell r="L102">
            <v>8</v>
          </cell>
          <cell r="M102">
            <v>12</v>
          </cell>
          <cell r="N102">
            <v>10</v>
          </cell>
          <cell r="O102">
            <v>7</v>
          </cell>
          <cell r="P102">
            <v>35</v>
          </cell>
          <cell r="Q102">
            <v>65</v>
          </cell>
          <cell r="R102">
            <v>60</v>
          </cell>
          <cell r="S102">
            <v>40</v>
          </cell>
          <cell r="T102" t="str">
            <v>Virtualization</v>
          </cell>
          <cell r="U102" t="str">
            <v>UCS</v>
          </cell>
          <cell r="V102" t="str">
            <v>Server Upgrades</v>
          </cell>
          <cell r="W102" t="str">
            <v>PC Upgrades</v>
          </cell>
          <cell r="X102" t="str">
            <v>Office Prodcutivity</v>
          </cell>
          <cell r="Z102" t="str">
            <v>Equal chance of upward or downward revision</v>
          </cell>
          <cell r="AA102" t="str">
            <v>Small scale, trial projects</v>
          </cell>
          <cell r="AB102" t="str">
            <v>Server spending</v>
          </cell>
          <cell r="AC102" t="str">
            <v>No change in level of discounting</v>
          </cell>
          <cell r="AD102" t="str">
            <v>No Change</v>
          </cell>
          <cell r="AE102">
            <v>75</v>
          </cell>
          <cell r="AF102">
            <v>10</v>
          </cell>
          <cell r="AG102">
            <v>15</v>
          </cell>
          <cell r="AH102" t="str">
            <v>60/40</v>
          </cell>
          <cell r="AI102" t="str">
            <v>In-Line</v>
          </cell>
          <cell r="AJ102">
            <v>10</v>
          </cell>
          <cell r="AK102" t="str">
            <v>NA / DK</v>
          </cell>
          <cell r="AL102" t="str">
            <v>NA / DK</v>
          </cell>
          <cell r="AM102" t="str">
            <v>NA / DK</v>
          </cell>
          <cell r="AN102">
            <v>5</v>
          </cell>
          <cell r="AO102">
            <v>5</v>
          </cell>
          <cell r="AP102">
            <v>5</v>
          </cell>
          <cell r="AQ102">
            <v>7</v>
          </cell>
          <cell r="AR102" t="str">
            <v>Don't Use</v>
          </cell>
          <cell r="AS102" t="str">
            <v>Increase</v>
          </cell>
          <cell r="AT102" t="str">
            <v>Don't Use</v>
          </cell>
          <cell r="AU102" t="str">
            <v>Don't Use</v>
          </cell>
          <cell r="AV102" t="str">
            <v>Don't Use</v>
          </cell>
          <cell r="AW102" t="str">
            <v>Don't Use</v>
          </cell>
          <cell r="AX102" t="str">
            <v>Flat</v>
          </cell>
          <cell r="AY102" t="str">
            <v>Don't Use</v>
          </cell>
          <cell r="AZ102" t="str">
            <v>Don't Use</v>
          </cell>
          <cell r="BA102" t="str">
            <v>Don't Use</v>
          </cell>
          <cell r="BB102" t="str">
            <v>Don't Use</v>
          </cell>
          <cell r="BC102" t="str">
            <v>Flat</v>
          </cell>
          <cell r="BD102" t="str">
            <v>Flat</v>
          </cell>
          <cell r="BE102" t="str">
            <v>Don't Use</v>
          </cell>
          <cell r="BF102" t="str">
            <v>Don't Use</v>
          </cell>
          <cell r="BG102" t="str">
            <v>Don't Use</v>
          </cell>
          <cell r="BH102" t="str">
            <v>Don't Use</v>
          </cell>
          <cell r="BI102" t="str">
            <v>Already using services provider</v>
          </cell>
          <cell r="BJ102" t="str">
            <v>Doing work internally</v>
          </cell>
          <cell r="BK102" t="str">
            <v>Doing work internally</v>
          </cell>
          <cell r="BL102" t="str">
            <v>Not Priority</v>
          </cell>
          <cell r="BM102" t="str">
            <v>Already using services provider</v>
          </cell>
          <cell r="BN102" t="str">
            <v>Not Priority</v>
          </cell>
          <cell r="BO102" t="str">
            <v>Will use services provider 1H12</v>
          </cell>
          <cell r="BP102" t="str">
            <v>Not Priority</v>
          </cell>
          <cell r="BQ102" t="str">
            <v>Doing work internally</v>
          </cell>
          <cell r="BR102" t="str">
            <v>Not Priority</v>
          </cell>
          <cell r="BS102" t="str">
            <v>Not Priority</v>
          </cell>
          <cell r="BT102" t="str">
            <v>Not Priority</v>
          </cell>
          <cell r="BU102">
            <v>1</v>
          </cell>
          <cell r="BV102">
            <v>7</v>
          </cell>
          <cell r="BW102">
            <v>2</v>
          </cell>
          <cell r="BX102">
            <v>3</v>
          </cell>
          <cell r="BY102">
            <v>6</v>
          </cell>
          <cell r="BZ102">
            <v>4</v>
          </cell>
          <cell r="CA102">
            <v>5</v>
          </cell>
          <cell r="CB102" t="str">
            <v>No change in level of discounting</v>
          </cell>
        </row>
        <row r="103">
          <cell r="A103" t="str">
            <v>US</v>
          </cell>
          <cell r="B103" t="str">
            <v>Manufacturing</v>
          </cell>
          <cell r="C103" t="str">
            <v>$10-15 Billion</v>
          </cell>
          <cell r="D103" t="str">
            <v>$100-200 Million</v>
          </cell>
          <cell r="E103">
            <v>10</v>
          </cell>
          <cell r="F103">
            <v>7</v>
          </cell>
          <cell r="G103">
            <v>10</v>
          </cell>
          <cell r="H103">
            <v>15</v>
          </cell>
          <cell r="I103">
            <v>8</v>
          </cell>
          <cell r="J103">
            <v>3</v>
          </cell>
          <cell r="K103">
            <v>5</v>
          </cell>
          <cell r="L103">
            <v>5</v>
          </cell>
          <cell r="M103">
            <v>5</v>
          </cell>
          <cell r="N103">
            <v>10</v>
          </cell>
          <cell r="O103">
            <v>5</v>
          </cell>
          <cell r="P103">
            <v>40</v>
          </cell>
          <cell r="Q103">
            <v>60</v>
          </cell>
          <cell r="R103">
            <v>50</v>
          </cell>
          <cell r="S103">
            <v>50</v>
          </cell>
          <cell r="T103" t="str">
            <v>WAN optimization projects</v>
          </cell>
          <cell r="U103" t="str">
            <v xml:space="preserve">Remote security </v>
          </cell>
          <cell r="V103" t="str">
            <v>Data analytics</v>
          </cell>
          <cell r="W103" t="str">
            <v>Windows upgrades</v>
          </cell>
          <cell r="X103" t="str">
            <v>PCs</v>
          </cell>
          <cell r="Z103" t="str">
            <v>‘No change’ to the budget is likely</v>
          </cell>
          <cell r="AA103" t="str">
            <v>Hardware upgrades</v>
          </cell>
          <cell r="AB103" t="str">
            <v>Security projects</v>
          </cell>
          <cell r="AC103" t="str">
            <v>No change in level of discounting</v>
          </cell>
          <cell r="AD103" t="str">
            <v>No Change</v>
          </cell>
          <cell r="AE103">
            <v>100</v>
          </cell>
          <cell r="AF103">
            <v>0</v>
          </cell>
          <cell r="AG103">
            <v>0</v>
          </cell>
          <cell r="AH103" t="str">
            <v>60/40</v>
          </cell>
          <cell r="AI103" t="str">
            <v>In-Line</v>
          </cell>
          <cell r="AJ103">
            <v>3</v>
          </cell>
          <cell r="AK103">
            <v>5</v>
          </cell>
          <cell r="AL103">
            <v>-5</v>
          </cell>
          <cell r="AM103">
            <v>0</v>
          </cell>
          <cell r="AN103">
            <v>10</v>
          </cell>
          <cell r="AO103">
            <v>10</v>
          </cell>
          <cell r="AP103">
            <v>0</v>
          </cell>
          <cell r="AQ103">
            <v>0</v>
          </cell>
          <cell r="AR103" t="str">
            <v>Don't Use</v>
          </cell>
          <cell r="AS103" t="str">
            <v>Don't Use</v>
          </cell>
          <cell r="AT103" t="str">
            <v>Don't Use</v>
          </cell>
          <cell r="AU103" t="str">
            <v>Don't Use</v>
          </cell>
          <cell r="AV103" t="str">
            <v>Don't Use</v>
          </cell>
          <cell r="AW103" t="str">
            <v>Don't Use</v>
          </cell>
          <cell r="AX103" t="str">
            <v>Don't Use</v>
          </cell>
          <cell r="AY103" t="str">
            <v>Don't Use</v>
          </cell>
          <cell r="AZ103" t="str">
            <v>Flat</v>
          </cell>
          <cell r="BA103" t="str">
            <v>Flat</v>
          </cell>
          <cell r="BB103" t="str">
            <v>Don't Use</v>
          </cell>
          <cell r="BC103" t="str">
            <v>Don't Use</v>
          </cell>
          <cell r="BD103" t="str">
            <v>Don't Use</v>
          </cell>
          <cell r="BE103" t="str">
            <v>Flat</v>
          </cell>
          <cell r="BF103" t="str">
            <v>Increase</v>
          </cell>
          <cell r="BG103" t="str">
            <v>Flat</v>
          </cell>
          <cell r="BH103" t="str">
            <v>Don't Use</v>
          </cell>
          <cell r="BI103" t="str">
            <v>Doing work internally</v>
          </cell>
          <cell r="BJ103" t="str">
            <v>Not Priority</v>
          </cell>
          <cell r="BK103" t="str">
            <v>Doing work internally</v>
          </cell>
          <cell r="BL103" t="str">
            <v>Not Priority</v>
          </cell>
          <cell r="BM103" t="str">
            <v>Doing work internally</v>
          </cell>
          <cell r="BN103" t="str">
            <v>Not Priority</v>
          </cell>
          <cell r="BO103" t="str">
            <v>Doing work internally</v>
          </cell>
          <cell r="BP103" t="str">
            <v>Not Priority</v>
          </cell>
          <cell r="BQ103" t="str">
            <v>Already using services provider</v>
          </cell>
          <cell r="BR103" t="str">
            <v>Doing work internally</v>
          </cell>
          <cell r="BS103" t="str">
            <v>Already using services provider</v>
          </cell>
          <cell r="BT103" t="str">
            <v>Not Priority</v>
          </cell>
          <cell r="BU103">
            <v>1</v>
          </cell>
          <cell r="BV103">
            <v>7</v>
          </cell>
          <cell r="BW103">
            <v>2</v>
          </cell>
          <cell r="BX103">
            <v>5</v>
          </cell>
          <cell r="BY103">
            <v>6</v>
          </cell>
          <cell r="BZ103">
            <v>4</v>
          </cell>
          <cell r="CA103">
            <v>3</v>
          </cell>
          <cell r="CB103" t="str">
            <v>Somewhat less aggressive in discounting</v>
          </cell>
        </row>
        <row r="104">
          <cell r="A104" t="str">
            <v>US</v>
          </cell>
          <cell r="B104" t="str">
            <v>Manufacturing</v>
          </cell>
          <cell r="C104" t="str">
            <v>$5-10 Billion</v>
          </cell>
          <cell r="D104" t="str">
            <v>&lt;$100 Million</v>
          </cell>
          <cell r="E104">
            <v>0</v>
          </cell>
          <cell r="F104">
            <v>5</v>
          </cell>
          <cell r="G104">
            <v>2</v>
          </cell>
          <cell r="H104">
            <v>2</v>
          </cell>
          <cell r="I104">
            <v>0</v>
          </cell>
          <cell r="J104">
            <v>0</v>
          </cell>
          <cell r="K104">
            <v>0</v>
          </cell>
          <cell r="L104">
            <v>5</v>
          </cell>
          <cell r="M104">
            <v>5</v>
          </cell>
          <cell r="N104">
            <v>0</v>
          </cell>
          <cell r="O104">
            <v>4</v>
          </cell>
          <cell r="P104">
            <v>40</v>
          </cell>
          <cell r="Q104">
            <v>60</v>
          </cell>
          <cell r="R104">
            <v>50</v>
          </cell>
          <cell r="S104">
            <v>50</v>
          </cell>
          <cell r="T104" t="str">
            <v>ERP</v>
          </cell>
          <cell r="U104" t="str">
            <v>Software upgrades</v>
          </cell>
          <cell r="V104" t="str">
            <v>ERP</v>
          </cell>
          <cell r="W104" t="str">
            <v>Windows</v>
          </cell>
          <cell r="X104" t="str">
            <v>Mainframes</v>
          </cell>
          <cell r="Y104" t="str">
            <v>Oracle spending</v>
          </cell>
          <cell r="Z104" t="str">
            <v>Equal chance of upward or downward revision</v>
          </cell>
          <cell r="AA104" t="str">
            <v>NA / DK</v>
          </cell>
          <cell r="AB104" t="str">
            <v>NA / DK</v>
          </cell>
          <cell r="AC104" t="str">
            <v>No change in level of discounting</v>
          </cell>
          <cell r="AD104" t="str">
            <v>Somewhat longer</v>
          </cell>
          <cell r="AE104">
            <v>10</v>
          </cell>
          <cell r="AF104">
            <v>50</v>
          </cell>
          <cell r="AG104">
            <v>40</v>
          </cell>
          <cell r="AH104" t="str">
            <v>60/40</v>
          </cell>
          <cell r="AI104" t="str">
            <v>In-Line</v>
          </cell>
          <cell r="AJ104">
            <v>-5</v>
          </cell>
          <cell r="AK104">
            <v>0</v>
          </cell>
          <cell r="AL104">
            <v>0</v>
          </cell>
          <cell r="AM104">
            <v>0</v>
          </cell>
          <cell r="AN104">
            <v>-5</v>
          </cell>
          <cell r="AO104">
            <v>0</v>
          </cell>
          <cell r="AP104">
            <v>10</v>
          </cell>
          <cell r="AQ104">
            <v>0</v>
          </cell>
          <cell r="AR104" t="str">
            <v>Don't Use</v>
          </cell>
          <cell r="AS104" t="str">
            <v>Don't Use</v>
          </cell>
          <cell r="AT104" t="str">
            <v>Don't Use</v>
          </cell>
          <cell r="AU104" t="str">
            <v>Don't Use</v>
          </cell>
          <cell r="AV104" t="str">
            <v>Don't Use</v>
          </cell>
          <cell r="AW104" t="str">
            <v>Don't Use</v>
          </cell>
          <cell r="AX104" t="str">
            <v>Don't Use</v>
          </cell>
          <cell r="AY104" t="str">
            <v>Don't Use</v>
          </cell>
          <cell r="AZ104" t="str">
            <v>Don't Use</v>
          </cell>
          <cell r="BA104" t="str">
            <v>Increase</v>
          </cell>
          <cell r="BB104" t="str">
            <v>Decrease</v>
          </cell>
          <cell r="BC104" t="str">
            <v>Decrease</v>
          </cell>
          <cell r="BD104" t="str">
            <v>Don't Use</v>
          </cell>
          <cell r="BE104" t="str">
            <v>Don't Use</v>
          </cell>
          <cell r="BF104" t="str">
            <v>Don't Use</v>
          </cell>
          <cell r="BG104" t="str">
            <v>Don't Use</v>
          </cell>
          <cell r="BH104" t="str">
            <v>Don't Use</v>
          </cell>
          <cell r="BI104" t="str">
            <v>Not Priority</v>
          </cell>
          <cell r="BJ104" t="str">
            <v>Doing work internally</v>
          </cell>
          <cell r="BK104" t="str">
            <v>Doing work internally</v>
          </cell>
          <cell r="BL104" t="str">
            <v>Not Priority</v>
          </cell>
          <cell r="BM104" t="str">
            <v>Not Priority</v>
          </cell>
          <cell r="BN104" t="str">
            <v>Not Priority</v>
          </cell>
          <cell r="BO104" t="str">
            <v>Doing work internally</v>
          </cell>
          <cell r="BP104" t="str">
            <v>Will use services provider 2H12</v>
          </cell>
          <cell r="BQ104" t="str">
            <v>Doing work internally</v>
          </cell>
          <cell r="BR104" t="str">
            <v>Not Priority</v>
          </cell>
          <cell r="BS104" t="str">
            <v>Doing work internally</v>
          </cell>
          <cell r="BT104" t="str">
            <v>Will use services provider 2H12</v>
          </cell>
          <cell r="BU104">
            <v>2</v>
          </cell>
          <cell r="BV104">
            <v>5</v>
          </cell>
          <cell r="BX104">
            <v>6</v>
          </cell>
          <cell r="BY104">
            <v>1</v>
          </cell>
          <cell r="BZ104">
            <v>4</v>
          </cell>
          <cell r="CA104">
            <v>3</v>
          </cell>
          <cell r="CB104" t="str">
            <v>No change in level of discounting</v>
          </cell>
        </row>
        <row r="105">
          <cell r="A105" t="str">
            <v>US</v>
          </cell>
          <cell r="B105" t="str">
            <v>Manufacturing</v>
          </cell>
          <cell r="C105" t="str">
            <v>$500 Million - $1 Billion</v>
          </cell>
          <cell r="D105" t="str">
            <v>&lt;$100 Million</v>
          </cell>
          <cell r="E105">
            <v>-25</v>
          </cell>
          <cell r="F105">
            <v>-5</v>
          </cell>
          <cell r="G105">
            <v>-20</v>
          </cell>
          <cell r="H105">
            <v>-30</v>
          </cell>
          <cell r="I105">
            <v>-30</v>
          </cell>
          <cell r="J105">
            <v>-20</v>
          </cell>
          <cell r="K105">
            <v>0</v>
          </cell>
          <cell r="L105">
            <v>5</v>
          </cell>
          <cell r="M105">
            <v>10</v>
          </cell>
          <cell r="N105">
            <v>5</v>
          </cell>
          <cell r="O105">
            <v>6</v>
          </cell>
          <cell r="P105">
            <v>40</v>
          </cell>
          <cell r="Q105">
            <v>60</v>
          </cell>
          <cell r="R105">
            <v>50</v>
          </cell>
          <cell r="S105">
            <v>50</v>
          </cell>
          <cell r="T105" t="str">
            <v>Customer web interface</v>
          </cell>
          <cell r="U105" t="str">
            <v>Mobile  apps</v>
          </cell>
          <cell r="V105" t="str">
            <v>Cloud-based apps</v>
          </cell>
          <cell r="W105" t="str">
            <v xml:space="preserve">Hardware  </v>
          </cell>
          <cell r="X105" t="str">
            <v>PC upgrades</v>
          </cell>
          <cell r="Z105" t="str">
            <v>‘No change’ to the budget is likely</v>
          </cell>
          <cell r="AA105" t="str">
            <v>Mobile apps</v>
          </cell>
          <cell r="AB105" t="str">
            <v>Mission critical systems</v>
          </cell>
          <cell r="AC105" t="str">
            <v>No change in level of discounting</v>
          </cell>
          <cell r="AD105" t="str">
            <v>Significantly longer</v>
          </cell>
          <cell r="AE105">
            <v>50</v>
          </cell>
          <cell r="AF105">
            <v>35</v>
          </cell>
          <cell r="AG105">
            <v>15</v>
          </cell>
          <cell r="AH105" t="str">
            <v>50/50</v>
          </cell>
          <cell r="AI105" t="str">
            <v>In-Line</v>
          </cell>
          <cell r="AJ105">
            <v>-10</v>
          </cell>
          <cell r="AK105">
            <v>5</v>
          </cell>
          <cell r="AL105">
            <v>0</v>
          </cell>
          <cell r="AM105">
            <v>0</v>
          </cell>
          <cell r="AN105">
            <v>25</v>
          </cell>
          <cell r="AO105">
            <v>10</v>
          </cell>
          <cell r="AP105">
            <v>0</v>
          </cell>
          <cell r="AQ105">
            <v>-10</v>
          </cell>
          <cell r="AR105" t="str">
            <v>Don't Use</v>
          </cell>
          <cell r="AS105" t="str">
            <v>Don't Use</v>
          </cell>
          <cell r="AT105" t="str">
            <v>Don't Use</v>
          </cell>
          <cell r="AU105" t="str">
            <v>Don't Use</v>
          </cell>
          <cell r="AV105" t="str">
            <v>Don't Use</v>
          </cell>
          <cell r="AW105" t="str">
            <v>Don't Use</v>
          </cell>
          <cell r="AX105" t="str">
            <v>Don't Use</v>
          </cell>
          <cell r="AY105" t="str">
            <v>Don't Use</v>
          </cell>
          <cell r="AZ105" t="str">
            <v>Don't Use</v>
          </cell>
          <cell r="BA105" t="str">
            <v>Decrease</v>
          </cell>
          <cell r="BB105" t="str">
            <v>Don't Use</v>
          </cell>
          <cell r="BC105" t="str">
            <v>Flat</v>
          </cell>
          <cell r="BD105" t="str">
            <v>Don't Use</v>
          </cell>
          <cell r="BE105" t="str">
            <v>Don't Use</v>
          </cell>
          <cell r="BF105" t="str">
            <v>Flat</v>
          </cell>
          <cell r="BG105" t="str">
            <v>Don't Use</v>
          </cell>
          <cell r="BH105" t="str">
            <v>Don't Use</v>
          </cell>
          <cell r="BI105" t="str">
            <v>Not Priority</v>
          </cell>
          <cell r="BJ105" t="str">
            <v>Doing work internally</v>
          </cell>
          <cell r="BK105" t="str">
            <v>Doing work internally</v>
          </cell>
          <cell r="BL105" t="str">
            <v>Doing work internally</v>
          </cell>
          <cell r="BM105" t="str">
            <v>Doing work internally</v>
          </cell>
          <cell r="BN105" t="str">
            <v>Doing work internally</v>
          </cell>
          <cell r="BO105" t="str">
            <v>Doing work internally</v>
          </cell>
          <cell r="BP105" t="str">
            <v>Not Priority</v>
          </cell>
          <cell r="BQ105" t="str">
            <v>Doing work internally</v>
          </cell>
          <cell r="BR105" t="str">
            <v>Not Priority</v>
          </cell>
          <cell r="BS105" t="str">
            <v>Not Priority</v>
          </cell>
          <cell r="BT105" t="str">
            <v>Not Priority</v>
          </cell>
          <cell r="BU105">
            <v>1</v>
          </cell>
          <cell r="BV105">
            <v>7</v>
          </cell>
          <cell r="BW105">
            <v>3</v>
          </cell>
          <cell r="BX105">
            <v>4</v>
          </cell>
          <cell r="BY105">
            <v>5</v>
          </cell>
          <cell r="BZ105">
            <v>2</v>
          </cell>
          <cell r="CA105">
            <v>6</v>
          </cell>
          <cell r="CB105" t="str">
            <v>No change in level of discounting</v>
          </cell>
        </row>
        <row r="106">
          <cell r="A106" t="str">
            <v>US</v>
          </cell>
          <cell r="B106" t="str">
            <v>Manufacturing</v>
          </cell>
          <cell r="C106" t="str">
            <v>$15-20 Billion</v>
          </cell>
          <cell r="D106" t="str">
            <v>$200-300 Million</v>
          </cell>
          <cell r="E106">
            <v>-5</v>
          </cell>
          <cell r="F106">
            <v>7</v>
          </cell>
          <cell r="G106">
            <v>-5</v>
          </cell>
          <cell r="H106">
            <v>-5</v>
          </cell>
          <cell r="I106">
            <v>0</v>
          </cell>
          <cell r="J106">
            <v>-7</v>
          </cell>
          <cell r="K106">
            <v>5</v>
          </cell>
          <cell r="L106">
            <v>10</v>
          </cell>
          <cell r="M106">
            <v>7</v>
          </cell>
          <cell r="N106">
            <v>5</v>
          </cell>
          <cell r="O106">
            <v>7</v>
          </cell>
          <cell r="P106">
            <v>40</v>
          </cell>
          <cell r="Q106">
            <v>60</v>
          </cell>
          <cell r="R106">
            <v>45</v>
          </cell>
          <cell r="S106">
            <v>55</v>
          </cell>
          <cell r="T106" t="str">
            <v>Private Cloud Initiative  </v>
          </cell>
          <cell r="U106" t="str">
            <v>Moving some data hosting offsite</v>
          </cell>
          <cell r="V106" t="str">
            <v>Windows 7</v>
          </cell>
          <cell r="W106" t="str">
            <v>Printer supplies and hardware</v>
          </cell>
          <cell r="Z106" t="str">
            <v>Equal chance of upward or downward revision</v>
          </cell>
          <cell r="AA106" t="str">
            <v>Desktop hardware</v>
          </cell>
          <cell r="AB106" t="str">
            <v>Maintenance spending</v>
          </cell>
          <cell r="AC106" t="str">
            <v>Significantly more aggressive in discounting</v>
          </cell>
          <cell r="AD106" t="str">
            <v>No Change</v>
          </cell>
          <cell r="AE106">
            <v>80</v>
          </cell>
          <cell r="AF106">
            <v>0</v>
          </cell>
          <cell r="AG106">
            <v>20</v>
          </cell>
          <cell r="AH106" t="str">
            <v>50/50</v>
          </cell>
          <cell r="AI106" t="str">
            <v>Under</v>
          </cell>
          <cell r="AJ106">
            <v>-2</v>
          </cell>
          <cell r="AK106">
            <v>-5</v>
          </cell>
          <cell r="AL106" t="str">
            <v>NA / DK</v>
          </cell>
          <cell r="AM106">
            <v>0</v>
          </cell>
          <cell r="AN106">
            <v>0</v>
          </cell>
          <cell r="AO106">
            <v>5</v>
          </cell>
          <cell r="AP106" t="str">
            <v>NA / DK</v>
          </cell>
          <cell r="AQ106" t="str">
            <v>NA / DK</v>
          </cell>
          <cell r="AR106" t="str">
            <v>Flat</v>
          </cell>
          <cell r="AS106" t="str">
            <v>Don't Use</v>
          </cell>
          <cell r="AT106" t="str">
            <v>Don't Use</v>
          </cell>
          <cell r="AU106" t="str">
            <v>Don't Use</v>
          </cell>
          <cell r="AV106" t="str">
            <v>Increase</v>
          </cell>
          <cell r="AW106" t="str">
            <v>Flat</v>
          </cell>
          <cell r="AX106" t="str">
            <v>Don't Use</v>
          </cell>
          <cell r="AY106" t="str">
            <v>Don't Use</v>
          </cell>
          <cell r="AZ106" t="str">
            <v>Flat</v>
          </cell>
          <cell r="BA106" t="str">
            <v>Flat</v>
          </cell>
          <cell r="BB106" t="str">
            <v>Increase</v>
          </cell>
          <cell r="BC106" t="str">
            <v>Don't Use</v>
          </cell>
          <cell r="BD106" t="str">
            <v>Don't Use</v>
          </cell>
          <cell r="BE106" t="str">
            <v>Don't Use</v>
          </cell>
          <cell r="BF106" t="str">
            <v>Flat</v>
          </cell>
          <cell r="BG106" t="str">
            <v>Don't Use</v>
          </cell>
          <cell r="BH106" t="str">
            <v>Don't Use</v>
          </cell>
          <cell r="BI106" t="str">
            <v>Already using services provider</v>
          </cell>
          <cell r="BJ106" t="str">
            <v>Doing work internally</v>
          </cell>
          <cell r="BK106" t="str">
            <v>Not Priority</v>
          </cell>
          <cell r="BL106" t="str">
            <v>Will use services provider 1H12</v>
          </cell>
          <cell r="BM106" t="str">
            <v>Already using services provider</v>
          </cell>
          <cell r="BN106" t="str">
            <v>Doing work internally</v>
          </cell>
          <cell r="BO106" t="str">
            <v>Doing work internally</v>
          </cell>
          <cell r="BP106" t="str">
            <v>Will use services provider 2H12</v>
          </cell>
          <cell r="BQ106" t="str">
            <v>Doing work internally</v>
          </cell>
          <cell r="BR106" t="str">
            <v>Doing work internally</v>
          </cell>
          <cell r="BS106" t="str">
            <v>Not Priority</v>
          </cell>
          <cell r="BT106" t="str">
            <v>Already using services provider</v>
          </cell>
          <cell r="BU106">
            <v>6</v>
          </cell>
          <cell r="BV106">
            <v>5</v>
          </cell>
          <cell r="BW106">
            <v>3</v>
          </cell>
          <cell r="BX106">
            <v>7</v>
          </cell>
          <cell r="BY106">
            <v>4</v>
          </cell>
          <cell r="BZ106">
            <v>1</v>
          </cell>
          <cell r="CA106">
            <v>2</v>
          </cell>
          <cell r="CB106" t="str">
            <v>No change in level of discounting</v>
          </cell>
        </row>
        <row r="107">
          <cell r="A107" t="str">
            <v>US</v>
          </cell>
          <cell r="B107" t="str">
            <v>Manufacturing</v>
          </cell>
          <cell r="C107" t="str">
            <v>$10-15 Billion</v>
          </cell>
          <cell r="D107" t="str">
            <v>&lt;$100 Million</v>
          </cell>
          <cell r="E107">
            <v>0</v>
          </cell>
          <cell r="F107">
            <v>0</v>
          </cell>
          <cell r="G107">
            <v>5</v>
          </cell>
          <cell r="H107">
            <v>3</v>
          </cell>
          <cell r="I107">
            <v>5</v>
          </cell>
          <cell r="J107">
            <v>0</v>
          </cell>
          <cell r="K107">
            <v>0</v>
          </cell>
          <cell r="L107">
            <v>7</v>
          </cell>
          <cell r="M107">
            <v>3</v>
          </cell>
          <cell r="N107">
            <v>0</v>
          </cell>
          <cell r="O107">
            <v>6</v>
          </cell>
          <cell r="P107">
            <v>40</v>
          </cell>
          <cell r="Q107">
            <v>60</v>
          </cell>
          <cell r="R107">
            <v>50</v>
          </cell>
          <cell r="S107">
            <v>50</v>
          </cell>
          <cell r="T107" t="str">
            <v xml:space="preserve">ERP </v>
          </cell>
          <cell r="U107" t="str">
            <v>Voice recognition software</v>
          </cell>
          <cell r="V107" t="str">
            <v>BI tools</v>
          </cell>
          <cell r="W107" t="str">
            <v>Custome app development</v>
          </cell>
          <cell r="X107" t="str">
            <v>Consultants</v>
          </cell>
          <cell r="Z107" t="str">
            <v>Equal chance of upward or downward revision</v>
          </cell>
          <cell r="AA107" t="str">
            <v>BI tool</v>
          </cell>
          <cell r="AB107" t="str">
            <v>ERP</v>
          </cell>
          <cell r="AC107" t="str">
            <v>Significantly more aggressive in discounting</v>
          </cell>
          <cell r="AD107" t="str">
            <v>Somewhat longer</v>
          </cell>
          <cell r="AE107">
            <v>60</v>
          </cell>
          <cell r="AF107">
            <v>25</v>
          </cell>
          <cell r="AG107">
            <v>15</v>
          </cell>
          <cell r="AH107" t="str">
            <v>30/70</v>
          </cell>
          <cell r="AI107" t="str">
            <v>In-Line</v>
          </cell>
          <cell r="AJ107">
            <v>3</v>
          </cell>
          <cell r="AK107">
            <v>0</v>
          </cell>
          <cell r="AL107">
            <v>5</v>
          </cell>
          <cell r="AM107">
            <v>5</v>
          </cell>
          <cell r="AN107">
            <v>6</v>
          </cell>
          <cell r="AO107">
            <v>0</v>
          </cell>
          <cell r="AP107">
            <v>5</v>
          </cell>
          <cell r="AQ107">
            <v>0</v>
          </cell>
          <cell r="AR107" t="str">
            <v>Flat</v>
          </cell>
          <cell r="AS107" t="str">
            <v>Don't Use</v>
          </cell>
          <cell r="AT107" t="str">
            <v>Don't Use</v>
          </cell>
          <cell r="AU107" t="str">
            <v>Don't Use</v>
          </cell>
          <cell r="AV107" t="str">
            <v>Flat</v>
          </cell>
          <cell r="AW107" t="str">
            <v>Don't Use</v>
          </cell>
          <cell r="AX107" t="str">
            <v>Don't Use</v>
          </cell>
          <cell r="AY107" t="str">
            <v>Don't Use</v>
          </cell>
          <cell r="AZ107" t="str">
            <v>Don't Use</v>
          </cell>
          <cell r="BA107" t="str">
            <v>Flat</v>
          </cell>
          <cell r="BB107" t="str">
            <v>Don't Use</v>
          </cell>
          <cell r="BC107" t="str">
            <v>Don't Use</v>
          </cell>
          <cell r="BD107" t="str">
            <v>Flat</v>
          </cell>
          <cell r="BE107" t="str">
            <v>Don't Use</v>
          </cell>
          <cell r="BF107" t="str">
            <v>Don't Use</v>
          </cell>
          <cell r="BG107" t="str">
            <v>Don't Use</v>
          </cell>
          <cell r="BH107" t="str">
            <v>Don't Use</v>
          </cell>
          <cell r="BI107" t="str">
            <v>Already using services provider</v>
          </cell>
          <cell r="BJ107" t="str">
            <v>Will use services provider 2H12</v>
          </cell>
          <cell r="BK107" t="str">
            <v>Will use services provider 2H12</v>
          </cell>
          <cell r="BL107" t="str">
            <v>Not Priority</v>
          </cell>
          <cell r="BM107" t="str">
            <v>Doing work internally</v>
          </cell>
          <cell r="BN107" t="str">
            <v>Already using services provider</v>
          </cell>
          <cell r="BO107" t="str">
            <v>Doing work internally</v>
          </cell>
          <cell r="BP107" t="str">
            <v>Will use services provider 2H12</v>
          </cell>
          <cell r="BQ107" t="str">
            <v>Doing work internally</v>
          </cell>
          <cell r="BR107" t="str">
            <v>Not Priority</v>
          </cell>
          <cell r="BS107" t="str">
            <v>Doing work internally</v>
          </cell>
          <cell r="BT107" t="str">
            <v>Doing work internally</v>
          </cell>
          <cell r="BU107">
            <v>1</v>
          </cell>
          <cell r="BV107">
            <v>3</v>
          </cell>
          <cell r="BW107">
            <v>2</v>
          </cell>
          <cell r="BX107">
            <v>7</v>
          </cell>
          <cell r="BY107">
            <v>6</v>
          </cell>
          <cell r="BZ107">
            <v>5</v>
          </cell>
          <cell r="CA107">
            <v>4</v>
          </cell>
          <cell r="CB107" t="str">
            <v>No change in level of discounting</v>
          </cell>
        </row>
        <row r="108">
          <cell r="A108" t="str">
            <v>US</v>
          </cell>
          <cell r="B108" t="str">
            <v>Manufacturing</v>
          </cell>
          <cell r="C108" t="str">
            <v>$10-15 Billion</v>
          </cell>
          <cell r="D108" t="str">
            <v>$300-400 Million</v>
          </cell>
          <cell r="E108">
            <v>-3</v>
          </cell>
          <cell r="F108">
            <v>0</v>
          </cell>
          <cell r="G108">
            <v>0</v>
          </cell>
          <cell r="H108">
            <v>-5</v>
          </cell>
          <cell r="I108">
            <v>0</v>
          </cell>
          <cell r="J108">
            <v>-2</v>
          </cell>
          <cell r="K108">
            <v>5</v>
          </cell>
          <cell r="L108">
            <v>5</v>
          </cell>
          <cell r="M108">
            <v>15</v>
          </cell>
          <cell r="N108">
            <v>5</v>
          </cell>
          <cell r="O108">
            <v>6</v>
          </cell>
          <cell r="P108">
            <v>45</v>
          </cell>
          <cell r="Q108">
            <v>55</v>
          </cell>
          <cell r="R108">
            <v>55</v>
          </cell>
          <cell r="S108">
            <v>45</v>
          </cell>
          <cell r="T108" t="str">
            <v>ERP</v>
          </cell>
          <cell r="U108" t="str">
            <v>BI projects for managing people</v>
          </cell>
          <cell r="V108" t="str">
            <v>Data warehouse integration</v>
          </cell>
          <cell r="W108" t="str">
            <v>Use of outside services</v>
          </cell>
          <cell r="X108" t="str">
            <v>SaaS</v>
          </cell>
          <cell r="Y108" t="str">
            <v>Some cloud projects slowed</v>
          </cell>
          <cell r="Z108" t="str">
            <v>Equal chance of upward or downward revision</v>
          </cell>
          <cell r="AA108" t="str">
            <v>Consulting / Outsourcing</v>
          </cell>
          <cell r="AB108" t="str">
            <v>Everything subject to cuts</v>
          </cell>
          <cell r="AC108" t="str">
            <v>Somewhat more aggressive in discounting</v>
          </cell>
          <cell r="AD108" t="str">
            <v>Somewhat longer</v>
          </cell>
          <cell r="AE108">
            <v>75</v>
          </cell>
          <cell r="AF108">
            <v>15</v>
          </cell>
          <cell r="AG108">
            <v>10</v>
          </cell>
          <cell r="AH108" t="str">
            <v>50/50</v>
          </cell>
          <cell r="AI108" t="str">
            <v>In-Line</v>
          </cell>
          <cell r="AJ108">
            <v>0</v>
          </cell>
          <cell r="AK108">
            <v>0</v>
          </cell>
          <cell r="AL108">
            <v>0</v>
          </cell>
          <cell r="AM108">
            <v>5</v>
          </cell>
          <cell r="AN108">
            <v>0</v>
          </cell>
          <cell r="AO108">
            <v>18</v>
          </cell>
          <cell r="AP108">
            <v>5</v>
          </cell>
          <cell r="AQ108">
            <v>5</v>
          </cell>
          <cell r="AR108" t="str">
            <v>Don't Use</v>
          </cell>
          <cell r="AS108" t="str">
            <v>Increase</v>
          </cell>
          <cell r="AT108" t="str">
            <v>Don't Use</v>
          </cell>
          <cell r="AU108" t="str">
            <v>Flat</v>
          </cell>
          <cell r="AV108" t="str">
            <v>Don't Use</v>
          </cell>
          <cell r="AW108" t="str">
            <v>Don't Use</v>
          </cell>
          <cell r="AX108" t="str">
            <v>Flat</v>
          </cell>
          <cell r="AY108" t="str">
            <v>Don't Use</v>
          </cell>
          <cell r="AZ108" t="str">
            <v>Don't Use</v>
          </cell>
          <cell r="BA108" t="str">
            <v>Flat</v>
          </cell>
          <cell r="BB108" t="str">
            <v>Don't Use</v>
          </cell>
          <cell r="BC108" t="str">
            <v>Flat</v>
          </cell>
          <cell r="BD108" t="str">
            <v>Don't Use</v>
          </cell>
          <cell r="BE108" t="str">
            <v>Don't Use</v>
          </cell>
          <cell r="BF108" t="str">
            <v>Don't Use</v>
          </cell>
          <cell r="BG108" t="str">
            <v>Don't Use</v>
          </cell>
          <cell r="BH108" t="str">
            <v>Don't Use</v>
          </cell>
          <cell r="BI108" t="str">
            <v>Already using services provider</v>
          </cell>
          <cell r="BJ108" t="str">
            <v>Doing work internally</v>
          </cell>
          <cell r="BK108" t="str">
            <v>Already using services provider</v>
          </cell>
          <cell r="BL108" t="str">
            <v>Doing work internally</v>
          </cell>
          <cell r="BM108" t="str">
            <v>Not Priority</v>
          </cell>
          <cell r="BN108" t="str">
            <v>Not Priority</v>
          </cell>
          <cell r="BO108" t="str">
            <v>Doing work internally</v>
          </cell>
          <cell r="BP108" t="str">
            <v>Already using services provider</v>
          </cell>
          <cell r="BQ108" t="str">
            <v>Already using services provider</v>
          </cell>
          <cell r="BR108" t="str">
            <v>Not Priority</v>
          </cell>
          <cell r="BS108" t="str">
            <v>Not Priority</v>
          </cell>
          <cell r="BT108" t="str">
            <v>Already using services provider</v>
          </cell>
          <cell r="BU108">
            <v>3</v>
          </cell>
          <cell r="BV108">
            <v>7</v>
          </cell>
          <cell r="BW108">
            <v>1</v>
          </cell>
          <cell r="BX108">
            <v>2</v>
          </cell>
          <cell r="BY108">
            <v>4</v>
          </cell>
          <cell r="BZ108">
            <v>5</v>
          </cell>
          <cell r="CA108">
            <v>6</v>
          </cell>
          <cell r="CB108" t="str">
            <v>Somewhat more aggressive in discounting</v>
          </cell>
        </row>
        <row r="109">
          <cell r="A109" t="str">
            <v>US</v>
          </cell>
          <cell r="B109" t="str">
            <v>Manufacturing</v>
          </cell>
          <cell r="C109" t="str">
            <v>$1-5 Billion</v>
          </cell>
          <cell r="D109" t="str">
            <v>$500-600 Million</v>
          </cell>
          <cell r="E109">
            <v>7</v>
          </cell>
          <cell r="F109">
            <v>1</v>
          </cell>
          <cell r="G109">
            <v>10</v>
          </cell>
          <cell r="H109">
            <v>7</v>
          </cell>
          <cell r="I109">
            <v>5</v>
          </cell>
          <cell r="J109">
            <v>5</v>
          </cell>
          <cell r="K109">
            <v>10</v>
          </cell>
          <cell r="L109">
            <v>10</v>
          </cell>
          <cell r="M109">
            <v>5</v>
          </cell>
          <cell r="N109">
            <v>15</v>
          </cell>
          <cell r="O109">
            <v>8</v>
          </cell>
          <cell r="P109">
            <v>50</v>
          </cell>
          <cell r="Q109">
            <v>50</v>
          </cell>
          <cell r="R109">
            <v>50</v>
          </cell>
          <cell r="S109">
            <v>50</v>
          </cell>
          <cell r="T109" t="str">
            <v>SAP updates</v>
          </cell>
          <cell r="U109" t="str">
            <v>Server virtualization</v>
          </cell>
          <cell r="V109" t="str">
            <v>Windows upgrades</v>
          </cell>
          <cell r="W109" t="str">
            <v>NAS</v>
          </cell>
          <cell r="X109" t="str">
            <v>Professional services</v>
          </cell>
          <cell r="Z109" t="str">
            <v>Equal chance of upward or downward revision</v>
          </cell>
          <cell r="AA109" t="str">
            <v>NA / DK</v>
          </cell>
          <cell r="AB109" t="str">
            <v>NA / DK</v>
          </cell>
          <cell r="AC109" t="str">
            <v>No change in level of discounting</v>
          </cell>
          <cell r="AD109" t="str">
            <v>No Change</v>
          </cell>
          <cell r="AE109">
            <v>75</v>
          </cell>
          <cell r="AF109">
            <v>25</v>
          </cell>
          <cell r="AG109">
            <v>0</v>
          </cell>
          <cell r="AH109" t="str">
            <v>60/40</v>
          </cell>
          <cell r="AI109" t="str">
            <v>Under</v>
          </cell>
          <cell r="AJ109">
            <v>13</v>
          </cell>
          <cell r="AK109">
            <v>5</v>
          </cell>
          <cell r="AL109">
            <v>5</v>
          </cell>
          <cell r="AM109">
            <v>15</v>
          </cell>
          <cell r="AN109">
            <v>13</v>
          </cell>
          <cell r="AO109">
            <v>10</v>
          </cell>
          <cell r="AP109">
            <v>5</v>
          </cell>
          <cell r="AQ109">
            <v>5</v>
          </cell>
          <cell r="AR109" t="str">
            <v>Increase</v>
          </cell>
          <cell r="AS109" t="str">
            <v>Increase</v>
          </cell>
          <cell r="AT109" t="str">
            <v>Don't Use</v>
          </cell>
          <cell r="AU109" t="str">
            <v>Don't Use</v>
          </cell>
          <cell r="AV109" t="str">
            <v>Don't Use</v>
          </cell>
          <cell r="AW109" t="str">
            <v>Don't Use</v>
          </cell>
          <cell r="AX109" t="str">
            <v>Don't Use</v>
          </cell>
          <cell r="AY109" t="str">
            <v>Don't Use</v>
          </cell>
          <cell r="AZ109" t="str">
            <v>Don't Use</v>
          </cell>
          <cell r="BA109" t="str">
            <v>Don't Use</v>
          </cell>
          <cell r="BB109" t="str">
            <v>Flat</v>
          </cell>
          <cell r="BC109" t="str">
            <v>Don't Use</v>
          </cell>
          <cell r="BD109" t="str">
            <v>Don't Use</v>
          </cell>
          <cell r="BE109" t="str">
            <v>Don't Use</v>
          </cell>
          <cell r="BF109" t="str">
            <v>Don't Use</v>
          </cell>
          <cell r="BG109" t="str">
            <v>Flat</v>
          </cell>
          <cell r="BH109" t="str">
            <v>Don't Use</v>
          </cell>
          <cell r="BI109" t="str">
            <v>Already using services provider</v>
          </cell>
          <cell r="BJ109" t="str">
            <v>Not Priority</v>
          </cell>
          <cell r="BK109" t="str">
            <v>Not Priority</v>
          </cell>
          <cell r="BL109" t="str">
            <v>Not Priority</v>
          </cell>
          <cell r="BM109" t="str">
            <v>Doing work internally</v>
          </cell>
          <cell r="BN109" t="str">
            <v>Not Priority</v>
          </cell>
          <cell r="BO109" t="str">
            <v>Doing work internally</v>
          </cell>
          <cell r="BP109" t="str">
            <v>Not Priority</v>
          </cell>
          <cell r="BQ109" t="str">
            <v>Already using services provider</v>
          </cell>
          <cell r="BR109" t="str">
            <v>Not Priority</v>
          </cell>
          <cell r="BS109" t="str">
            <v>Doing work internally</v>
          </cell>
          <cell r="BT109" t="str">
            <v>Will use services provider 2H12</v>
          </cell>
          <cell r="BU109">
            <v>4</v>
          </cell>
          <cell r="BV109">
            <v>7</v>
          </cell>
          <cell r="BW109">
            <v>1</v>
          </cell>
          <cell r="BX109">
            <v>3</v>
          </cell>
          <cell r="BY109">
            <v>5</v>
          </cell>
          <cell r="BZ109">
            <v>2</v>
          </cell>
          <cell r="CA109">
            <v>6</v>
          </cell>
          <cell r="CB109" t="str">
            <v>Somewhat less aggressive in discounting</v>
          </cell>
        </row>
        <row r="110">
          <cell r="A110" t="str">
            <v>US</v>
          </cell>
          <cell r="B110" t="str">
            <v>Manufacturing</v>
          </cell>
          <cell r="C110" t="str">
            <v>$15-20 Billion</v>
          </cell>
          <cell r="D110" t="str">
            <v>$400-500 Million</v>
          </cell>
          <cell r="E110">
            <v>12</v>
          </cell>
          <cell r="F110">
            <v>5</v>
          </cell>
          <cell r="G110">
            <v>5</v>
          </cell>
          <cell r="H110">
            <v>12</v>
          </cell>
          <cell r="I110">
            <v>8</v>
          </cell>
          <cell r="J110">
            <v>10</v>
          </cell>
          <cell r="K110">
            <v>5</v>
          </cell>
          <cell r="L110">
            <v>0</v>
          </cell>
          <cell r="M110">
            <v>-7</v>
          </cell>
          <cell r="N110">
            <v>0</v>
          </cell>
          <cell r="O110">
            <v>6</v>
          </cell>
          <cell r="P110">
            <v>50</v>
          </cell>
          <cell r="Q110">
            <v>50</v>
          </cell>
          <cell r="R110">
            <v>60</v>
          </cell>
          <cell r="S110">
            <v>40</v>
          </cell>
          <cell r="T110" t="str">
            <v>SCM upgrades</v>
          </cell>
          <cell r="U110" t="str">
            <v>Integrate SOA with BI</v>
          </cell>
          <cell r="V110" t="str">
            <v>Service portal</v>
          </cell>
          <cell r="W110" t="str">
            <v>NA / No Decrease</v>
          </cell>
          <cell r="Z110" t="str">
            <v>‘No change’ to the budget is likely</v>
          </cell>
          <cell r="AA110" t="str">
            <v>NA / DK</v>
          </cell>
          <cell r="AB110" t="str">
            <v>NA / DK</v>
          </cell>
          <cell r="AC110" t="str">
            <v>No change in level of discounting</v>
          </cell>
          <cell r="AD110" t="str">
            <v>Somewhat longer</v>
          </cell>
          <cell r="AE110">
            <v>100</v>
          </cell>
          <cell r="AF110">
            <v>0</v>
          </cell>
          <cell r="AG110">
            <v>0</v>
          </cell>
          <cell r="AH110" t="str">
            <v>40/60</v>
          </cell>
          <cell r="AI110" t="str">
            <v>In-Line</v>
          </cell>
          <cell r="AJ110">
            <v>0</v>
          </cell>
          <cell r="AK110" t="str">
            <v>NA / DK</v>
          </cell>
          <cell r="AL110" t="str">
            <v>NA / DK</v>
          </cell>
          <cell r="AM110" t="str">
            <v>NA / DK</v>
          </cell>
          <cell r="AN110">
            <v>-5</v>
          </cell>
          <cell r="AO110" t="str">
            <v>NA / DK</v>
          </cell>
          <cell r="AP110" t="str">
            <v>NA / DK</v>
          </cell>
          <cell r="AQ110" t="str">
            <v>NA / DK</v>
          </cell>
          <cell r="AR110" t="str">
            <v>Flat</v>
          </cell>
          <cell r="AS110" t="str">
            <v>Don't Use</v>
          </cell>
          <cell r="AT110" t="str">
            <v>Don't Use</v>
          </cell>
          <cell r="AU110" t="str">
            <v>Don't Use</v>
          </cell>
          <cell r="AV110" t="str">
            <v>Don't Use</v>
          </cell>
          <cell r="AW110" t="str">
            <v>Don't Use</v>
          </cell>
          <cell r="AX110" t="str">
            <v>Flat</v>
          </cell>
          <cell r="AY110" t="str">
            <v>Flat</v>
          </cell>
          <cell r="AZ110" t="str">
            <v>Don't Use</v>
          </cell>
          <cell r="BA110" t="str">
            <v>Flat</v>
          </cell>
          <cell r="BB110" t="str">
            <v>Increase</v>
          </cell>
          <cell r="BC110" t="str">
            <v>Flat</v>
          </cell>
          <cell r="BD110" t="str">
            <v>Don't Use</v>
          </cell>
          <cell r="BE110" t="str">
            <v>Don't Use</v>
          </cell>
          <cell r="BF110" t="str">
            <v>Don't Use</v>
          </cell>
          <cell r="BG110" t="str">
            <v>Don't Use</v>
          </cell>
          <cell r="BH110" t="str">
            <v>Flat</v>
          </cell>
          <cell r="BI110" t="str">
            <v>Already using services provider</v>
          </cell>
          <cell r="BJ110" t="str">
            <v>Doing work internally</v>
          </cell>
          <cell r="BK110" t="str">
            <v>Will use services provider 2H12</v>
          </cell>
          <cell r="BL110" t="str">
            <v>Doing work internally</v>
          </cell>
          <cell r="BM110" t="str">
            <v>Doing work internally</v>
          </cell>
          <cell r="BN110" t="str">
            <v>Already using services provider</v>
          </cell>
          <cell r="BO110" t="str">
            <v>Doing work internally</v>
          </cell>
          <cell r="BP110" t="str">
            <v>Not Priority</v>
          </cell>
          <cell r="BQ110" t="str">
            <v>Doing work internally</v>
          </cell>
          <cell r="BR110" t="str">
            <v>Not Priority</v>
          </cell>
          <cell r="BS110" t="str">
            <v>Not Priority</v>
          </cell>
          <cell r="BT110" t="str">
            <v>Not Priority</v>
          </cell>
          <cell r="BU110">
            <v>2</v>
          </cell>
          <cell r="BV110">
            <v>3</v>
          </cell>
          <cell r="BW110">
            <v>6</v>
          </cell>
          <cell r="BX110">
            <v>1</v>
          </cell>
          <cell r="BY110">
            <v>5</v>
          </cell>
          <cell r="BZ110">
            <v>7</v>
          </cell>
          <cell r="CA110">
            <v>4</v>
          </cell>
          <cell r="CB110" t="str">
            <v>Somewhat less aggressive in discounting</v>
          </cell>
        </row>
        <row r="111">
          <cell r="A111" t="str">
            <v>US</v>
          </cell>
          <cell r="B111" t="str">
            <v>Manufacturing</v>
          </cell>
          <cell r="C111" t="str">
            <v>$1-5 Billion</v>
          </cell>
          <cell r="D111" t="str">
            <v>$200-300 Million</v>
          </cell>
          <cell r="E111">
            <v>5</v>
          </cell>
          <cell r="F111">
            <v>5</v>
          </cell>
          <cell r="G111">
            <v>5</v>
          </cell>
          <cell r="H111">
            <v>5</v>
          </cell>
          <cell r="I111">
            <v>0</v>
          </cell>
          <cell r="J111">
            <v>8</v>
          </cell>
          <cell r="K111">
            <v>-5</v>
          </cell>
          <cell r="L111">
            <v>10</v>
          </cell>
          <cell r="M111">
            <v>5</v>
          </cell>
          <cell r="N111">
            <v>15</v>
          </cell>
          <cell r="O111">
            <v>6</v>
          </cell>
          <cell r="P111">
            <v>50</v>
          </cell>
          <cell r="Q111">
            <v>50</v>
          </cell>
          <cell r="R111">
            <v>50</v>
          </cell>
          <cell r="S111">
            <v>50</v>
          </cell>
          <cell r="T111" t="str">
            <v>Infrastructure consolidation</v>
          </cell>
          <cell r="U111" t="str">
            <v>Integrating enterprise wide applications</v>
          </cell>
          <cell r="V111" t="str">
            <v>Server updates</v>
          </cell>
          <cell r="W111" t="str">
            <v>NA / No Decrease</v>
          </cell>
          <cell r="Z111" t="str">
            <v>‘No change’ to the budget is likely</v>
          </cell>
          <cell r="AA111" t="str">
            <v>Cuts would be evenly spread</v>
          </cell>
          <cell r="AB111" t="str">
            <v>Nothing is untouchable</v>
          </cell>
          <cell r="AC111" t="str">
            <v>No change in level of discounting</v>
          </cell>
          <cell r="AD111" t="str">
            <v>Somewhat longer</v>
          </cell>
          <cell r="AE111">
            <v>75</v>
          </cell>
          <cell r="AF111">
            <v>25</v>
          </cell>
          <cell r="AG111">
            <v>0</v>
          </cell>
          <cell r="AH111" t="str">
            <v>40/60</v>
          </cell>
          <cell r="AI111" t="str">
            <v>In-Line</v>
          </cell>
          <cell r="AJ111">
            <v>0</v>
          </cell>
          <cell r="AK111" t="str">
            <v>NA / DK</v>
          </cell>
          <cell r="AL111" t="str">
            <v>NA / DK</v>
          </cell>
          <cell r="AM111">
            <v>10</v>
          </cell>
          <cell r="AN111">
            <v>10</v>
          </cell>
          <cell r="AO111" t="str">
            <v>NA / DK</v>
          </cell>
          <cell r="AP111" t="str">
            <v>NA / DK</v>
          </cell>
          <cell r="AQ111">
            <v>0</v>
          </cell>
          <cell r="AR111" t="str">
            <v>Flat</v>
          </cell>
          <cell r="AS111" t="str">
            <v>Don't Use</v>
          </cell>
          <cell r="AT111" t="str">
            <v>Don't Use</v>
          </cell>
          <cell r="AU111" t="str">
            <v>Don't Use</v>
          </cell>
          <cell r="AV111" t="str">
            <v>Don't Use</v>
          </cell>
          <cell r="AW111" t="str">
            <v>Don't Use</v>
          </cell>
          <cell r="AX111" t="str">
            <v>Don't Use</v>
          </cell>
          <cell r="AY111" t="str">
            <v>Flat</v>
          </cell>
          <cell r="AZ111" t="str">
            <v>Don't Use</v>
          </cell>
          <cell r="BA111" t="str">
            <v>Don't Use</v>
          </cell>
          <cell r="BB111" t="str">
            <v>Don't Use</v>
          </cell>
          <cell r="BC111" t="str">
            <v>Don't Use</v>
          </cell>
          <cell r="BD111" t="str">
            <v>Don't Use</v>
          </cell>
          <cell r="BE111" t="str">
            <v>Don't Use</v>
          </cell>
          <cell r="BF111" t="str">
            <v>Don't Use</v>
          </cell>
          <cell r="BG111" t="str">
            <v>Don't Use</v>
          </cell>
          <cell r="BH111" t="str">
            <v>Don't Use</v>
          </cell>
          <cell r="BI111" t="str">
            <v>Already using services provider</v>
          </cell>
          <cell r="BJ111" t="str">
            <v>Doing work internally</v>
          </cell>
          <cell r="BK111" t="str">
            <v>Doing work internally</v>
          </cell>
          <cell r="BL111" t="str">
            <v>Doing work internally</v>
          </cell>
          <cell r="BM111" t="str">
            <v>Doing work internally</v>
          </cell>
          <cell r="BN111" t="str">
            <v>Not Priority</v>
          </cell>
          <cell r="BO111" t="str">
            <v>Doing work internally</v>
          </cell>
          <cell r="BP111" t="str">
            <v>Not Priority</v>
          </cell>
          <cell r="BQ111" t="str">
            <v>Doing work internally</v>
          </cell>
          <cell r="BR111" t="str">
            <v>Not Priority</v>
          </cell>
          <cell r="BS111" t="str">
            <v>Not Priority</v>
          </cell>
          <cell r="BT111" t="str">
            <v>Not Priority</v>
          </cell>
          <cell r="BU111">
            <v>3</v>
          </cell>
          <cell r="BV111">
            <v>7</v>
          </cell>
          <cell r="BW111">
            <v>2</v>
          </cell>
          <cell r="BX111">
            <v>4</v>
          </cell>
          <cell r="BY111">
            <v>6</v>
          </cell>
          <cell r="BZ111">
            <v>1</v>
          </cell>
          <cell r="CA111">
            <v>5</v>
          </cell>
          <cell r="CB111" t="str">
            <v>No change in level of discounting</v>
          </cell>
        </row>
        <row r="112">
          <cell r="A112" t="str">
            <v>US</v>
          </cell>
          <cell r="B112" t="str">
            <v>Manufacturing</v>
          </cell>
          <cell r="C112" t="str">
            <v>$500 Million - $1 Billion</v>
          </cell>
          <cell r="D112" t="str">
            <v>&lt;$100 Million</v>
          </cell>
          <cell r="E112">
            <v>3</v>
          </cell>
          <cell r="F112">
            <v>2</v>
          </cell>
          <cell r="G112">
            <v>5</v>
          </cell>
          <cell r="H112">
            <v>0</v>
          </cell>
          <cell r="I112">
            <v>0</v>
          </cell>
          <cell r="J112">
            <v>0</v>
          </cell>
          <cell r="K112">
            <v>2</v>
          </cell>
          <cell r="L112">
            <v>5</v>
          </cell>
          <cell r="M112">
            <v>10</v>
          </cell>
          <cell r="N112">
            <v>5</v>
          </cell>
          <cell r="O112">
            <v>5</v>
          </cell>
          <cell r="P112">
            <v>50</v>
          </cell>
          <cell r="Q112">
            <v>50</v>
          </cell>
          <cell r="R112">
            <v>50</v>
          </cell>
          <cell r="S112">
            <v>50</v>
          </cell>
          <cell r="T112" t="str">
            <v>Sales Automation</v>
          </cell>
          <cell r="U112" t="str">
            <v>Back Office Productivity</v>
          </cell>
          <cell r="W112" t="str">
            <v>Collaboration SW</v>
          </cell>
          <cell r="X112" t="str">
            <v>Unstructured Data growth</v>
          </cell>
          <cell r="Z112" t="str">
            <v>Downward revision is more likely</v>
          </cell>
          <cell r="AA112" t="str">
            <v>Everything subject to cuts</v>
          </cell>
          <cell r="AB112" t="str">
            <v>Mission critical systems</v>
          </cell>
          <cell r="AC112" t="str">
            <v>No change in level of discounting</v>
          </cell>
          <cell r="AD112" t="str">
            <v>Significantly longer</v>
          </cell>
          <cell r="AE112">
            <v>90</v>
          </cell>
          <cell r="AF112">
            <v>10</v>
          </cell>
          <cell r="AG112">
            <v>0</v>
          </cell>
          <cell r="AH112" t="str">
            <v>60/40</v>
          </cell>
          <cell r="AI112" t="str">
            <v>Under</v>
          </cell>
          <cell r="AJ112">
            <v>10</v>
          </cell>
          <cell r="AK112" t="str">
            <v>NA / DK</v>
          </cell>
          <cell r="AL112" t="str">
            <v>NA / DK</v>
          </cell>
          <cell r="AM112">
            <v>10</v>
          </cell>
          <cell r="AN112">
            <v>10</v>
          </cell>
          <cell r="AO112" t="str">
            <v>NA / DK</v>
          </cell>
          <cell r="AP112" t="str">
            <v>NA / DK</v>
          </cell>
          <cell r="AQ112">
            <v>5</v>
          </cell>
          <cell r="AR112" t="str">
            <v>Don't Use</v>
          </cell>
          <cell r="AS112" t="str">
            <v>Don't Use</v>
          </cell>
          <cell r="AT112" t="str">
            <v>Don't Use</v>
          </cell>
          <cell r="AU112" t="str">
            <v>Don't Use</v>
          </cell>
          <cell r="AV112" t="str">
            <v>Don't Use</v>
          </cell>
          <cell r="AW112" t="str">
            <v>Don't Use</v>
          </cell>
          <cell r="AX112" t="str">
            <v>Flat</v>
          </cell>
          <cell r="AY112" t="str">
            <v>Don't Use</v>
          </cell>
          <cell r="AZ112" t="str">
            <v>Don't Use</v>
          </cell>
          <cell r="BA112" t="str">
            <v>Flat</v>
          </cell>
          <cell r="BB112" t="str">
            <v>Flat</v>
          </cell>
          <cell r="BC112" t="str">
            <v>Don't Use</v>
          </cell>
          <cell r="BD112" t="str">
            <v>Don't Use</v>
          </cell>
          <cell r="BE112" t="str">
            <v>Don't Use</v>
          </cell>
          <cell r="BF112" t="str">
            <v>Don't Use</v>
          </cell>
          <cell r="BG112" t="str">
            <v>Flat</v>
          </cell>
          <cell r="BH112" t="str">
            <v>Don't Use</v>
          </cell>
          <cell r="BI112" t="str">
            <v>Already using services provider</v>
          </cell>
          <cell r="BJ112" t="str">
            <v>Not Priority</v>
          </cell>
          <cell r="BK112" t="str">
            <v>Doing work internally</v>
          </cell>
          <cell r="BL112" t="str">
            <v>Already using services provider</v>
          </cell>
          <cell r="BM112" t="str">
            <v>Already using services provider</v>
          </cell>
          <cell r="BN112" t="str">
            <v>Already using services provider</v>
          </cell>
          <cell r="BO112" t="str">
            <v>Not Priority</v>
          </cell>
          <cell r="BP112" t="str">
            <v>Not Priority</v>
          </cell>
          <cell r="BQ112" t="str">
            <v>Not Priority</v>
          </cell>
          <cell r="BR112" t="str">
            <v>Not Priority</v>
          </cell>
          <cell r="BS112" t="str">
            <v>Not Priority</v>
          </cell>
          <cell r="BT112" t="str">
            <v>Not Priority</v>
          </cell>
          <cell r="BU112">
            <v>1</v>
          </cell>
          <cell r="BV112">
            <v>3</v>
          </cell>
          <cell r="BW112">
            <v>2</v>
          </cell>
          <cell r="BX112">
            <v>4</v>
          </cell>
          <cell r="BY112">
            <v>7</v>
          </cell>
          <cell r="BZ112">
            <v>6</v>
          </cell>
          <cell r="CA112">
            <v>5</v>
          </cell>
          <cell r="CB112" t="str">
            <v>Somewhat more aggressive in discounting</v>
          </cell>
        </row>
        <row r="113">
          <cell r="A113" t="str">
            <v>US</v>
          </cell>
          <cell r="B113" t="str">
            <v>Manufacturing</v>
          </cell>
          <cell r="C113" t="str">
            <v>$5-10 Billion</v>
          </cell>
          <cell r="D113" t="str">
            <v>$100-200 Million</v>
          </cell>
          <cell r="E113">
            <v>-20</v>
          </cell>
          <cell r="F113">
            <v>-15</v>
          </cell>
          <cell r="G113">
            <v>-10</v>
          </cell>
          <cell r="H113">
            <v>-15</v>
          </cell>
          <cell r="I113">
            <v>-15</v>
          </cell>
          <cell r="J113">
            <v>-30</v>
          </cell>
          <cell r="K113">
            <v>-15</v>
          </cell>
          <cell r="L113">
            <v>-15</v>
          </cell>
          <cell r="M113">
            <v>-15</v>
          </cell>
          <cell r="N113">
            <v>-10</v>
          </cell>
          <cell r="O113">
            <v>5</v>
          </cell>
          <cell r="P113">
            <v>50</v>
          </cell>
          <cell r="Q113">
            <v>50</v>
          </cell>
          <cell r="R113">
            <v>50</v>
          </cell>
          <cell r="S113">
            <v>50</v>
          </cell>
          <cell r="T113" t="str">
            <v>NA / No Increase</v>
          </cell>
          <cell r="W113" t="str">
            <v>NA / No Decrease</v>
          </cell>
          <cell r="Z113" t="str">
            <v>Equal chance of upward or downward revision</v>
          </cell>
          <cell r="AA113" t="str">
            <v>Budget set, will not be changed</v>
          </cell>
          <cell r="AB113" t="str">
            <v>No cuts</v>
          </cell>
          <cell r="AC113" t="str">
            <v>Somewhat less aggressive in discounting</v>
          </cell>
          <cell r="AD113" t="str">
            <v>Somewhat longer</v>
          </cell>
          <cell r="AE113">
            <v>100</v>
          </cell>
          <cell r="AF113">
            <v>0</v>
          </cell>
          <cell r="AG113">
            <v>0</v>
          </cell>
          <cell r="AH113" t="str">
            <v>60/40</v>
          </cell>
          <cell r="AI113" t="str">
            <v>In-Line</v>
          </cell>
          <cell r="AJ113">
            <v>-25</v>
          </cell>
          <cell r="AK113">
            <v>0</v>
          </cell>
          <cell r="AL113">
            <v>5</v>
          </cell>
          <cell r="AM113">
            <v>10</v>
          </cell>
          <cell r="AN113">
            <v>-5</v>
          </cell>
          <cell r="AO113">
            <v>-5</v>
          </cell>
          <cell r="AP113">
            <v>-3</v>
          </cell>
          <cell r="AQ113">
            <v>0</v>
          </cell>
          <cell r="AR113" t="str">
            <v>Flat</v>
          </cell>
          <cell r="AS113" t="str">
            <v>Increase</v>
          </cell>
          <cell r="AT113" t="str">
            <v>Don't Use</v>
          </cell>
          <cell r="AU113" t="str">
            <v>Don't Use</v>
          </cell>
          <cell r="AV113" t="str">
            <v>Don't Use</v>
          </cell>
          <cell r="AW113" t="str">
            <v>Flat</v>
          </cell>
          <cell r="AX113" t="str">
            <v>Flat</v>
          </cell>
          <cell r="AY113" t="str">
            <v>Don't Use</v>
          </cell>
          <cell r="AZ113" t="str">
            <v>Decrease</v>
          </cell>
          <cell r="BA113" t="str">
            <v>Decrease</v>
          </cell>
          <cell r="BB113" t="str">
            <v>Decrease</v>
          </cell>
          <cell r="BC113" t="str">
            <v>Don't Use</v>
          </cell>
          <cell r="BD113" t="str">
            <v>Don't Use</v>
          </cell>
          <cell r="BE113" t="str">
            <v>Don't Use</v>
          </cell>
          <cell r="BF113" t="str">
            <v>Don't Use</v>
          </cell>
          <cell r="BG113" t="str">
            <v>Don't Use</v>
          </cell>
          <cell r="BH113" t="str">
            <v>Don't Use</v>
          </cell>
          <cell r="BI113" t="str">
            <v>Not Priority</v>
          </cell>
          <cell r="BJ113" t="str">
            <v>Doing work internally</v>
          </cell>
          <cell r="BK113" t="str">
            <v>Doing work internally</v>
          </cell>
          <cell r="BL113" t="str">
            <v>Not Priority</v>
          </cell>
          <cell r="BM113" t="str">
            <v>Not Priority</v>
          </cell>
          <cell r="BN113" t="str">
            <v>Not Priority</v>
          </cell>
          <cell r="BO113" t="str">
            <v>Not Priority</v>
          </cell>
          <cell r="BP113" t="str">
            <v>Not Priority</v>
          </cell>
          <cell r="BQ113" t="str">
            <v>Not Priority</v>
          </cell>
          <cell r="BR113" t="str">
            <v>Not Priority</v>
          </cell>
          <cell r="BS113" t="str">
            <v>Doing work internally</v>
          </cell>
          <cell r="BT113" t="str">
            <v>Not Priority</v>
          </cell>
          <cell r="BU113">
            <v>1</v>
          </cell>
          <cell r="BV113">
            <v>5</v>
          </cell>
          <cell r="BW113">
            <v>2</v>
          </cell>
          <cell r="BX113">
            <v>3</v>
          </cell>
          <cell r="BY113">
            <v>6</v>
          </cell>
          <cell r="BZ113">
            <v>4</v>
          </cell>
          <cell r="CA113">
            <v>5</v>
          </cell>
          <cell r="CB113" t="str">
            <v>No change in level of discounting</v>
          </cell>
        </row>
        <row r="114">
          <cell r="A114" t="str">
            <v>US</v>
          </cell>
          <cell r="B114" t="str">
            <v>Manufacturing</v>
          </cell>
          <cell r="C114" t="str">
            <v>$5-10 Billion</v>
          </cell>
          <cell r="D114" t="str">
            <v>$200-300 Million</v>
          </cell>
          <cell r="E114">
            <v>-2</v>
          </cell>
          <cell r="F114">
            <v>0</v>
          </cell>
          <cell r="G114">
            <v>-7</v>
          </cell>
          <cell r="H114">
            <v>-2</v>
          </cell>
          <cell r="I114">
            <v>-5</v>
          </cell>
          <cell r="J114">
            <v>0</v>
          </cell>
          <cell r="K114">
            <v>3</v>
          </cell>
          <cell r="L114">
            <v>2</v>
          </cell>
          <cell r="M114">
            <v>0</v>
          </cell>
          <cell r="N114">
            <v>-5</v>
          </cell>
          <cell r="O114">
            <v>4</v>
          </cell>
          <cell r="P114">
            <v>60</v>
          </cell>
          <cell r="Q114">
            <v>40</v>
          </cell>
          <cell r="R114">
            <v>50</v>
          </cell>
          <cell r="S114">
            <v>50</v>
          </cell>
          <cell r="T114" t="str">
            <v>Replacement Applications</v>
          </cell>
          <cell r="U114" t="str">
            <v>Technology Refresh</v>
          </cell>
          <cell r="W114" t="str">
            <v>Mature Projects</v>
          </cell>
          <cell r="X114" t="str">
            <v>Microsoft Upgrades</v>
          </cell>
          <cell r="Z114" t="str">
            <v>Upward revision is more likely</v>
          </cell>
          <cell r="AA114" t="str">
            <v>PC refresh</v>
          </cell>
          <cell r="AB114" t="str">
            <v>Core infrastructure</v>
          </cell>
          <cell r="AC114" t="str">
            <v>No change in level of discounting</v>
          </cell>
          <cell r="AD114" t="str">
            <v>No Change</v>
          </cell>
          <cell r="AE114">
            <v>100</v>
          </cell>
          <cell r="AF114">
            <v>0</v>
          </cell>
          <cell r="AG114">
            <v>0</v>
          </cell>
          <cell r="AH114" t="str">
            <v>50/50</v>
          </cell>
          <cell r="AI114" t="str">
            <v>In-Line</v>
          </cell>
          <cell r="AJ114">
            <v>0</v>
          </cell>
          <cell r="AK114" t="str">
            <v>NA / DK</v>
          </cell>
          <cell r="AL114" t="str">
            <v>NA / DK</v>
          </cell>
          <cell r="AM114">
            <v>0</v>
          </cell>
          <cell r="AN114">
            <v>0</v>
          </cell>
          <cell r="AO114" t="str">
            <v>NA / DK</v>
          </cell>
          <cell r="AP114" t="str">
            <v>NA / DK</v>
          </cell>
          <cell r="AQ114">
            <v>0</v>
          </cell>
          <cell r="AR114" t="str">
            <v>Don't Use</v>
          </cell>
          <cell r="AS114" t="str">
            <v>Flat</v>
          </cell>
          <cell r="AT114" t="str">
            <v>Don't Use</v>
          </cell>
          <cell r="AU114" t="str">
            <v>Don't Use</v>
          </cell>
          <cell r="AV114" t="str">
            <v>Don't Use</v>
          </cell>
          <cell r="AW114" t="str">
            <v>Don't Use</v>
          </cell>
          <cell r="AX114" t="str">
            <v>Don't Use</v>
          </cell>
          <cell r="AY114" t="str">
            <v>Don't Use</v>
          </cell>
          <cell r="AZ114" t="str">
            <v>Don't Use</v>
          </cell>
          <cell r="BA114" t="str">
            <v>Don't Use</v>
          </cell>
          <cell r="BB114" t="str">
            <v>Flat</v>
          </cell>
          <cell r="BC114" t="str">
            <v>Don't Use</v>
          </cell>
          <cell r="BD114" t="str">
            <v>Don't Use</v>
          </cell>
          <cell r="BE114" t="str">
            <v>Don't Use</v>
          </cell>
          <cell r="BF114" t="str">
            <v>Increase</v>
          </cell>
          <cell r="BG114" t="str">
            <v>Don't Use</v>
          </cell>
          <cell r="BH114" t="str">
            <v>Don't Use</v>
          </cell>
          <cell r="BI114" t="str">
            <v>Doing work internally</v>
          </cell>
          <cell r="BJ114" t="str">
            <v>Not Priority</v>
          </cell>
          <cell r="BK114" t="str">
            <v>Doing work internally</v>
          </cell>
          <cell r="BL114" t="str">
            <v>Not Priority</v>
          </cell>
          <cell r="BM114" t="str">
            <v>Not Priority</v>
          </cell>
          <cell r="BN114" t="str">
            <v>Not Priority</v>
          </cell>
          <cell r="BO114" t="str">
            <v>Not Priority</v>
          </cell>
          <cell r="BP114" t="str">
            <v>Not Priority</v>
          </cell>
          <cell r="BQ114" t="str">
            <v>Already using services provider</v>
          </cell>
          <cell r="BR114" t="str">
            <v>Not Priority</v>
          </cell>
          <cell r="BS114" t="str">
            <v>Not Priority</v>
          </cell>
          <cell r="BT114" t="str">
            <v>Not Priority</v>
          </cell>
          <cell r="BU114">
            <v>3</v>
          </cell>
          <cell r="BV114">
            <v>7</v>
          </cell>
          <cell r="BW114">
            <v>6</v>
          </cell>
          <cell r="BX114">
            <v>4</v>
          </cell>
          <cell r="BY114">
            <v>5</v>
          </cell>
          <cell r="BZ114">
            <v>2</v>
          </cell>
          <cell r="CA114">
            <v>1</v>
          </cell>
          <cell r="CB114" t="str">
            <v>No change in level of discounting</v>
          </cell>
        </row>
        <row r="115">
          <cell r="A115" t="str">
            <v>US</v>
          </cell>
          <cell r="B115" t="str">
            <v>Manufacturing</v>
          </cell>
          <cell r="C115" t="str">
            <v>$5-10 Billion</v>
          </cell>
          <cell r="D115" t="str">
            <v>NA</v>
          </cell>
          <cell r="E115">
            <v>10</v>
          </cell>
          <cell r="F115">
            <v>3</v>
          </cell>
          <cell r="G115">
            <v>2</v>
          </cell>
          <cell r="H115">
            <v>3</v>
          </cell>
          <cell r="I115">
            <v>13</v>
          </cell>
          <cell r="J115">
            <v>5</v>
          </cell>
          <cell r="K115">
            <v>0</v>
          </cell>
          <cell r="L115">
            <v>2</v>
          </cell>
          <cell r="M115">
            <v>10</v>
          </cell>
          <cell r="N115">
            <v>8</v>
          </cell>
          <cell r="O115">
            <v>3</v>
          </cell>
          <cell r="P115">
            <v>60</v>
          </cell>
          <cell r="Q115">
            <v>40</v>
          </cell>
          <cell r="R115">
            <v>50</v>
          </cell>
          <cell r="S115">
            <v>50</v>
          </cell>
          <cell r="T115" t="str">
            <v>NA / No Increase</v>
          </cell>
          <cell r="W115" t="str">
            <v>NA / No Decrease</v>
          </cell>
          <cell r="Z115" t="str">
            <v>‘No change’ to the budget is likely</v>
          </cell>
          <cell r="AA115" t="str">
            <v>Budget set, will not be changed</v>
          </cell>
          <cell r="AB115" t="str">
            <v>Everything subject to cuts</v>
          </cell>
          <cell r="AC115" t="str">
            <v>No change in level of discounting</v>
          </cell>
          <cell r="AD115" t="str">
            <v>Somewhat longer</v>
          </cell>
          <cell r="AE115">
            <v>90</v>
          </cell>
          <cell r="AF115">
            <v>10</v>
          </cell>
          <cell r="AG115">
            <v>0</v>
          </cell>
          <cell r="AH115" t="str">
            <v>60/40</v>
          </cell>
          <cell r="AI115" t="str">
            <v>Under</v>
          </cell>
          <cell r="AJ115">
            <v>5</v>
          </cell>
          <cell r="AK115">
            <v>5</v>
          </cell>
          <cell r="AL115">
            <v>0</v>
          </cell>
          <cell r="AM115">
            <v>0</v>
          </cell>
          <cell r="AN115">
            <v>35</v>
          </cell>
          <cell r="AO115" t="str">
            <v>NA / DK</v>
          </cell>
          <cell r="AP115" t="str">
            <v>NA / DK</v>
          </cell>
          <cell r="AQ115" t="str">
            <v>NA / DK</v>
          </cell>
          <cell r="AR115" t="str">
            <v>Flat</v>
          </cell>
          <cell r="AS115" t="str">
            <v>Flat</v>
          </cell>
          <cell r="AT115" t="str">
            <v>Don't Use</v>
          </cell>
          <cell r="AU115" t="str">
            <v>Don't Use</v>
          </cell>
          <cell r="AV115" t="str">
            <v>Don't Use</v>
          </cell>
          <cell r="AW115" t="str">
            <v>Don't Use</v>
          </cell>
          <cell r="AX115" t="str">
            <v>Flat</v>
          </cell>
          <cell r="AY115" t="str">
            <v>Don't Use</v>
          </cell>
          <cell r="AZ115" t="str">
            <v>Don't Use</v>
          </cell>
          <cell r="BA115" t="str">
            <v>Don't Use</v>
          </cell>
          <cell r="BB115" t="str">
            <v>Don't Use</v>
          </cell>
          <cell r="BC115" t="str">
            <v>Don't Use</v>
          </cell>
          <cell r="BD115" t="str">
            <v>Don't Use</v>
          </cell>
          <cell r="BE115" t="str">
            <v>Don't Use</v>
          </cell>
          <cell r="BF115" t="str">
            <v>Flat</v>
          </cell>
          <cell r="BG115" t="str">
            <v>Increase</v>
          </cell>
          <cell r="BH115" t="str">
            <v>Don't Use</v>
          </cell>
          <cell r="BI115" t="str">
            <v>Already using services provider</v>
          </cell>
          <cell r="BJ115" t="str">
            <v>Not Priority</v>
          </cell>
          <cell r="BK115" t="str">
            <v>Doing work internally</v>
          </cell>
          <cell r="BL115" t="str">
            <v>Doing work internally</v>
          </cell>
          <cell r="BM115" t="str">
            <v>Already using services provider</v>
          </cell>
          <cell r="BN115" t="str">
            <v>Will use services provider 2H12</v>
          </cell>
          <cell r="BO115" t="str">
            <v>Will use services provider 2H12</v>
          </cell>
          <cell r="BP115" t="str">
            <v>Not Priority</v>
          </cell>
          <cell r="BQ115" t="str">
            <v>Will use services provider 2H12</v>
          </cell>
          <cell r="BR115" t="str">
            <v>Already using services provider</v>
          </cell>
          <cell r="BS115" t="str">
            <v>Will use services provider 2H12</v>
          </cell>
          <cell r="BT115" t="str">
            <v>Not Priority</v>
          </cell>
          <cell r="BU115">
            <v>4</v>
          </cell>
          <cell r="BV115">
            <v>7</v>
          </cell>
          <cell r="BW115">
            <v>2</v>
          </cell>
          <cell r="BX115">
            <v>6</v>
          </cell>
          <cell r="BY115">
            <v>1</v>
          </cell>
          <cell r="BZ115">
            <v>3</v>
          </cell>
          <cell r="CA115">
            <v>5</v>
          </cell>
          <cell r="CB115" t="str">
            <v>Significantly less aggressive in discounting</v>
          </cell>
        </row>
        <row r="116">
          <cell r="A116" t="str">
            <v>US</v>
          </cell>
          <cell r="B116" t="str">
            <v>Manufacturing</v>
          </cell>
          <cell r="C116" t="str">
            <v>$500 Million - $1 Billion</v>
          </cell>
          <cell r="D116" t="str">
            <v>$100-200 Million</v>
          </cell>
          <cell r="E116">
            <v>2</v>
          </cell>
          <cell r="F116">
            <v>0</v>
          </cell>
          <cell r="G116">
            <v>1</v>
          </cell>
          <cell r="H116">
            <v>1</v>
          </cell>
          <cell r="I116" t="str">
            <v>DK</v>
          </cell>
          <cell r="J116" t="str">
            <v>DK</v>
          </cell>
          <cell r="K116" t="str">
            <v>DK</v>
          </cell>
          <cell r="L116" t="str">
            <v>DK</v>
          </cell>
          <cell r="M116" t="str">
            <v>DK</v>
          </cell>
          <cell r="N116" t="str">
            <v>DK</v>
          </cell>
          <cell r="O116">
            <v>1</v>
          </cell>
          <cell r="P116">
            <v>70</v>
          </cell>
          <cell r="Q116">
            <v>30</v>
          </cell>
          <cell r="R116" t="str">
            <v>NA / DK</v>
          </cell>
          <cell r="S116" t="str">
            <v>NA / DK</v>
          </cell>
          <cell r="T116" t="str">
            <v>NA / No Increase</v>
          </cell>
          <cell r="W116" t="str">
            <v>NA / No Decrease</v>
          </cell>
          <cell r="Z116" t="str">
            <v>Equal chance of upward or downward revision</v>
          </cell>
          <cell r="AA116" t="str">
            <v>NA / DK</v>
          </cell>
          <cell r="AB116" t="str">
            <v>NA / DK</v>
          </cell>
          <cell r="AC116" t="str">
            <v>Somewhat more aggressive in discounting</v>
          </cell>
          <cell r="AD116" t="str">
            <v>No Change</v>
          </cell>
          <cell r="AE116">
            <v>100</v>
          </cell>
          <cell r="AF116">
            <v>0</v>
          </cell>
          <cell r="AG116">
            <v>0</v>
          </cell>
          <cell r="AH116" t="str">
            <v>50/50</v>
          </cell>
          <cell r="AI116" t="str">
            <v>Under</v>
          </cell>
          <cell r="AJ116">
            <v>5</v>
          </cell>
          <cell r="AK116" t="str">
            <v>NA / DK</v>
          </cell>
          <cell r="AL116">
            <v>3</v>
          </cell>
          <cell r="AM116">
            <v>0</v>
          </cell>
          <cell r="AN116">
            <v>0</v>
          </cell>
          <cell r="AO116" t="str">
            <v>NA / DK</v>
          </cell>
          <cell r="AP116">
            <v>0</v>
          </cell>
          <cell r="AQ116">
            <v>0</v>
          </cell>
          <cell r="AR116" t="str">
            <v>Don't Use</v>
          </cell>
          <cell r="AS116" t="str">
            <v>Don't Use</v>
          </cell>
          <cell r="AT116" t="str">
            <v>Don't Use</v>
          </cell>
          <cell r="AU116" t="str">
            <v>Don't Use</v>
          </cell>
          <cell r="AV116" t="str">
            <v>Don't Use</v>
          </cell>
          <cell r="AW116" t="str">
            <v>Don't Use</v>
          </cell>
          <cell r="AX116" t="str">
            <v>Don't Use</v>
          </cell>
          <cell r="AY116" t="str">
            <v>Don't Use</v>
          </cell>
          <cell r="AZ116" t="str">
            <v>Don't Use</v>
          </cell>
          <cell r="BA116" t="str">
            <v>Don't Use</v>
          </cell>
          <cell r="BB116" t="str">
            <v>Don't Use</v>
          </cell>
          <cell r="BC116" t="str">
            <v>Don't Use</v>
          </cell>
          <cell r="BD116" t="str">
            <v>Don't Use</v>
          </cell>
          <cell r="BE116" t="str">
            <v>Don't Use</v>
          </cell>
          <cell r="BF116" t="str">
            <v>Don't Use</v>
          </cell>
          <cell r="BG116" t="str">
            <v>Don't Use</v>
          </cell>
          <cell r="BH116" t="str">
            <v>Don't Use</v>
          </cell>
          <cell r="BI116" t="str">
            <v>Not Priority</v>
          </cell>
          <cell r="BJ116" t="str">
            <v>Not Priority</v>
          </cell>
          <cell r="BK116" t="str">
            <v>Not Priority</v>
          </cell>
          <cell r="BL116" t="str">
            <v>Not Priority</v>
          </cell>
          <cell r="BM116" t="str">
            <v>Doing work internally</v>
          </cell>
          <cell r="BN116" t="str">
            <v>Doing work internally</v>
          </cell>
          <cell r="BO116" t="str">
            <v>Not Priority</v>
          </cell>
          <cell r="BP116" t="str">
            <v>Not Priority</v>
          </cell>
          <cell r="BQ116" t="str">
            <v>Not Priority</v>
          </cell>
          <cell r="BR116" t="str">
            <v>Not Priority</v>
          </cell>
          <cell r="BS116" t="str">
            <v>Not Priority</v>
          </cell>
          <cell r="BT116" t="str">
            <v>Not Priority</v>
          </cell>
          <cell r="BU116">
            <v>1</v>
          </cell>
          <cell r="BW116">
            <v>3</v>
          </cell>
          <cell r="BX116">
            <v>5</v>
          </cell>
          <cell r="BY116">
            <v>6</v>
          </cell>
          <cell r="BZ116">
            <v>4</v>
          </cell>
          <cell r="CA116">
            <v>2</v>
          </cell>
          <cell r="CB116" t="str">
            <v>Somewhat more aggressive in discounting</v>
          </cell>
        </row>
        <row r="117">
          <cell r="A117" t="str">
            <v>US</v>
          </cell>
          <cell r="B117" t="str">
            <v>Mining &amp; Minerals</v>
          </cell>
          <cell r="C117" t="str">
            <v>$500 Million - $1 Billion</v>
          </cell>
          <cell r="D117" t="str">
            <v>&lt;$100 Million</v>
          </cell>
          <cell r="E117">
            <v>10</v>
          </cell>
          <cell r="F117">
            <v>10</v>
          </cell>
          <cell r="G117">
            <v>7</v>
          </cell>
          <cell r="H117">
            <v>10</v>
          </cell>
          <cell r="I117">
            <v>10</v>
          </cell>
          <cell r="J117">
            <v>5</v>
          </cell>
          <cell r="K117">
            <v>15</v>
          </cell>
          <cell r="L117">
            <v>10</v>
          </cell>
          <cell r="M117">
            <v>10</v>
          </cell>
          <cell r="N117">
            <v>7</v>
          </cell>
          <cell r="O117">
            <v>9</v>
          </cell>
          <cell r="P117">
            <v>55</v>
          </cell>
          <cell r="Q117">
            <v>45</v>
          </cell>
          <cell r="R117">
            <v>45</v>
          </cell>
          <cell r="S117">
            <v>55</v>
          </cell>
          <cell r="T117" t="str">
            <v>IT Capacity Management</v>
          </cell>
          <cell r="U117" t="str">
            <v>Virtualization</v>
          </cell>
          <cell r="V117" t="str">
            <v>Monitoring tools</v>
          </cell>
          <cell r="W117" t="str">
            <v>NA / No Decrease</v>
          </cell>
          <cell r="Z117" t="str">
            <v>Equal chance of upward or downward revision</v>
          </cell>
          <cell r="AA117" t="str">
            <v>Salaries, new hiring</v>
          </cell>
          <cell r="AB117" t="str">
            <v>Core infrastructure</v>
          </cell>
          <cell r="AC117" t="str">
            <v>No change in level of discounting</v>
          </cell>
          <cell r="AD117" t="str">
            <v>Somewhat longer</v>
          </cell>
          <cell r="AE117">
            <v>60</v>
          </cell>
          <cell r="AF117">
            <v>20</v>
          </cell>
          <cell r="AG117">
            <v>20</v>
          </cell>
          <cell r="AH117" t="str">
            <v>50/50</v>
          </cell>
          <cell r="AI117" t="str">
            <v>In-Line</v>
          </cell>
          <cell r="AJ117">
            <v>8</v>
          </cell>
          <cell r="AK117" t="str">
            <v>NA / DK</v>
          </cell>
          <cell r="AL117" t="str">
            <v>NA / DK</v>
          </cell>
          <cell r="AM117" t="str">
            <v>NA / DK</v>
          </cell>
          <cell r="AN117">
            <v>8</v>
          </cell>
          <cell r="AO117" t="str">
            <v>NA / DK</v>
          </cell>
          <cell r="AP117" t="str">
            <v>NA / DK</v>
          </cell>
          <cell r="AQ117" t="str">
            <v>NA / DK</v>
          </cell>
          <cell r="AR117" t="str">
            <v>Flat</v>
          </cell>
          <cell r="AS117" t="str">
            <v>Don't Use</v>
          </cell>
          <cell r="AT117" t="str">
            <v>Don't Use</v>
          </cell>
          <cell r="AU117" t="str">
            <v>Don't Use</v>
          </cell>
          <cell r="AV117" t="str">
            <v>Don't Use</v>
          </cell>
          <cell r="AW117" t="str">
            <v>Increase</v>
          </cell>
          <cell r="AX117" t="str">
            <v>Flat</v>
          </cell>
          <cell r="AY117" t="str">
            <v>Don't Use</v>
          </cell>
          <cell r="AZ117" t="str">
            <v>Increase</v>
          </cell>
          <cell r="BA117" t="str">
            <v>Don't Use</v>
          </cell>
          <cell r="BB117" t="str">
            <v>Flat</v>
          </cell>
          <cell r="BC117" t="str">
            <v>Decrease</v>
          </cell>
          <cell r="BD117" t="str">
            <v>Flat</v>
          </cell>
          <cell r="BE117" t="str">
            <v>Flat</v>
          </cell>
          <cell r="BF117" t="str">
            <v>Don't Use</v>
          </cell>
          <cell r="BG117" t="str">
            <v>Don't Use</v>
          </cell>
          <cell r="BH117" t="str">
            <v>Don't Use</v>
          </cell>
          <cell r="BI117" t="str">
            <v>Doing work internally</v>
          </cell>
          <cell r="BJ117" t="str">
            <v>Already using services provider</v>
          </cell>
          <cell r="BK117" t="str">
            <v>Doing work internally</v>
          </cell>
          <cell r="BL117" t="str">
            <v>Doing work internally</v>
          </cell>
          <cell r="BM117" t="str">
            <v>Doing work internally</v>
          </cell>
          <cell r="BN117" t="str">
            <v>Will use services provider 2H12</v>
          </cell>
          <cell r="BO117" t="str">
            <v>Doing work internally</v>
          </cell>
          <cell r="BP117" t="str">
            <v>Not Priority</v>
          </cell>
          <cell r="BQ117" t="str">
            <v>Doing work internally</v>
          </cell>
          <cell r="BR117" t="str">
            <v>Doing work internally</v>
          </cell>
          <cell r="BS117" t="str">
            <v>Not Priority</v>
          </cell>
          <cell r="BT117" t="str">
            <v>Not Priority</v>
          </cell>
          <cell r="BU117">
            <v>3</v>
          </cell>
          <cell r="BV117">
            <v>1</v>
          </cell>
          <cell r="BW117">
            <v>7</v>
          </cell>
          <cell r="BX117">
            <v>4</v>
          </cell>
          <cell r="BY117">
            <v>2</v>
          </cell>
          <cell r="BZ117">
            <v>5</v>
          </cell>
          <cell r="CA117">
            <v>6</v>
          </cell>
          <cell r="CB117" t="str">
            <v>No change in level of discounting</v>
          </cell>
        </row>
        <row r="118">
          <cell r="A118" t="str">
            <v>US</v>
          </cell>
          <cell r="B118" t="str">
            <v>Retail</v>
          </cell>
          <cell r="C118" t="str">
            <v>$500 Million - $1 Billion</v>
          </cell>
          <cell r="D118" t="str">
            <v>&lt;$100 Million</v>
          </cell>
          <cell r="E118">
            <v>3</v>
          </cell>
          <cell r="F118">
            <v>5</v>
          </cell>
          <cell r="G118">
            <v>5</v>
          </cell>
          <cell r="H118">
            <v>5</v>
          </cell>
          <cell r="I118">
            <v>5</v>
          </cell>
          <cell r="J118">
            <v>5</v>
          </cell>
          <cell r="K118">
            <v>15</v>
          </cell>
          <cell r="L118">
            <v>10</v>
          </cell>
          <cell r="M118">
            <v>8</v>
          </cell>
          <cell r="N118">
            <v>7</v>
          </cell>
          <cell r="O118">
            <v>4</v>
          </cell>
          <cell r="P118">
            <v>25</v>
          </cell>
          <cell r="Q118">
            <v>75</v>
          </cell>
          <cell r="R118">
            <v>45</v>
          </cell>
          <cell r="S118">
            <v>55</v>
          </cell>
          <cell r="T118" t="str">
            <v>NA / No Increase</v>
          </cell>
          <cell r="W118" t="str">
            <v>NA / No Decrease</v>
          </cell>
          <cell r="Z118" t="str">
            <v>‘No change’ to the budget is likely</v>
          </cell>
          <cell r="AA118" t="str">
            <v>Virtualization projects</v>
          </cell>
          <cell r="AB118" t="str">
            <v>Mission critical systems</v>
          </cell>
          <cell r="AC118" t="str">
            <v>Somewhat more aggressive in discounting</v>
          </cell>
          <cell r="AD118" t="str">
            <v>No Change</v>
          </cell>
          <cell r="AE118">
            <v>100</v>
          </cell>
          <cell r="AF118">
            <v>0</v>
          </cell>
          <cell r="AG118">
            <v>0</v>
          </cell>
          <cell r="AH118" t="str">
            <v>50/50</v>
          </cell>
          <cell r="AI118" t="str">
            <v>In-Line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10</v>
          </cell>
          <cell r="AO118">
            <v>7</v>
          </cell>
          <cell r="AP118">
            <v>7</v>
          </cell>
          <cell r="AQ118">
            <v>5</v>
          </cell>
          <cell r="AR118" t="str">
            <v>Don't Use</v>
          </cell>
          <cell r="AS118" t="str">
            <v>Don't Use</v>
          </cell>
          <cell r="AT118" t="str">
            <v>Don't Use</v>
          </cell>
          <cell r="AU118" t="str">
            <v>Don't Use</v>
          </cell>
          <cell r="AV118" t="str">
            <v>Don't Use</v>
          </cell>
          <cell r="AW118" t="str">
            <v>Don't Use</v>
          </cell>
          <cell r="AX118" t="str">
            <v>Decrease</v>
          </cell>
          <cell r="AY118" t="str">
            <v>Don't Use</v>
          </cell>
          <cell r="AZ118" t="str">
            <v>Don't Use</v>
          </cell>
          <cell r="BA118" t="str">
            <v>Don't Use</v>
          </cell>
          <cell r="BB118" t="str">
            <v>Don't Use</v>
          </cell>
          <cell r="BC118" t="str">
            <v>Don't Use</v>
          </cell>
          <cell r="BD118" t="str">
            <v>Don't Use</v>
          </cell>
          <cell r="BE118" t="str">
            <v>Don't Use</v>
          </cell>
          <cell r="BF118" t="str">
            <v>Don't Use</v>
          </cell>
          <cell r="BG118" t="str">
            <v>Don't Use</v>
          </cell>
          <cell r="BH118" t="str">
            <v>Don't Use</v>
          </cell>
          <cell r="BI118" t="str">
            <v>Not Priority</v>
          </cell>
          <cell r="BJ118" t="str">
            <v>Doing work internally</v>
          </cell>
          <cell r="BK118" t="str">
            <v>Not Priority</v>
          </cell>
          <cell r="BL118" t="str">
            <v>Doing work internally</v>
          </cell>
          <cell r="BM118" t="str">
            <v>Not Priority</v>
          </cell>
          <cell r="BN118" t="str">
            <v>Not Priority</v>
          </cell>
          <cell r="BO118" t="str">
            <v>Not Priority</v>
          </cell>
          <cell r="BP118" t="str">
            <v>Not Priority</v>
          </cell>
          <cell r="BQ118" t="str">
            <v>Not Priority</v>
          </cell>
          <cell r="BR118" t="str">
            <v>Not Priority</v>
          </cell>
          <cell r="BS118" t="str">
            <v>Not Priority</v>
          </cell>
          <cell r="BT118" t="str">
            <v>Not Priority</v>
          </cell>
          <cell r="BU118">
            <v>4</v>
          </cell>
          <cell r="BV118">
            <v>6</v>
          </cell>
          <cell r="BW118">
            <v>5</v>
          </cell>
          <cell r="BX118">
            <v>3</v>
          </cell>
          <cell r="BY118">
            <v>7</v>
          </cell>
          <cell r="BZ118">
            <v>2</v>
          </cell>
          <cell r="CA118">
            <v>1</v>
          </cell>
          <cell r="CB118" t="str">
            <v>Somewhat more aggressive in discounting</v>
          </cell>
        </row>
        <row r="119">
          <cell r="A119" t="str">
            <v>US</v>
          </cell>
          <cell r="B119" t="str">
            <v>Retail</v>
          </cell>
          <cell r="C119" t="str">
            <v>$1-5 Billion</v>
          </cell>
          <cell r="D119" t="str">
            <v>&lt;$100 Million</v>
          </cell>
          <cell r="E119">
            <v>1</v>
          </cell>
          <cell r="F119">
            <v>5</v>
          </cell>
          <cell r="G119">
            <v>5</v>
          </cell>
          <cell r="H119">
            <v>2</v>
          </cell>
          <cell r="I119">
            <v>5</v>
          </cell>
          <cell r="J119">
            <v>0</v>
          </cell>
          <cell r="K119">
            <v>5</v>
          </cell>
          <cell r="L119">
            <v>5</v>
          </cell>
          <cell r="M119">
            <v>5</v>
          </cell>
          <cell r="N119">
            <v>5</v>
          </cell>
          <cell r="O119">
            <v>5</v>
          </cell>
          <cell r="P119">
            <v>40</v>
          </cell>
          <cell r="Q119">
            <v>60</v>
          </cell>
          <cell r="R119">
            <v>50</v>
          </cell>
          <cell r="S119">
            <v>50</v>
          </cell>
          <cell r="T119" t="str">
            <v>Cloud Technologies</v>
          </cell>
          <cell r="U119" t="str">
            <v>SaaS</v>
          </cell>
          <cell r="V119" t="str">
            <v>Utilization rates</v>
          </cell>
          <cell r="W119" t="str">
            <v>ERP</v>
          </cell>
          <cell r="X119" t="str">
            <v>ERP</v>
          </cell>
          <cell r="Z119" t="str">
            <v>Upward revision is more likely</v>
          </cell>
          <cell r="AA119" t="str">
            <v>NA / DK</v>
          </cell>
          <cell r="AB119" t="str">
            <v xml:space="preserve">Security </v>
          </cell>
          <cell r="AC119" t="str">
            <v>No change in level of discounting</v>
          </cell>
          <cell r="AD119" t="str">
            <v>Somewhat longer</v>
          </cell>
          <cell r="AE119">
            <v>90</v>
          </cell>
          <cell r="AF119">
            <v>10</v>
          </cell>
          <cell r="AG119">
            <v>0</v>
          </cell>
          <cell r="AH119" t="str">
            <v>60/40</v>
          </cell>
          <cell r="AI119" t="str">
            <v>Over</v>
          </cell>
          <cell r="AJ119">
            <v>-5</v>
          </cell>
          <cell r="AK119">
            <v>-10</v>
          </cell>
          <cell r="AL119">
            <v>5</v>
          </cell>
          <cell r="AM119">
            <v>5</v>
          </cell>
          <cell r="AN119">
            <v>0</v>
          </cell>
          <cell r="AO119">
            <v>5</v>
          </cell>
          <cell r="AP119">
            <v>0</v>
          </cell>
          <cell r="AQ119">
            <v>0</v>
          </cell>
          <cell r="AR119" t="str">
            <v>Flat</v>
          </cell>
          <cell r="AS119" t="str">
            <v>Flat</v>
          </cell>
          <cell r="AT119" t="str">
            <v>Don't Use</v>
          </cell>
          <cell r="AU119" t="str">
            <v>Decrease</v>
          </cell>
          <cell r="AV119" t="str">
            <v>Don't Use</v>
          </cell>
          <cell r="AW119" t="str">
            <v>Flat</v>
          </cell>
          <cell r="AX119" t="str">
            <v>Don't Use</v>
          </cell>
          <cell r="AY119" t="str">
            <v>Don't Use</v>
          </cell>
          <cell r="AZ119" t="str">
            <v>Don't Use</v>
          </cell>
          <cell r="BA119" t="str">
            <v>Flat</v>
          </cell>
          <cell r="BB119" t="str">
            <v>Flat</v>
          </cell>
          <cell r="BC119" t="str">
            <v>Flat</v>
          </cell>
          <cell r="BD119" t="str">
            <v>Don't Use</v>
          </cell>
          <cell r="BE119" t="str">
            <v>Don't Use</v>
          </cell>
          <cell r="BF119" t="str">
            <v>Don't Use</v>
          </cell>
          <cell r="BG119" t="str">
            <v>Don't Use</v>
          </cell>
          <cell r="BH119" t="str">
            <v>Don't Use</v>
          </cell>
          <cell r="BI119" t="str">
            <v>Doing work internally</v>
          </cell>
          <cell r="BJ119" t="str">
            <v>Doing work internally</v>
          </cell>
          <cell r="BK119" t="str">
            <v>Already using services provider</v>
          </cell>
          <cell r="BL119" t="str">
            <v>Already using services provider</v>
          </cell>
          <cell r="BM119" t="str">
            <v>Will use services provider 2H12</v>
          </cell>
          <cell r="BN119" t="str">
            <v>Will use services provider 2H12</v>
          </cell>
          <cell r="BO119" t="str">
            <v>Not Priority</v>
          </cell>
          <cell r="BP119" t="str">
            <v>Not Priority</v>
          </cell>
          <cell r="BQ119" t="str">
            <v>Doing work internally</v>
          </cell>
          <cell r="BR119" t="str">
            <v>Doing work internally</v>
          </cell>
          <cell r="BS119" t="str">
            <v>Doing work internally</v>
          </cell>
          <cell r="BT119" t="str">
            <v>Already using services provider</v>
          </cell>
          <cell r="BU119">
            <v>1</v>
          </cell>
          <cell r="BV119">
            <v>6</v>
          </cell>
          <cell r="BW119">
            <v>7</v>
          </cell>
          <cell r="BX119">
            <v>5</v>
          </cell>
          <cell r="BY119">
            <v>4</v>
          </cell>
          <cell r="BZ119">
            <v>3</v>
          </cell>
          <cell r="CA119">
            <v>2</v>
          </cell>
          <cell r="CB119" t="str">
            <v>No change in level of discounting</v>
          </cell>
        </row>
        <row r="120">
          <cell r="A120" t="str">
            <v>US</v>
          </cell>
          <cell r="B120" t="str">
            <v>Retail</v>
          </cell>
          <cell r="C120" t="str">
            <v>$5-10 Billion</v>
          </cell>
          <cell r="D120" t="str">
            <v>$200-300 Million</v>
          </cell>
          <cell r="E120">
            <v>15</v>
          </cell>
          <cell r="F120">
            <v>5</v>
          </cell>
          <cell r="G120">
            <v>10</v>
          </cell>
          <cell r="H120">
            <v>15</v>
          </cell>
          <cell r="I120">
            <v>15</v>
          </cell>
          <cell r="J120">
            <v>20</v>
          </cell>
          <cell r="K120">
            <v>7</v>
          </cell>
          <cell r="L120">
            <v>15</v>
          </cell>
          <cell r="M120">
            <v>10</v>
          </cell>
          <cell r="N120">
            <v>15</v>
          </cell>
          <cell r="O120">
            <v>7</v>
          </cell>
          <cell r="P120">
            <v>50</v>
          </cell>
          <cell r="Q120">
            <v>50</v>
          </cell>
          <cell r="R120">
            <v>50</v>
          </cell>
          <cell r="S120">
            <v>50</v>
          </cell>
          <cell r="T120" t="str">
            <v>Web portal updates</v>
          </cell>
          <cell r="U120" t="str">
            <v>Inventory systems</v>
          </cell>
          <cell r="V120" t="str">
            <v>Cloud based systems</v>
          </cell>
          <cell r="W120" t="str">
            <v>HR applications</v>
          </cell>
          <cell r="X120" t="str">
            <v>Logistics management</v>
          </cell>
          <cell r="Z120" t="str">
            <v>‘No change’ to the budget is likely</v>
          </cell>
          <cell r="AA120" t="str">
            <v>Cloud based apps</v>
          </cell>
          <cell r="AB120" t="str">
            <v>Maintenance spending</v>
          </cell>
          <cell r="AC120" t="str">
            <v>No change in level of discounting</v>
          </cell>
          <cell r="AD120" t="str">
            <v>Somewhat longer</v>
          </cell>
          <cell r="AE120">
            <v>80</v>
          </cell>
          <cell r="AF120">
            <v>20</v>
          </cell>
          <cell r="AG120">
            <v>0</v>
          </cell>
          <cell r="AH120" t="str">
            <v>40/60</v>
          </cell>
          <cell r="AI120" t="str">
            <v>Over</v>
          </cell>
          <cell r="AJ120">
            <v>10</v>
          </cell>
          <cell r="AK120">
            <v>10</v>
          </cell>
          <cell r="AL120" t="str">
            <v>NA / DK</v>
          </cell>
          <cell r="AM120" t="str">
            <v>NA / DK</v>
          </cell>
          <cell r="AN120">
            <v>8</v>
          </cell>
          <cell r="AO120">
            <v>9</v>
          </cell>
          <cell r="AP120">
            <v>8</v>
          </cell>
          <cell r="AQ120">
            <v>5</v>
          </cell>
          <cell r="AR120" t="str">
            <v>Don't Use</v>
          </cell>
          <cell r="AS120" t="str">
            <v>Don't Use</v>
          </cell>
          <cell r="AT120" t="str">
            <v>Don't Use</v>
          </cell>
          <cell r="AU120" t="str">
            <v>Don't Use</v>
          </cell>
          <cell r="AV120" t="str">
            <v>Increase</v>
          </cell>
          <cell r="AW120" t="str">
            <v>Don't Use</v>
          </cell>
          <cell r="AX120" t="str">
            <v>Don't Use</v>
          </cell>
          <cell r="AY120" t="str">
            <v>Don't Use</v>
          </cell>
          <cell r="AZ120" t="str">
            <v>Don't Use</v>
          </cell>
          <cell r="BA120" t="str">
            <v>Don't Use</v>
          </cell>
          <cell r="BB120" t="str">
            <v>Decrease</v>
          </cell>
          <cell r="BC120" t="str">
            <v>Don't Use</v>
          </cell>
          <cell r="BD120" t="str">
            <v>Don't Use</v>
          </cell>
          <cell r="BE120" t="str">
            <v>Don't Use</v>
          </cell>
          <cell r="BF120" t="str">
            <v>Don't Use</v>
          </cell>
          <cell r="BG120" t="str">
            <v>Don't Use</v>
          </cell>
          <cell r="BH120" t="str">
            <v>Don't Use</v>
          </cell>
          <cell r="BI120" t="str">
            <v>Doing work internally</v>
          </cell>
          <cell r="BJ120" t="str">
            <v>Already using services provider</v>
          </cell>
          <cell r="BK120" t="str">
            <v>Already using services provider</v>
          </cell>
          <cell r="BL120" t="str">
            <v>Will use services provider 2H12</v>
          </cell>
          <cell r="BM120" t="str">
            <v>Doing work internally</v>
          </cell>
          <cell r="BN120" t="str">
            <v>Already using services provider</v>
          </cell>
          <cell r="BO120" t="str">
            <v>Doing work internally</v>
          </cell>
          <cell r="BP120" t="str">
            <v>Not Priority</v>
          </cell>
          <cell r="BQ120" t="str">
            <v>Doing work internally</v>
          </cell>
          <cell r="BR120" t="str">
            <v>Already using services provider</v>
          </cell>
          <cell r="BS120" t="str">
            <v>Doing work internally</v>
          </cell>
          <cell r="BT120" t="str">
            <v>Not Priority</v>
          </cell>
          <cell r="BU120">
            <v>2</v>
          </cell>
          <cell r="BV120">
            <v>6</v>
          </cell>
          <cell r="BW120">
            <v>5</v>
          </cell>
          <cell r="BX120">
            <v>1</v>
          </cell>
          <cell r="BY120">
            <v>7</v>
          </cell>
          <cell r="BZ120">
            <v>3</v>
          </cell>
          <cell r="CA120">
            <v>4</v>
          </cell>
          <cell r="CB120" t="str">
            <v>No change in level of discounting</v>
          </cell>
        </row>
        <row r="121">
          <cell r="A121" t="str">
            <v>US</v>
          </cell>
          <cell r="B121" t="str">
            <v>Retail</v>
          </cell>
          <cell r="C121" t="str">
            <v>&gt;$20 Billion</v>
          </cell>
          <cell r="D121" t="str">
            <v>&gt;$700 Million</v>
          </cell>
          <cell r="E121">
            <v>25</v>
          </cell>
          <cell r="F121">
            <v>20</v>
          </cell>
          <cell r="G121">
            <v>10</v>
          </cell>
          <cell r="H121">
            <v>30</v>
          </cell>
          <cell r="I121">
            <v>12</v>
          </cell>
          <cell r="J121">
            <v>20</v>
          </cell>
          <cell r="K121">
            <v>15</v>
          </cell>
          <cell r="L121">
            <v>20</v>
          </cell>
          <cell r="M121">
            <v>20</v>
          </cell>
          <cell r="N121">
            <v>15</v>
          </cell>
          <cell r="O121">
            <v>7</v>
          </cell>
          <cell r="P121">
            <v>50</v>
          </cell>
          <cell r="Q121">
            <v>50</v>
          </cell>
          <cell r="R121">
            <v>50</v>
          </cell>
          <cell r="S121">
            <v>50</v>
          </cell>
          <cell r="T121" t="str">
            <v xml:space="preserve">BI tools </v>
          </cell>
          <cell r="U121" t="str">
            <v>Data integration</v>
          </cell>
          <cell r="V121" t="str">
            <v>POS systems</v>
          </cell>
          <cell r="W121" t="str">
            <v>Mainframe</v>
          </cell>
          <cell r="X121" t="str">
            <v>Network upgrades</v>
          </cell>
          <cell r="Z121" t="str">
            <v>Equal chance of upward or downward revision</v>
          </cell>
          <cell r="AA121" t="str">
            <v>Capital spending</v>
          </cell>
          <cell r="AB121" t="str">
            <v>Maintenance Spending</v>
          </cell>
          <cell r="AC121" t="str">
            <v>No change in level of discounting</v>
          </cell>
          <cell r="AD121" t="str">
            <v>No Change</v>
          </cell>
          <cell r="AE121">
            <v>75</v>
          </cell>
          <cell r="AF121">
            <v>5</v>
          </cell>
          <cell r="AG121">
            <v>20</v>
          </cell>
          <cell r="AH121" t="str">
            <v>60/40</v>
          </cell>
          <cell r="AI121" t="str">
            <v>In-Line</v>
          </cell>
          <cell r="AJ121">
            <v>10</v>
          </cell>
          <cell r="AK121">
            <v>15</v>
          </cell>
          <cell r="AL121">
            <v>5</v>
          </cell>
          <cell r="AM121">
            <v>5</v>
          </cell>
          <cell r="AN121">
            <v>15</v>
          </cell>
          <cell r="AO121">
            <v>10</v>
          </cell>
          <cell r="AP121">
            <v>5</v>
          </cell>
          <cell r="AQ121">
            <v>5</v>
          </cell>
          <cell r="AR121" t="str">
            <v>Don't Use</v>
          </cell>
          <cell r="AS121" t="str">
            <v>Don't Use</v>
          </cell>
          <cell r="AT121" t="str">
            <v>Don't Use</v>
          </cell>
          <cell r="AU121" t="str">
            <v>Don't Use</v>
          </cell>
          <cell r="AV121" t="str">
            <v>Don't Use</v>
          </cell>
          <cell r="AW121" t="str">
            <v>Don't Use</v>
          </cell>
          <cell r="AX121" t="str">
            <v>Don't Use</v>
          </cell>
          <cell r="AY121" t="str">
            <v>Don't Use</v>
          </cell>
          <cell r="AZ121" t="str">
            <v>Don't Use</v>
          </cell>
          <cell r="BA121" t="str">
            <v>Flat</v>
          </cell>
          <cell r="BB121" t="str">
            <v>Decrease</v>
          </cell>
          <cell r="BC121" t="str">
            <v>Increase</v>
          </cell>
          <cell r="BD121" t="str">
            <v>Don't Use</v>
          </cell>
          <cell r="BE121" t="str">
            <v>Don't Use</v>
          </cell>
          <cell r="BF121" t="str">
            <v>Decrease</v>
          </cell>
          <cell r="BG121" t="str">
            <v>Don't Use</v>
          </cell>
          <cell r="BH121" t="str">
            <v>Don't Use</v>
          </cell>
          <cell r="BI121" t="str">
            <v>Already using services provider</v>
          </cell>
          <cell r="BJ121" t="str">
            <v>Will use services provider 2H12</v>
          </cell>
          <cell r="BK121" t="str">
            <v>Already using services provider</v>
          </cell>
          <cell r="BL121" t="str">
            <v>Will use services provider 2H12</v>
          </cell>
          <cell r="BM121" t="str">
            <v>Doing work internally</v>
          </cell>
          <cell r="BN121" t="str">
            <v>Already using services provider</v>
          </cell>
          <cell r="BO121" t="str">
            <v>Doing work internally</v>
          </cell>
          <cell r="BP121" t="str">
            <v>Doing work internally</v>
          </cell>
          <cell r="BQ121" t="str">
            <v>Not Priority</v>
          </cell>
          <cell r="BR121" t="str">
            <v>Doing work internally</v>
          </cell>
          <cell r="BS121" t="str">
            <v>Not Priority</v>
          </cell>
          <cell r="BT121" t="str">
            <v>Already using services provider</v>
          </cell>
          <cell r="BU121">
            <v>2</v>
          </cell>
          <cell r="BV121">
            <v>7</v>
          </cell>
          <cell r="BW121">
            <v>3</v>
          </cell>
          <cell r="BX121">
            <v>1</v>
          </cell>
          <cell r="BY121">
            <v>4</v>
          </cell>
          <cell r="BZ121">
            <v>6</v>
          </cell>
          <cell r="CA121">
            <v>5</v>
          </cell>
          <cell r="CB121" t="str">
            <v>No change in level of discounting</v>
          </cell>
        </row>
        <row r="122">
          <cell r="A122" t="str">
            <v>US</v>
          </cell>
          <cell r="B122" t="str">
            <v>Retail</v>
          </cell>
          <cell r="C122" t="str">
            <v>$1-5 Billion</v>
          </cell>
          <cell r="D122" t="str">
            <v>$200-300 Million</v>
          </cell>
          <cell r="E122">
            <v>5</v>
          </cell>
          <cell r="F122">
            <v>5</v>
          </cell>
          <cell r="G122">
            <v>5</v>
          </cell>
          <cell r="H122">
            <v>5</v>
          </cell>
          <cell r="I122">
            <v>5</v>
          </cell>
          <cell r="J122">
            <v>5</v>
          </cell>
          <cell r="K122">
            <v>10</v>
          </cell>
          <cell r="L122">
            <v>8</v>
          </cell>
          <cell r="M122">
            <v>10</v>
          </cell>
          <cell r="N122">
            <v>6</v>
          </cell>
          <cell r="O122">
            <v>7</v>
          </cell>
          <cell r="P122">
            <v>50</v>
          </cell>
          <cell r="Q122">
            <v>50</v>
          </cell>
          <cell r="R122">
            <v>50</v>
          </cell>
          <cell r="S122">
            <v>50</v>
          </cell>
          <cell r="T122" t="str">
            <v>Virtualization</v>
          </cell>
          <cell r="U122" t="str">
            <v>Data Warehouse</v>
          </cell>
          <cell r="V122" t="str">
            <v>Mobile apps</v>
          </cell>
          <cell r="W122" t="str">
            <v>Desktop PCs</v>
          </cell>
          <cell r="X122" t="str">
            <v>ERP updates</v>
          </cell>
          <cell r="Y122" t="str">
            <v>Server uptime</v>
          </cell>
          <cell r="Z122" t="str">
            <v>‘No change’ to the budget is likely</v>
          </cell>
          <cell r="AA122" t="str">
            <v>Everything subject to cuts</v>
          </cell>
          <cell r="AB122" t="str">
            <v>Keeping systems running</v>
          </cell>
          <cell r="AC122" t="str">
            <v>No change in level of discounting</v>
          </cell>
          <cell r="AD122" t="str">
            <v>Significantly longer</v>
          </cell>
          <cell r="AE122">
            <v>55</v>
          </cell>
          <cell r="AF122">
            <v>45</v>
          </cell>
          <cell r="AG122">
            <v>0</v>
          </cell>
          <cell r="AH122" t="str">
            <v>30/70</v>
          </cell>
          <cell r="AI122" t="str">
            <v>In-Line</v>
          </cell>
          <cell r="AJ122">
            <v>5</v>
          </cell>
          <cell r="AK122">
            <v>10</v>
          </cell>
          <cell r="AL122">
            <v>0</v>
          </cell>
          <cell r="AM122">
            <v>5</v>
          </cell>
          <cell r="AN122">
            <v>1</v>
          </cell>
          <cell r="AO122">
            <v>3</v>
          </cell>
          <cell r="AP122">
            <v>0</v>
          </cell>
          <cell r="AQ122">
            <v>5</v>
          </cell>
          <cell r="AR122" t="str">
            <v>Don't Use</v>
          </cell>
          <cell r="AS122" t="str">
            <v>Don't Use</v>
          </cell>
          <cell r="AT122" t="str">
            <v>Don't Use</v>
          </cell>
          <cell r="AU122" t="str">
            <v>Don't Use</v>
          </cell>
          <cell r="AV122" t="str">
            <v>Don't Use</v>
          </cell>
          <cell r="AW122" t="str">
            <v>Don't Use</v>
          </cell>
          <cell r="AX122" t="str">
            <v>Don't Use</v>
          </cell>
          <cell r="AY122" t="str">
            <v>Don't Use</v>
          </cell>
          <cell r="AZ122" t="str">
            <v>Flat</v>
          </cell>
          <cell r="BA122" t="str">
            <v>Flat</v>
          </cell>
          <cell r="BB122" t="str">
            <v>Don't Use</v>
          </cell>
          <cell r="BC122" t="str">
            <v>Don't Use</v>
          </cell>
          <cell r="BD122" t="str">
            <v>Don't Use</v>
          </cell>
          <cell r="BE122" t="str">
            <v>Don't Use</v>
          </cell>
          <cell r="BF122" t="str">
            <v>Flat</v>
          </cell>
          <cell r="BG122" t="str">
            <v>Don't Use</v>
          </cell>
          <cell r="BH122" t="str">
            <v>Flat</v>
          </cell>
          <cell r="BI122" t="str">
            <v>Doing work internally</v>
          </cell>
          <cell r="BJ122" t="str">
            <v>Not Priority</v>
          </cell>
          <cell r="BK122" t="str">
            <v>Doing work internally</v>
          </cell>
          <cell r="BL122" t="str">
            <v>Doing work internally</v>
          </cell>
          <cell r="BM122" t="str">
            <v>Doing work internally</v>
          </cell>
          <cell r="BN122" t="str">
            <v>Will use services provider 2H12</v>
          </cell>
          <cell r="BO122" t="str">
            <v>Doing work internally</v>
          </cell>
          <cell r="BP122" t="str">
            <v>Doing work internally</v>
          </cell>
          <cell r="BQ122" t="str">
            <v>Not Priority</v>
          </cell>
          <cell r="BR122" t="str">
            <v>Doing work internally</v>
          </cell>
          <cell r="BS122" t="str">
            <v>Doing work internally</v>
          </cell>
          <cell r="BT122" t="str">
            <v>Doing work internally</v>
          </cell>
          <cell r="BU122">
            <v>5</v>
          </cell>
          <cell r="BV122">
            <v>7</v>
          </cell>
          <cell r="BW122">
            <v>3</v>
          </cell>
          <cell r="BX122">
            <v>1</v>
          </cell>
          <cell r="BY122">
            <v>6</v>
          </cell>
          <cell r="BZ122">
            <v>2</v>
          </cell>
          <cell r="CA122">
            <v>4</v>
          </cell>
          <cell r="CB122" t="str">
            <v>No change in level of discounting</v>
          </cell>
        </row>
        <row r="123">
          <cell r="A123" t="str">
            <v>US</v>
          </cell>
          <cell r="B123" t="str">
            <v>Retail</v>
          </cell>
          <cell r="C123" t="str">
            <v>$1-5 Billion</v>
          </cell>
          <cell r="D123" t="str">
            <v>$100-200 Million</v>
          </cell>
          <cell r="E123">
            <v>0</v>
          </cell>
          <cell r="F123">
            <v>8</v>
          </cell>
          <cell r="G123">
            <v>5</v>
          </cell>
          <cell r="H123">
            <v>0</v>
          </cell>
          <cell r="I123">
            <v>3</v>
          </cell>
          <cell r="J123">
            <v>0</v>
          </cell>
          <cell r="K123">
            <v>8</v>
          </cell>
          <cell r="L123">
            <v>0</v>
          </cell>
          <cell r="M123">
            <v>3</v>
          </cell>
          <cell r="N123">
            <v>10</v>
          </cell>
          <cell r="O123">
            <v>5</v>
          </cell>
          <cell r="P123">
            <v>50</v>
          </cell>
          <cell r="Q123">
            <v>50</v>
          </cell>
          <cell r="R123">
            <v>50</v>
          </cell>
          <cell r="S123">
            <v>50</v>
          </cell>
          <cell r="T123" t="str">
            <v>Data center facelift</v>
          </cell>
          <cell r="U123" t="str">
            <v>Server spending</v>
          </cell>
          <cell r="V123" t="str">
            <v>Data dedup</v>
          </cell>
          <cell r="W123" t="str">
            <v>WAN optimization spending</v>
          </cell>
          <cell r="X123" t="str">
            <v>Desktop hardware</v>
          </cell>
          <cell r="Z123" t="str">
            <v>‘No change’ to the budget is likely</v>
          </cell>
          <cell r="AA123" t="str">
            <v>Everything subject to cuts</v>
          </cell>
          <cell r="AB123" t="str">
            <v>Mission critical systems</v>
          </cell>
          <cell r="AC123" t="str">
            <v>Somewhat less aggressive in discounting</v>
          </cell>
          <cell r="AD123" t="str">
            <v>Somewhat longer</v>
          </cell>
          <cell r="AE123">
            <v>90</v>
          </cell>
          <cell r="AF123">
            <v>5</v>
          </cell>
          <cell r="AG123">
            <v>5</v>
          </cell>
          <cell r="AH123" t="str">
            <v>50/50</v>
          </cell>
          <cell r="AI123" t="str">
            <v>In-Line</v>
          </cell>
          <cell r="AJ123">
            <v>-5</v>
          </cell>
          <cell r="AK123">
            <v>5</v>
          </cell>
          <cell r="AL123">
            <v>0</v>
          </cell>
          <cell r="AM123">
            <v>5</v>
          </cell>
          <cell r="AN123">
            <v>-10</v>
          </cell>
          <cell r="AO123">
            <v>0</v>
          </cell>
          <cell r="AP123">
            <v>0</v>
          </cell>
          <cell r="AQ123">
            <v>0</v>
          </cell>
          <cell r="AR123" t="str">
            <v>Increase</v>
          </cell>
          <cell r="AS123" t="str">
            <v>Flat</v>
          </cell>
          <cell r="AT123" t="str">
            <v>Don't Use</v>
          </cell>
          <cell r="AU123" t="str">
            <v>Increase</v>
          </cell>
          <cell r="AV123" t="str">
            <v>Don't Use</v>
          </cell>
          <cell r="AW123" t="str">
            <v>Don't Use</v>
          </cell>
          <cell r="AX123" t="str">
            <v>Don't Use</v>
          </cell>
          <cell r="AY123" t="str">
            <v>Don't Use</v>
          </cell>
          <cell r="AZ123" t="str">
            <v>Increase</v>
          </cell>
          <cell r="BA123" t="str">
            <v>Flat</v>
          </cell>
          <cell r="BB123" t="str">
            <v>Flat</v>
          </cell>
          <cell r="BC123" t="str">
            <v>Decrease</v>
          </cell>
          <cell r="BD123" t="str">
            <v>Don't Use</v>
          </cell>
          <cell r="BE123" t="str">
            <v>Don't Use</v>
          </cell>
          <cell r="BF123" t="str">
            <v>Flat</v>
          </cell>
          <cell r="BG123" t="str">
            <v>Don't Use</v>
          </cell>
          <cell r="BH123" t="str">
            <v>Don't Use</v>
          </cell>
          <cell r="BI123" t="str">
            <v>Already using services provider</v>
          </cell>
          <cell r="BJ123" t="str">
            <v>Doing work internally</v>
          </cell>
          <cell r="BK123" t="str">
            <v>Doing work internally</v>
          </cell>
          <cell r="BL123" t="str">
            <v>Not Priority</v>
          </cell>
          <cell r="BM123" t="str">
            <v>Doing work internally</v>
          </cell>
          <cell r="BN123" t="str">
            <v>Doing work internally</v>
          </cell>
          <cell r="BO123" t="str">
            <v>Will use services provider 2H12</v>
          </cell>
          <cell r="BP123" t="str">
            <v>Will use services provider 1H12</v>
          </cell>
          <cell r="BQ123" t="str">
            <v>Not Priority</v>
          </cell>
          <cell r="BR123" t="str">
            <v>Doing work internally</v>
          </cell>
          <cell r="BS123" t="str">
            <v>Doing work internally</v>
          </cell>
          <cell r="BT123" t="str">
            <v>Not Priority</v>
          </cell>
          <cell r="BU123">
            <v>2</v>
          </cell>
          <cell r="BV123">
            <v>7</v>
          </cell>
          <cell r="BW123">
            <v>1</v>
          </cell>
          <cell r="BX123">
            <v>3</v>
          </cell>
          <cell r="BY123">
            <v>6</v>
          </cell>
          <cell r="BZ123">
            <v>4</v>
          </cell>
          <cell r="CA123">
            <v>5</v>
          </cell>
          <cell r="CB123" t="str">
            <v>Somewhat less aggressive in discounting</v>
          </cell>
        </row>
        <row r="124">
          <cell r="A124" t="str">
            <v>US</v>
          </cell>
          <cell r="B124" t="str">
            <v>Retail</v>
          </cell>
          <cell r="C124" t="str">
            <v>$500 Million - $1 Billion</v>
          </cell>
          <cell r="D124" t="str">
            <v>$100-200 Million</v>
          </cell>
          <cell r="E124">
            <v>10</v>
          </cell>
          <cell r="F124">
            <v>2</v>
          </cell>
          <cell r="G124">
            <v>10</v>
          </cell>
          <cell r="H124">
            <v>15</v>
          </cell>
          <cell r="I124">
            <v>5</v>
          </cell>
          <cell r="J124">
            <v>13</v>
          </cell>
          <cell r="K124">
            <v>-5</v>
          </cell>
          <cell r="L124">
            <v>5</v>
          </cell>
          <cell r="M124">
            <v>5</v>
          </cell>
          <cell r="N124">
            <v>5</v>
          </cell>
          <cell r="O124">
            <v>6</v>
          </cell>
          <cell r="P124">
            <v>50</v>
          </cell>
          <cell r="Q124">
            <v>50</v>
          </cell>
          <cell r="R124">
            <v>50</v>
          </cell>
          <cell r="S124">
            <v>50</v>
          </cell>
          <cell r="T124" t="str">
            <v>Virtualization</v>
          </cell>
          <cell r="U124" t="str">
            <v>Server Upgrades</v>
          </cell>
          <cell r="V124" t="str">
            <v>Storage Consolidation</v>
          </cell>
          <cell r="W124" t="str">
            <v>Security is stable for now</v>
          </cell>
          <cell r="X124" t="str">
            <v>Collaboration</v>
          </cell>
          <cell r="Z124" t="str">
            <v>‘No change’ to the budget is likely</v>
          </cell>
          <cell r="AA124" t="str">
            <v>Server upgrades</v>
          </cell>
          <cell r="AB124" t="str">
            <v>Mission critical systems</v>
          </cell>
          <cell r="AC124" t="str">
            <v>Somewhat less aggressive in discounting</v>
          </cell>
          <cell r="AD124" t="str">
            <v>Somewhat longer</v>
          </cell>
          <cell r="AE124">
            <v>75</v>
          </cell>
          <cell r="AF124">
            <v>25</v>
          </cell>
          <cell r="AG124">
            <v>0</v>
          </cell>
          <cell r="AH124" t="str">
            <v>50/50</v>
          </cell>
          <cell r="AI124" t="str">
            <v>Under</v>
          </cell>
          <cell r="AJ124">
            <v>10</v>
          </cell>
          <cell r="AK124" t="str">
            <v>NA / DK</v>
          </cell>
          <cell r="AL124" t="str">
            <v>NA / DK</v>
          </cell>
          <cell r="AM124" t="str">
            <v>NA / DK</v>
          </cell>
          <cell r="AN124">
            <v>17</v>
          </cell>
          <cell r="AO124">
            <v>15</v>
          </cell>
          <cell r="AP124" t="str">
            <v>NA / DK</v>
          </cell>
          <cell r="AQ124">
            <v>10</v>
          </cell>
          <cell r="AR124" t="str">
            <v>Flat</v>
          </cell>
          <cell r="AS124" t="str">
            <v>Don't Use</v>
          </cell>
          <cell r="AT124" t="str">
            <v>Don't Use</v>
          </cell>
          <cell r="AU124" t="str">
            <v>Don't Use</v>
          </cell>
          <cell r="AV124" t="str">
            <v>Don't Use</v>
          </cell>
          <cell r="AW124" t="str">
            <v>Flat</v>
          </cell>
          <cell r="AX124" t="str">
            <v>Don't Use</v>
          </cell>
          <cell r="AY124" t="str">
            <v>Don't Use</v>
          </cell>
          <cell r="AZ124" t="str">
            <v>Don't Use</v>
          </cell>
          <cell r="BA124" t="str">
            <v>Don't Use</v>
          </cell>
          <cell r="BB124" t="str">
            <v>Flat</v>
          </cell>
          <cell r="BC124" t="str">
            <v>Don't Use</v>
          </cell>
          <cell r="BD124" t="str">
            <v>Don't Use</v>
          </cell>
          <cell r="BE124" t="str">
            <v>Flat</v>
          </cell>
          <cell r="BF124" t="str">
            <v>Don't Use</v>
          </cell>
          <cell r="BG124" t="str">
            <v>Don't Use</v>
          </cell>
          <cell r="BH124" t="str">
            <v>Don't Use</v>
          </cell>
          <cell r="BI124" t="str">
            <v>Already using services provider</v>
          </cell>
          <cell r="BJ124" t="str">
            <v>Not Priority</v>
          </cell>
          <cell r="BK124" t="str">
            <v>Not Priority</v>
          </cell>
          <cell r="BL124" t="str">
            <v>Not Priority</v>
          </cell>
          <cell r="BM124" t="str">
            <v>Already using services provider</v>
          </cell>
          <cell r="BN124" t="str">
            <v>Not Priority</v>
          </cell>
          <cell r="BO124" t="str">
            <v>Not Priority</v>
          </cell>
          <cell r="BP124" t="str">
            <v>Not Priority</v>
          </cell>
          <cell r="BQ124" t="str">
            <v>Not Priority</v>
          </cell>
          <cell r="BR124" t="str">
            <v>Not Priority</v>
          </cell>
          <cell r="BS124" t="str">
            <v>Not Priority</v>
          </cell>
          <cell r="BT124" t="str">
            <v>Already using services provider</v>
          </cell>
          <cell r="BU124">
            <v>1</v>
          </cell>
          <cell r="BV124">
            <v>4</v>
          </cell>
          <cell r="BW124">
            <v>2</v>
          </cell>
          <cell r="BX124">
            <v>5</v>
          </cell>
          <cell r="BY124">
            <v>7</v>
          </cell>
          <cell r="BZ124">
            <v>3</v>
          </cell>
          <cell r="CA124">
            <v>6</v>
          </cell>
          <cell r="CB124" t="str">
            <v>Somewhat less aggressive in discounting</v>
          </cell>
        </row>
        <row r="125">
          <cell r="A125" t="str">
            <v>US</v>
          </cell>
          <cell r="B125" t="str">
            <v>Retail</v>
          </cell>
          <cell r="C125" t="str">
            <v>$15-20 Billion</v>
          </cell>
          <cell r="D125" t="str">
            <v>$500-600 Million</v>
          </cell>
          <cell r="E125">
            <v>5</v>
          </cell>
          <cell r="F125">
            <v>5</v>
          </cell>
          <cell r="G125">
            <v>3</v>
          </cell>
          <cell r="H125">
            <v>12</v>
          </cell>
          <cell r="I125">
            <v>5</v>
          </cell>
          <cell r="J125">
            <v>5</v>
          </cell>
          <cell r="K125">
            <v>5</v>
          </cell>
          <cell r="L125">
            <v>5</v>
          </cell>
          <cell r="M125">
            <v>5</v>
          </cell>
          <cell r="N125">
            <v>7</v>
          </cell>
          <cell r="O125">
            <v>5</v>
          </cell>
          <cell r="P125">
            <v>50</v>
          </cell>
          <cell r="Q125">
            <v>50</v>
          </cell>
          <cell r="R125">
            <v>50</v>
          </cell>
          <cell r="S125">
            <v>50</v>
          </cell>
          <cell r="T125" t="str">
            <v>Server virtualization</v>
          </cell>
          <cell r="U125" t="str">
            <v>Storage consolidation</v>
          </cell>
          <cell r="V125" t="str">
            <v>Database consolidation</v>
          </cell>
          <cell r="W125" t="str">
            <v>NetApp purchases</v>
          </cell>
          <cell r="X125" t="str">
            <v>PCs</v>
          </cell>
          <cell r="Y125" t="str">
            <v>Tablets</v>
          </cell>
          <cell r="Z125" t="str">
            <v>Upward revision is more likely</v>
          </cell>
          <cell r="AA125" t="str">
            <v>New hires</v>
          </cell>
          <cell r="AB125" t="str">
            <v>Storage consolidation</v>
          </cell>
          <cell r="AC125" t="str">
            <v>No change in level of discounting</v>
          </cell>
          <cell r="AD125" t="str">
            <v>No Change</v>
          </cell>
          <cell r="AE125">
            <v>30</v>
          </cell>
          <cell r="AF125">
            <v>20</v>
          </cell>
          <cell r="AG125">
            <v>50</v>
          </cell>
          <cell r="AH125" t="str">
            <v>50/50</v>
          </cell>
          <cell r="AI125" t="str">
            <v>Under</v>
          </cell>
          <cell r="AJ125">
            <v>5</v>
          </cell>
          <cell r="AK125">
            <v>0</v>
          </cell>
          <cell r="AL125">
            <v>0</v>
          </cell>
          <cell r="AM125">
            <v>5</v>
          </cell>
          <cell r="AN125">
            <v>5</v>
          </cell>
          <cell r="AO125">
            <v>5</v>
          </cell>
          <cell r="AP125">
            <v>10</v>
          </cell>
          <cell r="AQ125">
            <v>10</v>
          </cell>
          <cell r="AR125" t="str">
            <v>Don't Use</v>
          </cell>
          <cell r="AS125" t="str">
            <v>Flat</v>
          </cell>
          <cell r="AT125" t="str">
            <v>Flat</v>
          </cell>
          <cell r="AU125" t="str">
            <v>Don't Use</v>
          </cell>
          <cell r="AV125" t="str">
            <v>Don't Use</v>
          </cell>
          <cell r="AW125" t="str">
            <v>Flat</v>
          </cell>
          <cell r="AX125" t="str">
            <v>Decrease</v>
          </cell>
          <cell r="AY125" t="str">
            <v>Don't Use</v>
          </cell>
          <cell r="AZ125" t="str">
            <v>Don't Use</v>
          </cell>
          <cell r="BA125" t="str">
            <v>Don't Use</v>
          </cell>
          <cell r="BB125" t="str">
            <v>Flat</v>
          </cell>
          <cell r="BC125" t="str">
            <v>Flat</v>
          </cell>
          <cell r="BD125" t="str">
            <v>Don't Use</v>
          </cell>
          <cell r="BE125" t="str">
            <v>Don't Use</v>
          </cell>
          <cell r="BF125" t="str">
            <v>Don't Use</v>
          </cell>
          <cell r="BG125" t="str">
            <v>Don't Use</v>
          </cell>
          <cell r="BH125" t="str">
            <v>Don't Use</v>
          </cell>
          <cell r="BI125" t="str">
            <v>Not Priority</v>
          </cell>
          <cell r="BJ125" t="str">
            <v>Doing work internally</v>
          </cell>
          <cell r="BK125" t="str">
            <v>Doing work internally</v>
          </cell>
          <cell r="BL125" t="str">
            <v>Not Priority</v>
          </cell>
          <cell r="BM125" t="str">
            <v>Already using services provider</v>
          </cell>
          <cell r="BN125" t="str">
            <v>Already using services provider</v>
          </cell>
          <cell r="BO125" t="str">
            <v>Doing work internally</v>
          </cell>
          <cell r="BP125" t="str">
            <v>Will use services provider 1H12</v>
          </cell>
          <cell r="BQ125" t="str">
            <v>Will use services provider 2H12</v>
          </cell>
          <cell r="BR125" t="str">
            <v>Not Priority</v>
          </cell>
          <cell r="BS125" t="str">
            <v>Not Priority</v>
          </cell>
          <cell r="BT125" t="str">
            <v>Not Priority</v>
          </cell>
          <cell r="BU125">
            <v>5</v>
          </cell>
          <cell r="BV125">
            <v>6</v>
          </cell>
          <cell r="BW125">
            <v>4</v>
          </cell>
          <cell r="BX125">
            <v>1</v>
          </cell>
          <cell r="BY125">
            <v>2</v>
          </cell>
          <cell r="BZ125">
            <v>7</v>
          </cell>
          <cell r="CA125">
            <v>3</v>
          </cell>
          <cell r="CB125" t="str">
            <v>No change in level of discounting</v>
          </cell>
        </row>
        <row r="126">
          <cell r="A126" t="str">
            <v>US</v>
          </cell>
          <cell r="B126" t="str">
            <v>Retail</v>
          </cell>
          <cell r="C126" t="str">
            <v>$5-10 Billion</v>
          </cell>
          <cell r="D126" t="str">
            <v>$300-400 Million</v>
          </cell>
          <cell r="E126">
            <v>10</v>
          </cell>
          <cell r="F126">
            <v>10</v>
          </cell>
          <cell r="G126">
            <v>10</v>
          </cell>
          <cell r="H126">
            <v>10</v>
          </cell>
          <cell r="I126">
            <v>10</v>
          </cell>
          <cell r="J126">
            <v>10</v>
          </cell>
          <cell r="K126">
            <v>10</v>
          </cell>
          <cell r="L126">
            <v>10</v>
          </cell>
          <cell r="M126">
            <v>10</v>
          </cell>
          <cell r="N126">
            <v>10</v>
          </cell>
          <cell r="O126">
            <v>10</v>
          </cell>
          <cell r="P126">
            <v>60</v>
          </cell>
          <cell r="Q126">
            <v>40</v>
          </cell>
          <cell r="R126">
            <v>60</v>
          </cell>
          <cell r="S126">
            <v>40</v>
          </cell>
          <cell r="T126" t="str">
            <v>PC software updates</v>
          </cell>
          <cell r="U126" t="str">
            <v>Data consolidation</v>
          </cell>
          <cell r="V126" t="str">
            <v>Applicatio integration</v>
          </cell>
          <cell r="W126" t="str">
            <v>SaaS project</v>
          </cell>
          <cell r="X126" t="str">
            <v>HR applications</v>
          </cell>
          <cell r="Z126" t="str">
            <v>Equal chance of upward or downward revision</v>
          </cell>
          <cell r="AA126" t="str">
            <v>Custome aps</v>
          </cell>
          <cell r="AB126" t="str">
            <v>Anything directly related to productivity</v>
          </cell>
          <cell r="AC126" t="str">
            <v>Significantly less aggressive in discounting</v>
          </cell>
          <cell r="AD126" t="str">
            <v>Somewhat longer</v>
          </cell>
          <cell r="AE126">
            <v>80</v>
          </cell>
          <cell r="AF126">
            <v>20</v>
          </cell>
          <cell r="AG126">
            <v>0</v>
          </cell>
          <cell r="AH126" t="str">
            <v>50/50</v>
          </cell>
          <cell r="AI126" t="str">
            <v>In-Line</v>
          </cell>
          <cell r="AJ126">
            <v>15</v>
          </cell>
          <cell r="AK126">
            <v>2</v>
          </cell>
          <cell r="AL126">
            <v>0</v>
          </cell>
          <cell r="AM126">
            <v>2</v>
          </cell>
          <cell r="AN126">
            <v>10</v>
          </cell>
          <cell r="AO126">
            <v>10</v>
          </cell>
          <cell r="AP126">
            <v>10</v>
          </cell>
          <cell r="AQ126">
            <v>10</v>
          </cell>
          <cell r="AR126" t="str">
            <v>Don't Use</v>
          </cell>
          <cell r="AS126" t="str">
            <v>Flat</v>
          </cell>
          <cell r="AT126" t="str">
            <v>Don't Use</v>
          </cell>
          <cell r="AU126" t="str">
            <v>Increase</v>
          </cell>
          <cell r="AV126" t="str">
            <v>Don't Use</v>
          </cell>
          <cell r="AW126" t="str">
            <v>Don't Use</v>
          </cell>
          <cell r="AX126" t="str">
            <v>Flat</v>
          </cell>
          <cell r="AY126" t="str">
            <v>Don't Use</v>
          </cell>
          <cell r="AZ126" t="str">
            <v>Don't Use</v>
          </cell>
          <cell r="BA126" t="str">
            <v>Flat</v>
          </cell>
          <cell r="BB126" t="str">
            <v>Flat</v>
          </cell>
          <cell r="BC126" t="str">
            <v>Flat</v>
          </cell>
          <cell r="BD126" t="str">
            <v>Don't Use</v>
          </cell>
          <cell r="BE126" t="str">
            <v>Don't Use</v>
          </cell>
          <cell r="BF126" t="str">
            <v>Don't Use</v>
          </cell>
          <cell r="BG126" t="str">
            <v>Don't Use</v>
          </cell>
          <cell r="BH126" t="str">
            <v>Don't Use</v>
          </cell>
          <cell r="BI126" t="str">
            <v>Already using services provider</v>
          </cell>
          <cell r="BJ126" t="str">
            <v>Doing work internally</v>
          </cell>
          <cell r="BK126" t="str">
            <v>Not Priority</v>
          </cell>
          <cell r="BL126" t="str">
            <v>Doing work internally</v>
          </cell>
          <cell r="BM126" t="str">
            <v>Doing work internally</v>
          </cell>
          <cell r="BN126" t="str">
            <v>Doing work internally</v>
          </cell>
          <cell r="BO126" t="str">
            <v>Will use services provider 2H12</v>
          </cell>
          <cell r="BP126" t="str">
            <v>Doing work internally</v>
          </cell>
          <cell r="BQ126" t="str">
            <v>Doing work internally</v>
          </cell>
          <cell r="BR126" t="str">
            <v>Not Priority</v>
          </cell>
          <cell r="BS126" t="str">
            <v>Not Priority</v>
          </cell>
          <cell r="BT126" t="str">
            <v>Not Priority</v>
          </cell>
          <cell r="BU126">
            <v>2</v>
          </cell>
          <cell r="BV126">
            <v>6</v>
          </cell>
          <cell r="BW126">
            <v>4</v>
          </cell>
          <cell r="BX126">
            <v>5</v>
          </cell>
          <cell r="BY126">
            <v>7</v>
          </cell>
          <cell r="BZ126">
            <v>1</v>
          </cell>
          <cell r="CA126">
            <v>3</v>
          </cell>
          <cell r="CB126" t="str">
            <v>No change in level of discounting</v>
          </cell>
        </row>
        <row r="127">
          <cell r="A127" t="str">
            <v>US</v>
          </cell>
          <cell r="B127" t="str">
            <v>Retail</v>
          </cell>
          <cell r="C127" t="str">
            <v>$5-10 Billion</v>
          </cell>
          <cell r="D127" t="str">
            <v>&lt;$100 Million</v>
          </cell>
          <cell r="E127">
            <v>5</v>
          </cell>
          <cell r="F127">
            <v>0</v>
          </cell>
          <cell r="G127">
            <v>5</v>
          </cell>
          <cell r="H127">
            <v>5</v>
          </cell>
          <cell r="I127">
            <v>5</v>
          </cell>
          <cell r="J127">
            <v>0</v>
          </cell>
          <cell r="K127">
            <v>0</v>
          </cell>
          <cell r="L127">
            <v>-5</v>
          </cell>
          <cell r="M127">
            <v>0</v>
          </cell>
          <cell r="N127">
            <v>-3</v>
          </cell>
          <cell r="O127">
            <v>6</v>
          </cell>
          <cell r="P127">
            <v>60</v>
          </cell>
          <cell r="Q127">
            <v>40</v>
          </cell>
          <cell r="R127">
            <v>60</v>
          </cell>
          <cell r="S127">
            <v>40</v>
          </cell>
          <cell r="T127" t="str">
            <v>High Availability</v>
          </cell>
          <cell r="U127" t="str">
            <v>Virtualization</v>
          </cell>
          <cell r="W127" t="str">
            <v>NA / No Decrease</v>
          </cell>
          <cell r="Z127" t="str">
            <v>Upward revision is more likely</v>
          </cell>
          <cell r="AA127" t="str">
            <v xml:space="preserve">New Projects  </v>
          </cell>
          <cell r="AB127" t="str">
            <v>Keeping IT running</v>
          </cell>
          <cell r="AC127" t="str">
            <v>No change in level of discounting</v>
          </cell>
          <cell r="AD127" t="str">
            <v>No Change</v>
          </cell>
          <cell r="AE127">
            <v>75</v>
          </cell>
          <cell r="AF127">
            <v>25</v>
          </cell>
          <cell r="AG127">
            <v>0</v>
          </cell>
          <cell r="AH127" t="str">
            <v>50/50</v>
          </cell>
          <cell r="AI127" t="str">
            <v>Under</v>
          </cell>
          <cell r="AJ127">
            <v>-5</v>
          </cell>
          <cell r="AK127">
            <v>3</v>
          </cell>
          <cell r="AL127">
            <v>5</v>
          </cell>
          <cell r="AM127">
            <v>5</v>
          </cell>
          <cell r="AN127">
            <v>8</v>
          </cell>
          <cell r="AO127">
            <v>15</v>
          </cell>
          <cell r="AP127">
            <v>5</v>
          </cell>
          <cell r="AQ127">
            <v>0</v>
          </cell>
          <cell r="AR127" t="str">
            <v>Don't Use</v>
          </cell>
          <cell r="AS127" t="str">
            <v>Don't Use</v>
          </cell>
          <cell r="AT127" t="str">
            <v>Don't Use</v>
          </cell>
          <cell r="AU127" t="str">
            <v>Don't Use</v>
          </cell>
          <cell r="AV127" t="str">
            <v>Don't Use</v>
          </cell>
          <cell r="AW127" t="str">
            <v>Don't Use</v>
          </cell>
          <cell r="AX127" t="str">
            <v>Flat</v>
          </cell>
          <cell r="AY127" t="str">
            <v>Don't Use</v>
          </cell>
          <cell r="AZ127" t="str">
            <v>Don't Use</v>
          </cell>
          <cell r="BA127" t="str">
            <v>Flat</v>
          </cell>
          <cell r="BB127" t="str">
            <v>Flat</v>
          </cell>
          <cell r="BC127" t="str">
            <v>Flat</v>
          </cell>
          <cell r="BD127" t="str">
            <v>Don't Use</v>
          </cell>
          <cell r="BE127" t="str">
            <v>Don't Use</v>
          </cell>
          <cell r="BF127" t="str">
            <v>Don't Use</v>
          </cell>
          <cell r="BG127" t="str">
            <v>Don't Use</v>
          </cell>
          <cell r="BH127" t="str">
            <v>Don't Use</v>
          </cell>
          <cell r="BI127" t="str">
            <v>Doing work internally</v>
          </cell>
          <cell r="BJ127" t="str">
            <v>Not Priority</v>
          </cell>
          <cell r="BK127" t="str">
            <v>Will use services provider 2H12</v>
          </cell>
          <cell r="BL127" t="str">
            <v>Doing work internally</v>
          </cell>
          <cell r="BM127" t="str">
            <v>Doing work internally</v>
          </cell>
          <cell r="BN127" t="str">
            <v>Not Priority</v>
          </cell>
          <cell r="BO127" t="str">
            <v>Not Priority</v>
          </cell>
          <cell r="BP127" t="str">
            <v>Will use services provider 2H12</v>
          </cell>
          <cell r="BQ127" t="str">
            <v>Will use services provider 2H12</v>
          </cell>
          <cell r="BR127" t="str">
            <v>Not Priority</v>
          </cell>
          <cell r="BS127" t="str">
            <v>Not Priority</v>
          </cell>
          <cell r="BT127" t="str">
            <v>Not Priority</v>
          </cell>
          <cell r="BU127">
            <v>2</v>
          </cell>
          <cell r="BV127">
            <v>5</v>
          </cell>
          <cell r="BW127">
            <v>3</v>
          </cell>
          <cell r="BX127">
            <v>6</v>
          </cell>
          <cell r="BY127">
            <v>4</v>
          </cell>
          <cell r="BZ127">
            <v>1</v>
          </cell>
          <cell r="CA127">
            <v>7</v>
          </cell>
          <cell r="CB127" t="str">
            <v>No change in level of discounting</v>
          </cell>
        </row>
        <row r="128">
          <cell r="A128" t="str">
            <v>US</v>
          </cell>
          <cell r="B128" t="str">
            <v>Retail</v>
          </cell>
          <cell r="C128" t="str">
            <v>$5-10 Billion</v>
          </cell>
          <cell r="D128" t="str">
            <v>&lt;$100 Million</v>
          </cell>
          <cell r="E128">
            <v>0</v>
          </cell>
          <cell r="F128">
            <v>5</v>
          </cell>
          <cell r="G128">
            <v>2</v>
          </cell>
          <cell r="H128">
            <v>3</v>
          </cell>
          <cell r="I128">
            <v>0</v>
          </cell>
          <cell r="J128">
            <v>5</v>
          </cell>
          <cell r="K128">
            <v>0</v>
          </cell>
          <cell r="L128">
            <v>7</v>
          </cell>
          <cell r="M128">
            <v>10</v>
          </cell>
          <cell r="N128">
            <v>5</v>
          </cell>
          <cell r="O128">
            <v>8</v>
          </cell>
          <cell r="P128">
            <v>70</v>
          </cell>
          <cell r="Q128">
            <v>30</v>
          </cell>
          <cell r="R128">
            <v>60</v>
          </cell>
          <cell r="S128">
            <v>40</v>
          </cell>
          <cell r="T128" t="str">
            <v>Mobile apps</v>
          </cell>
          <cell r="U128" t="str">
            <v>Big Data integration</v>
          </cell>
          <cell r="W128" t="str">
            <v>POS systems</v>
          </cell>
          <cell r="X128" t="str">
            <v>Web portal for customers</v>
          </cell>
          <cell r="Z128" t="str">
            <v>‘No change’ to the budget is likely</v>
          </cell>
          <cell r="AA128" t="str">
            <v>Mobile app development</v>
          </cell>
          <cell r="AB128" t="str">
            <v>POS systems</v>
          </cell>
          <cell r="AC128" t="str">
            <v>No change in level of discounting</v>
          </cell>
          <cell r="AD128" t="str">
            <v>No Change</v>
          </cell>
          <cell r="AE128">
            <v>70</v>
          </cell>
          <cell r="AF128">
            <v>20</v>
          </cell>
          <cell r="AG128">
            <v>10</v>
          </cell>
          <cell r="AH128" t="str">
            <v>40/60</v>
          </cell>
          <cell r="AI128" t="str">
            <v>In-Line</v>
          </cell>
          <cell r="AJ128">
            <v>10</v>
          </cell>
          <cell r="AK128">
            <v>0</v>
          </cell>
          <cell r="AL128">
            <v>0</v>
          </cell>
          <cell r="AM128">
            <v>-5</v>
          </cell>
          <cell r="AN128">
            <v>16</v>
          </cell>
          <cell r="AO128">
            <v>-5</v>
          </cell>
          <cell r="AP128">
            <v>-5</v>
          </cell>
          <cell r="AQ128">
            <v>0</v>
          </cell>
          <cell r="AR128" t="str">
            <v>Don't Use</v>
          </cell>
          <cell r="AS128" t="str">
            <v>Flat</v>
          </cell>
          <cell r="AT128" t="str">
            <v>Flat</v>
          </cell>
          <cell r="AU128" t="str">
            <v>Don't Use</v>
          </cell>
          <cell r="AV128" t="str">
            <v>Flat</v>
          </cell>
          <cell r="AW128" t="str">
            <v>Don't Use</v>
          </cell>
          <cell r="AX128" t="str">
            <v>Don't Use</v>
          </cell>
          <cell r="AY128" t="str">
            <v>Don't Use</v>
          </cell>
          <cell r="AZ128" t="str">
            <v>Flat</v>
          </cell>
          <cell r="BA128" t="str">
            <v>Don't Use</v>
          </cell>
          <cell r="BB128" t="str">
            <v>Increase</v>
          </cell>
          <cell r="BC128" t="str">
            <v>Don't Use</v>
          </cell>
          <cell r="BD128" t="str">
            <v>Don't Use</v>
          </cell>
          <cell r="BE128" t="str">
            <v>Don't Use</v>
          </cell>
          <cell r="BF128" t="str">
            <v>Don't Use</v>
          </cell>
          <cell r="BG128" t="str">
            <v>Don't Use</v>
          </cell>
          <cell r="BH128" t="str">
            <v>Don't Use</v>
          </cell>
          <cell r="BI128" t="str">
            <v>Not Priority</v>
          </cell>
          <cell r="BJ128" t="str">
            <v>Doing work internally</v>
          </cell>
          <cell r="BK128" t="str">
            <v>Already using services provider</v>
          </cell>
          <cell r="BL128" t="str">
            <v>Will use services provider 2H12</v>
          </cell>
          <cell r="BM128" t="str">
            <v>Will use services provider 2H12</v>
          </cell>
          <cell r="BN128" t="str">
            <v>Not Priority</v>
          </cell>
          <cell r="BO128" t="str">
            <v>Will use services provider 2H12</v>
          </cell>
          <cell r="BP128" t="str">
            <v>Already using services provider</v>
          </cell>
          <cell r="BQ128" t="str">
            <v>Will use services provider 2H12</v>
          </cell>
          <cell r="BR128" t="str">
            <v>Not Priority</v>
          </cell>
          <cell r="BS128" t="str">
            <v>Not Priority</v>
          </cell>
          <cell r="BT128" t="str">
            <v>Already using services provider</v>
          </cell>
          <cell r="BU128">
            <v>3</v>
          </cell>
          <cell r="BV128">
            <v>7</v>
          </cell>
          <cell r="BW128">
            <v>1</v>
          </cell>
          <cell r="BX128">
            <v>2</v>
          </cell>
          <cell r="BY128">
            <v>5</v>
          </cell>
          <cell r="BZ128">
            <v>4</v>
          </cell>
          <cell r="CA128">
            <v>6</v>
          </cell>
          <cell r="CB128" t="str">
            <v>No change in level of discounting</v>
          </cell>
        </row>
        <row r="129">
          <cell r="A129" t="str">
            <v>US</v>
          </cell>
          <cell r="B129" t="str">
            <v>Technology</v>
          </cell>
          <cell r="C129" t="str">
            <v>$1-5 Billion</v>
          </cell>
          <cell r="D129" t="str">
            <v>&lt;$100 Million</v>
          </cell>
          <cell r="E129">
            <v>-5</v>
          </cell>
          <cell r="F129">
            <v>-5</v>
          </cell>
          <cell r="G129">
            <v>-10</v>
          </cell>
          <cell r="H129">
            <v>0</v>
          </cell>
          <cell r="I129">
            <v>0</v>
          </cell>
          <cell r="J129">
            <v>2</v>
          </cell>
          <cell r="K129">
            <v>-10</v>
          </cell>
          <cell r="L129">
            <v>0</v>
          </cell>
          <cell r="M129">
            <v>0</v>
          </cell>
          <cell r="N129">
            <v>2</v>
          </cell>
          <cell r="O129">
            <v>4</v>
          </cell>
          <cell r="P129">
            <v>20</v>
          </cell>
          <cell r="Q129">
            <v>80</v>
          </cell>
          <cell r="R129">
            <v>20</v>
          </cell>
          <cell r="S129">
            <v>80</v>
          </cell>
          <cell r="T129" t="str">
            <v>Server updates</v>
          </cell>
          <cell r="U129" t="str">
            <v>Application development</v>
          </cell>
          <cell r="W129" t="str">
            <v>PC refresh rates</v>
          </cell>
          <cell r="Z129" t="str">
            <v>Downward revision is more likely</v>
          </cell>
          <cell r="AA129" t="str">
            <v>Servers</v>
          </cell>
          <cell r="AB129" t="str">
            <v>Everything subject to cuts</v>
          </cell>
          <cell r="AC129" t="str">
            <v>No change in level of discounting</v>
          </cell>
          <cell r="AD129" t="str">
            <v>Somewhat longer</v>
          </cell>
          <cell r="AE129">
            <v>100</v>
          </cell>
          <cell r="AF129">
            <v>0</v>
          </cell>
          <cell r="AG129">
            <v>0</v>
          </cell>
          <cell r="AH129" t="str">
            <v>50/50</v>
          </cell>
          <cell r="AI129" t="str">
            <v>In-Line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 t="str">
            <v>Don't Use</v>
          </cell>
          <cell r="AS129" t="str">
            <v>Don't Use</v>
          </cell>
          <cell r="AT129" t="str">
            <v>Don't Use</v>
          </cell>
          <cell r="AU129" t="str">
            <v>Don't Use</v>
          </cell>
          <cell r="AV129" t="str">
            <v>Don't Use</v>
          </cell>
          <cell r="AW129" t="str">
            <v>Don't Use</v>
          </cell>
          <cell r="AX129" t="str">
            <v>Don't Use</v>
          </cell>
          <cell r="AY129" t="str">
            <v>Don't Use</v>
          </cell>
          <cell r="AZ129" t="str">
            <v>Don't Use</v>
          </cell>
          <cell r="BA129" t="str">
            <v>Don't Use</v>
          </cell>
          <cell r="BB129" t="str">
            <v>Flat</v>
          </cell>
          <cell r="BC129" t="str">
            <v>Don't Use</v>
          </cell>
          <cell r="BD129" t="str">
            <v>Don't Use</v>
          </cell>
          <cell r="BE129" t="str">
            <v>Don't Use</v>
          </cell>
          <cell r="BF129" t="str">
            <v>Don't Use</v>
          </cell>
          <cell r="BG129" t="str">
            <v>Don't Use</v>
          </cell>
          <cell r="BH129" t="str">
            <v>Don't Use</v>
          </cell>
          <cell r="BI129" t="str">
            <v>Doing work internally</v>
          </cell>
          <cell r="BJ129" t="str">
            <v>Doing work internally</v>
          </cell>
          <cell r="BK129" t="str">
            <v>Doing work internally</v>
          </cell>
          <cell r="BL129" t="str">
            <v>Not Priority</v>
          </cell>
          <cell r="BM129" t="str">
            <v>Doing work internally</v>
          </cell>
          <cell r="BN129" t="str">
            <v>Not Priority</v>
          </cell>
          <cell r="BO129" t="str">
            <v>Already using services provider</v>
          </cell>
          <cell r="BP129" t="str">
            <v>Will use services provider 2H12</v>
          </cell>
          <cell r="BQ129" t="str">
            <v>Doing work internally</v>
          </cell>
          <cell r="BR129" t="str">
            <v>Doing work internally</v>
          </cell>
          <cell r="BS129" t="str">
            <v>Not Priority</v>
          </cell>
          <cell r="BT129" t="str">
            <v>Already using services provider</v>
          </cell>
          <cell r="BU129">
            <v>4</v>
          </cell>
          <cell r="BV129">
            <v>7</v>
          </cell>
          <cell r="BW129">
            <v>2</v>
          </cell>
          <cell r="BX129">
            <v>1</v>
          </cell>
          <cell r="BY129">
            <v>5</v>
          </cell>
          <cell r="BZ129">
            <v>3</v>
          </cell>
          <cell r="CA129">
            <v>6</v>
          </cell>
          <cell r="CB129" t="str">
            <v>No change in level of discounting</v>
          </cell>
        </row>
        <row r="130">
          <cell r="A130" t="str">
            <v>US</v>
          </cell>
          <cell r="B130" t="str">
            <v>Technology</v>
          </cell>
          <cell r="C130" t="str">
            <v>$1-5 Billion</v>
          </cell>
          <cell r="D130" t="str">
            <v>NA</v>
          </cell>
          <cell r="E130">
            <v>-15</v>
          </cell>
          <cell r="F130">
            <v>-5</v>
          </cell>
          <cell r="G130">
            <v>-15</v>
          </cell>
          <cell r="H130">
            <v>-10</v>
          </cell>
          <cell r="I130">
            <v>-15</v>
          </cell>
          <cell r="J130">
            <v>-17</v>
          </cell>
          <cell r="K130">
            <v>-5</v>
          </cell>
          <cell r="L130">
            <v>-7</v>
          </cell>
          <cell r="M130">
            <v>-3</v>
          </cell>
          <cell r="N130">
            <v>-5</v>
          </cell>
          <cell r="O130">
            <v>3</v>
          </cell>
          <cell r="P130">
            <v>40</v>
          </cell>
          <cell r="Q130">
            <v>60</v>
          </cell>
          <cell r="R130">
            <v>50</v>
          </cell>
          <cell r="S130">
            <v>50</v>
          </cell>
          <cell r="T130" t="str">
            <v>NA / No Increase</v>
          </cell>
          <cell r="W130" t="str">
            <v>NA / No Decrease</v>
          </cell>
          <cell r="Z130" t="str">
            <v>‘No change’ to the budget is likely</v>
          </cell>
          <cell r="AA130" t="str">
            <v>Consulting / Outsourcing</v>
          </cell>
          <cell r="AB130" t="str">
            <v>Mission critical systems</v>
          </cell>
          <cell r="AC130" t="str">
            <v>Somewhat more aggressive in discounting</v>
          </cell>
          <cell r="AD130" t="str">
            <v>Somewhat longer</v>
          </cell>
          <cell r="AE130">
            <v>25</v>
          </cell>
          <cell r="AF130">
            <v>35</v>
          </cell>
          <cell r="AG130">
            <v>40</v>
          </cell>
          <cell r="AH130" t="str">
            <v>70/30</v>
          </cell>
          <cell r="AI130" t="str">
            <v>In-Line</v>
          </cell>
          <cell r="AJ130">
            <v>-20</v>
          </cell>
          <cell r="AK130">
            <v>-10</v>
          </cell>
          <cell r="AL130">
            <v>-10</v>
          </cell>
          <cell r="AM130">
            <v>0</v>
          </cell>
          <cell r="AN130">
            <v>0</v>
          </cell>
          <cell r="AO130">
            <v>5</v>
          </cell>
          <cell r="AP130">
            <v>10</v>
          </cell>
          <cell r="AQ130">
            <v>5</v>
          </cell>
          <cell r="AR130" t="str">
            <v>Decrease</v>
          </cell>
          <cell r="AS130" t="str">
            <v>Flat</v>
          </cell>
          <cell r="AT130" t="str">
            <v>Don't Use</v>
          </cell>
          <cell r="AU130" t="str">
            <v>Flat</v>
          </cell>
          <cell r="AV130" t="str">
            <v>Decrease</v>
          </cell>
          <cell r="AW130" t="str">
            <v>Flat</v>
          </cell>
          <cell r="AX130" t="str">
            <v>Flat</v>
          </cell>
          <cell r="AY130" t="str">
            <v>Flat</v>
          </cell>
          <cell r="AZ130" t="str">
            <v>Don't Use</v>
          </cell>
          <cell r="BA130" t="str">
            <v>Don't Use</v>
          </cell>
          <cell r="BB130" t="str">
            <v>Don't Use</v>
          </cell>
          <cell r="BC130" t="str">
            <v>Don't Use</v>
          </cell>
          <cell r="BD130" t="str">
            <v>Don't Use</v>
          </cell>
          <cell r="BE130" t="str">
            <v>Don't Use</v>
          </cell>
          <cell r="BF130" t="str">
            <v>Flat</v>
          </cell>
          <cell r="BG130" t="str">
            <v>Flat</v>
          </cell>
          <cell r="BH130" t="str">
            <v>Flat</v>
          </cell>
          <cell r="BI130" t="str">
            <v>Not Priority</v>
          </cell>
          <cell r="BJ130" t="str">
            <v>Not Priority</v>
          </cell>
          <cell r="BK130" t="str">
            <v>Not Priority</v>
          </cell>
          <cell r="BL130" t="str">
            <v>Doing work internally</v>
          </cell>
          <cell r="BM130" t="str">
            <v>Not Priority</v>
          </cell>
          <cell r="BN130" t="str">
            <v>Doing work internally</v>
          </cell>
          <cell r="BO130" t="str">
            <v>Already using services provider</v>
          </cell>
          <cell r="BP130" t="str">
            <v>Not Priority</v>
          </cell>
          <cell r="BQ130" t="str">
            <v>Doing work internally</v>
          </cell>
          <cell r="BR130" t="str">
            <v>Will use services provider 2H12</v>
          </cell>
          <cell r="BS130" t="str">
            <v>Will use services provider 2H12</v>
          </cell>
          <cell r="BT130" t="str">
            <v>Not Priority</v>
          </cell>
          <cell r="BU130">
            <v>4</v>
          </cell>
          <cell r="BV130">
            <v>6</v>
          </cell>
          <cell r="BW130">
            <v>2</v>
          </cell>
          <cell r="BX130">
            <v>1</v>
          </cell>
          <cell r="BY130">
            <v>5</v>
          </cell>
          <cell r="BZ130">
            <v>3</v>
          </cell>
          <cell r="CA130">
            <v>7</v>
          </cell>
          <cell r="CB130" t="str">
            <v>No change in level of discounting</v>
          </cell>
        </row>
        <row r="131">
          <cell r="A131" t="str">
            <v>US</v>
          </cell>
          <cell r="B131" t="str">
            <v>Technology</v>
          </cell>
          <cell r="C131" t="str">
            <v>$15-20 Billion</v>
          </cell>
          <cell r="D131" t="str">
            <v>$100-200 Million</v>
          </cell>
          <cell r="E131">
            <v>10</v>
          </cell>
          <cell r="F131">
            <v>15</v>
          </cell>
          <cell r="G131">
            <v>5</v>
          </cell>
          <cell r="H131">
            <v>10</v>
          </cell>
          <cell r="I131">
            <v>5</v>
          </cell>
          <cell r="J131">
            <v>2</v>
          </cell>
          <cell r="K131">
            <v>15</v>
          </cell>
          <cell r="L131">
            <v>12</v>
          </cell>
          <cell r="M131">
            <v>0</v>
          </cell>
          <cell r="N131">
            <v>0</v>
          </cell>
          <cell r="O131">
            <v>6</v>
          </cell>
          <cell r="P131">
            <v>40</v>
          </cell>
          <cell r="Q131">
            <v>60</v>
          </cell>
          <cell r="R131">
            <v>35</v>
          </cell>
          <cell r="S131">
            <v>65</v>
          </cell>
          <cell r="T131" t="str">
            <v>SOA initiatives</v>
          </cell>
          <cell r="U131" t="str">
            <v>Virtualization</v>
          </cell>
          <cell r="W131" t="str">
            <v>Move away from Dept silos</v>
          </cell>
          <cell r="Z131" t="str">
            <v>‘No change’ to the budget is likely</v>
          </cell>
          <cell r="AA131" t="str">
            <v>NA / DK</v>
          </cell>
          <cell r="AB131" t="str">
            <v>NA / DK</v>
          </cell>
          <cell r="AC131" t="str">
            <v>Somewhat more aggressive in discounting</v>
          </cell>
          <cell r="AD131" t="str">
            <v>Somewhat quicker</v>
          </cell>
          <cell r="AE131">
            <v>80</v>
          </cell>
          <cell r="AF131">
            <v>20</v>
          </cell>
          <cell r="AG131">
            <v>0</v>
          </cell>
          <cell r="AH131" t="str">
            <v>40/60</v>
          </cell>
          <cell r="AI131" t="str">
            <v>Over</v>
          </cell>
          <cell r="AJ131">
            <v>2</v>
          </cell>
          <cell r="AK131">
            <v>0</v>
          </cell>
          <cell r="AL131">
            <v>0</v>
          </cell>
          <cell r="AM131">
            <v>0</v>
          </cell>
          <cell r="AN131">
            <v>3</v>
          </cell>
          <cell r="AO131">
            <v>0</v>
          </cell>
          <cell r="AP131">
            <v>-8</v>
          </cell>
          <cell r="AQ131">
            <v>0</v>
          </cell>
          <cell r="AR131" t="str">
            <v>Don't Use</v>
          </cell>
          <cell r="AS131" t="str">
            <v>Don't Use</v>
          </cell>
          <cell r="AT131" t="str">
            <v>Don't Use</v>
          </cell>
          <cell r="AU131" t="str">
            <v>Don't Use</v>
          </cell>
          <cell r="AV131" t="str">
            <v>Don't Use</v>
          </cell>
          <cell r="AW131" t="str">
            <v>Don't Use</v>
          </cell>
          <cell r="AX131" t="str">
            <v>Increase</v>
          </cell>
          <cell r="AY131" t="str">
            <v>Don't Use</v>
          </cell>
          <cell r="AZ131" t="str">
            <v>Don't Use</v>
          </cell>
          <cell r="BA131" t="str">
            <v>Decrease</v>
          </cell>
          <cell r="BB131" t="str">
            <v>Don't Use</v>
          </cell>
          <cell r="BC131" t="str">
            <v>Flat</v>
          </cell>
          <cell r="BD131" t="str">
            <v>Don't Use</v>
          </cell>
          <cell r="BE131" t="str">
            <v>Flat</v>
          </cell>
          <cell r="BF131" t="str">
            <v>Don't Use</v>
          </cell>
          <cell r="BG131" t="str">
            <v>Don't Use</v>
          </cell>
          <cell r="BH131" t="str">
            <v>Don't Use</v>
          </cell>
          <cell r="BI131" t="str">
            <v>Doing work internally</v>
          </cell>
          <cell r="BJ131" t="str">
            <v>Doing work internally</v>
          </cell>
          <cell r="BK131" t="str">
            <v>Doing work internally</v>
          </cell>
          <cell r="BL131" t="str">
            <v>Not Priority</v>
          </cell>
          <cell r="BM131" t="str">
            <v>Doing work internally</v>
          </cell>
          <cell r="BN131" t="str">
            <v>Doing work internally</v>
          </cell>
          <cell r="BO131" t="str">
            <v>Doing work internally</v>
          </cell>
          <cell r="BP131" t="str">
            <v>Doing work internally</v>
          </cell>
          <cell r="BQ131" t="str">
            <v>Will use services provider 2H12</v>
          </cell>
          <cell r="BR131" t="str">
            <v>Not Priority</v>
          </cell>
          <cell r="BS131" t="str">
            <v>Not Priority</v>
          </cell>
          <cell r="BT131" t="str">
            <v>Not Priority</v>
          </cell>
          <cell r="BU131">
            <v>5</v>
          </cell>
          <cell r="BV131">
            <v>7</v>
          </cell>
          <cell r="BW131">
            <v>4</v>
          </cell>
          <cell r="BX131">
            <v>6</v>
          </cell>
          <cell r="BY131">
            <v>1</v>
          </cell>
          <cell r="BZ131">
            <v>3</v>
          </cell>
          <cell r="CA131">
            <v>2</v>
          </cell>
          <cell r="CB131" t="str">
            <v>No change in level of discounting</v>
          </cell>
        </row>
        <row r="132">
          <cell r="A132" t="str">
            <v>US</v>
          </cell>
          <cell r="B132" t="str">
            <v>Technology</v>
          </cell>
          <cell r="C132" t="str">
            <v>$500 Million - $1 Billion</v>
          </cell>
          <cell r="D132" t="str">
            <v>&lt;$100 Million</v>
          </cell>
          <cell r="E132">
            <v>0</v>
          </cell>
          <cell r="F132">
            <v>-5</v>
          </cell>
          <cell r="G132">
            <v>-5</v>
          </cell>
          <cell r="H132">
            <v>5</v>
          </cell>
          <cell r="I132">
            <v>0</v>
          </cell>
          <cell r="J132">
            <v>10</v>
          </cell>
          <cell r="K132">
            <v>0</v>
          </cell>
          <cell r="L132">
            <v>5</v>
          </cell>
          <cell r="M132">
            <v>7</v>
          </cell>
          <cell r="N132">
            <v>5</v>
          </cell>
          <cell r="O132">
            <v>3</v>
          </cell>
          <cell r="P132">
            <v>50</v>
          </cell>
          <cell r="Q132">
            <v>50</v>
          </cell>
          <cell r="R132">
            <v>40</v>
          </cell>
          <cell r="S132">
            <v>60</v>
          </cell>
          <cell r="T132" t="str">
            <v>Cloud Technologies</v>
          </cell>
          <cell r="U132" t="str">
            <v>Virtualization</v>
          </cell>
          <cell r="V132" t="str">
            <v>Storage growth</v>
          </cell>
          <cell r="W132" t="str">
            <v>NA / No Decrease</v>
          </cell>
          <cell r="Z132" t="str">
            <v>Upward revision is more likely</v>
          </cell>
          <cell r="AA132" t="str">
            <v>Cloud projects</v>
          </cell>
          <cell r="AB132" t="str">
            <v>Core IT functions</v>
          </cell>
          <cell r="AC132" t="str">
            <v>Somewhat less aggressive in discounting</v>
          </cell>
          <cell r="AD132" t="str">
            <v>No Change</v>
          </cell>
          <cell r="AE132">
            <v>90</v>
          </cell>
          <cell r="AF132">
            <v>5</v>
          </cell>
          <cell r="AG132">
            <v>5</v>
          </cell>
          <cell r="AH132" t="str">
            <v>50/50</v>
          </cell>
          <cell r="AI132" t="str">
            <v>In-Line</v>
          </cell>
          <cell r="AJ132">
            <v>-10</v>
          </cell>
          <cell r="AK132">
            <v>0</v>
          </cell>
          <cell r="AL132">
            <v>-5</v>
          </cell>
          <cell r="AM132">
            <v>-10</v>
          </cell>
          <cell r="AN132">
            <v>5</v>
          </cell>
          <cell r="AO132">
            <v>5</v>
          </cell>
          <cell r="AP132">
            <v>5</v>
          </cell>
          <cell r="AQ132">
            <v>5</v>
          </cell>
          <cell r="AR132" t="str">
            <v>Don't Use</v>
          </cell>
          <cell r="AS132" t="str">
            <v>Don't Use</v>
          </cell>
          <cell r="AT132" t="str">
            <v>Don't Use</v>
          </cell>
          <cell r="AU132" t="str">
            <v>Don't Use</v>
          </cell>
          <cell r="AV132" t="str">
            <v>Don't Use</v>
          </cell>
          <cell r="AW132" t="str">
            <v>Don't Use</v>
          </cell>
          <cell r="AX132" t="str">
            <v>Don't Use</v>
          </cell>
          <cell r="AY132" t="str">
            <v>Don't Use</v>
          </cell>
          <cell r="AZ132" t="str">
            <v>Don't Use</v>
          </cell>
          <cell r="BA132" t="str">
            <v>Don't Use</v>
          </cell>
          <cell r="BB132" t="str">
            <v>Don't Use</v>
          </cell>
          <cell r="BC132" t="str">
            <v>Don't Use</v>
          </cell>
          <cell r="BD132" t="str">
            <v>Don't Use</v>
          </cell>
          <cell r="BE132" t="str">
            <v>Don't Use</v>
          </cell>
          <cell r="BF132" t="str">
            <v>Don't Use</v>
          </cell>
          <cell r="BG132" t="str">
            <v>Don't Use</v>
          </cell>
          <cell r="BH132" t="str">
            <v>Don't Use</v>
          </cell>
          <cell r="BI132" t="str">
            <v>Not Priority</v>
          </cell>
          <cell r="BJ132" t="str">
            <v>Doing work internally</v>
          </cell>
          <cell r="BK132" t="str">
            <v>Not Priority</v>
          </cell>
          <cell r="BL132" t="str">
            <v>Doing work internally</v>
          </cell>
          <cell r="BM132" t="str">
            <v>Doing work internally</v>
          </cell>
          <cell r="BN132" t="str">
            <v>Not Priority</v>
          </cell>
          <cell r="BO132" t="str">
            <v>Already using services provider</v>
          </cell>
          <cell r="BP132" t="str">
            <v>Already using services provider</v>
          </cell>
          <cell r="BQ132" t="str">
            <v>Already using services provider</v>
          </cell>
          <cell r="BR132" t="str">
            <v>Already using services provider</v>
          </cell>
          <cell r="BS132" t="str">
            <v>Already using services provider</v>
          </cell>
          <cell r="BT132" t="str">
            <v>Will use services provider 2H12</v>
          </cell>
          <cell r="BU132">
            <v>3</v>
          </cell>
          <cell r="BV132">
            <v>2</v>
          </cell>
          <cell r="BW132">
            <v>7</v>
          </cell>
          <cell r="BX132">
            <v>6</v>
          </cell>
          <cell r="BY132">
            <v>1</v>
          </cell>
          <cell r="BZ132">
            <v>5</v>
          </cell>
          <cell r="CA132">
            <v>4</v>
          </cell>
          <cell r="CB132" t="str">
            <v>No change in level of discounting</v>
          </cell>
        </row>
        <row r="133">
          <cell r="A133" t="str">
            <v>US</v>
          </cell>
          <cell r="B133" t="str">
            <v>Technology</v>
          </cell>
          <cell r="C133" t="str">
            <v>$5-10 Billion</v>
          </cell>
          <cell r="D133" t="str">
            <v>&lt;$100 Million</v>
          </cell>
          <cell r="E133">
            <v>5</v>
          </cell>
          <cell r="F133">
            <v>-2</v>
          </cell>
          <cell r="G133">
            <v>15</v>
          </cell>
          <cell r="H133">
            <v>0</v>
          </cell>
          <cell r="I133">
            <v>2</v>
          </cell>
          <cell r="J133">
            <v>0</v>
          </cell>
          <cell r="K133">
            <v>5</v>
          </cell>
          <cell r="L133">
            <v>-5</v>
          </cell>
          <cell r="M133">
            <v>0</v>
          </cell>
          <cell r="N133">
            <v>-5</v>
          </cell>
          <cell r="O133">
            <v>5</v>
          </cell>
          <cell r="P133">
            <v>50</v>
          </cell>
          <cell r="Q133">
            <v>50</v>
          </cell>
          <cell r="R133">
            <v>50</v>
          </cell>
          <cell r="S133">
            <v>50</v>
          </cell>
          <cell r="T133" t="str">
            <v>Customized application development</v>
          </cell>
          <cell r="U133" t="str">
            <v>Offshore services</v>
          </cell>
          <cell r="V133" t="str">
            <v>Training</v>
          </cell>
          <cell r="W133" t="str">
            <v>SCM</v>
          </cell>
          <cell r="X133" t="str">
            <v>Remote sign-in application</v>
          </cell>
          <cell r="Z133" t="str">
            <v>‘No change’ to the budget is likely</v>
          </cell>
          <cell r="AA133" t="str">
            <v>Budget set, will not be changed</v>
          </cell>
          <cell r="AB133" t="str">
            <v>Budget set, will not be changed</v>
          </cell>
          <cell r="AC133" t="str">
            <v>Somewhat less aggressive in discounting</v>
          </cell>
          <cell r="AD133" t="str">
            <v>Somewhat longer</v>
          </cell>
          <cell r="AE133">
            <v>75</v>
          </cell>
          <cell r="AF133">
            <v>25</v>
          </cell>
          <cell r="AG133">
            <v>0</v>
          </cell>
          <cell r="AH133" t="str">
            <v>60/40</v>
          </cell>
          <cell r="AI133" t="str">
            <v>In-Line</v>
          </cell>
          <cell r="AJ133">
            <v>10</v>
          </cell>
          <cell r="AK133">
            <v>3</v>
          </cell>
          <cell r="AL133">
            <v>-5</v>
          </cell>
          <cell r="AM133">
            <v>0</v>
          </cell>
          <cell r="AN133">
            <v>0</v>
          </cell>
          <cell r="AO133">
            <v>-5</v>
          </cell>
          <cell r="AP133">
            <v>-5</v>
          </cell>
          <cell r="AQ133">
            <v>0</v>
          </cell>
          <cell r="AR133" t="str">
            <v>Don't Use</v>
          </cell>
          <cell r="AS133" t="str">
            <v>Increase</v>
          </cell>
          <cell r="AT133" t="str">
            <v>Don't Use</v>
          </cell>
          <cell r="AU133" t="str">
            <v>Don't Use</v>
          </cell>
          <cell r="AV133" t="str">
            <v>Don't Use</v>
          </cell>
          <cell r="AW133" t="str">
            <v>Don't Use</v>
          </cell>
          <cell r="AX133" t="str">
            <v>Flat</v>
          </cell>
          <cell r="AY133" t="str">
            <v>Don't Use</v>
          </cell>
          <cell r="AZ133" t="str">
            <v>Don't Use</v>
          </cell>
          <cell r="BA133" t="str">
            <v>Decrease</v>
          </cell>
          <cell r="BB133" t="str">
            <v>Decrease</v>
          </cell>
          <cell r="BC133" t="str">
            <v>Don't Use</v>
          </cell>
          <cell r="BD133" t="str">
            <v>Don't Use</v>
          </cell>
          <cell r="BE133" t="str">
            <v>Don't Use</v>
          </cell>
          <cell r="BF133" t="str">
            <v>Don't Use</v>
          </cell>
          <cell r="BG133" t="str">
            <v>Don't Use</v>
          </cell>
          <cell r="BH133" t="str">
            <v>Don't Use</v>
          </cell>
          <cell r="BI133" t="str">
            <v>Will use services provider 2H12</v>
          </cell>
          <cell r="BJ133" t="str">
            <v>Doing work internally</v>
          </cell>
          <cell r="BK133" t="str">
            <v>Doing work internally</v>
          </cell>
          <cell r="BL133" t="str">
            <v>Not Priority</v>
          </cell>
          <cell r="BM133" t="str">
            <v>Already using services provider</v>
          </cell>
          <cell r="BN133" t="str">
            <v>Will use services provider 2H12</v>
          </cell>
          <cell r="BO133" t="str">
            <v>Not Priority</v>
          </cell>
          <cell r="BP133" t="str">
            <v>Not Priority</v>
          </cell>
          <cell r="BQ133" t="str">
            <v>Doing work internally</v>
          </cell>
          <cell r="BR133" t="str">
            <v>Doing work internally</v>
          </cell>
          <cell r="BS133" t="str">
            <v>Not Priority</v>
          </cell>
          <cell r="BT133" t="str">
            <v>Not Priority</v>
          </cell>
          <cell r="BU133">
            <v>3</v>
          </cell>
          <cell r="BV133">
            <v>7</v>
          </cell>
          <cell r="BW133">
            <v>6</v>
          </cell>
          <cell r="BX133">
            <v>4</v>
          </cell>
          <cell r="BY133">
            <v>5</v>
          </cell>
          <cell r="BZ133">
            <v>1</v>
          </cell>
          <cell r="CA133">
            <v>2</v>
          </cell>
          <cell r="CB133" t="str">
            <v>Somewhat less aggressive in discounting</v>
          </cell>
        </row>
        <row r="134">
          <cell r="A134" t="str">
            <v>US</v>
          </cell>
          <cell r="B134" t="str">
            <v>Technology</v>
          </cell>
          <cell r="C134" t="str">
            <v>$5-10 Billion</v>
          </cell>
          <cell r="D134" t="str">
            <v>$100-200 Million</v>
          </cell>
          <cell r="E134">
            <v>10</v>
          </cell>
          <cell r="F134">
            <v>5</v>
          </cell>
          <cell r="G134">
            <v>5</v>
          </cell>
          <cell r="H134">
            <v>10</v>
          </cell>
          <cell r="I134">
            <v>5</v>
          </cell>
          <cell r="J134">
            <v>5</v>
          </cell>
          <cell r="K134">
            <v>10</v>
          </cell>
          <cell r="L134">
            <v>5</v>
          </cell>
          <cell r="M134">
            <v>12</v>
          </cell>
          <cell r="N134">
            <v>5</v>
          </cell>
          <cell r="O134">
            <v>6</v>
          </cell>
          <cell r="P134">
            <v>50</v>
          </cell>
          <cell r="Q134">
            <v>50</v>
          </cell>
          <cell r="R134">
            <v>60</v>
          </cell>
          <cell r="S134">
            <v>60</v>
          </cell>
          <cell r="T134" t="str">
            <v>NA / No Increase</v>
          </cell>
          <cell r="W134" t="str">
            <v>NA / No Decrease</v>
          </cell>
          <cell r="Z134" t="str">
            <v>‘No change’ to the budget is likely</v>
          </cell>
          <cell r="AA134" t="str">
            <v>Everything, maybe even company</v>
          </cell>
          <cell r="AB134" t="str">
            <v>Mission critical systems</v>
          </cell>
          <cell r="AC134" t="str">
            <v>Somewhat more aggressive in discounting</v>
          </cell>
          <cell r="AD134" t="str">
            <v>Somewhat longer</v>
          </cell>
          <cell r="AE134">
            <v>50</v>
          </cell>
          <cell r="AF134">
            <v>30</v>
          </cell>
          <cell r="AG134">
            <v>20</v>
          </cell>
          <cell r="AH134" t="str">
            <v>50/50</v>
          </cell>
          <cell r="AI134" t="str">
            <v>In-Line</v>
          </cell>
          <cell r="AJ134">
            <v>10</v>
          </cell>
          <cell r="AK134" t="str">
            <v>NA / DK</v>
          </cell>
          <cell r="AL134" t="str">
            <v>NA / DK</v>
          </cell>
          <cell r="AM134" t="str">
            <v>NA / DK</v>
          </cell>
          <cell r="AN134">
            <v>25</v>
          </cell>
          <cell r="AO134" t="str">
            <v>NA / DK</v>
          </cell>
          <cell r="AP134" t="str">
            <v>NA / DK</v>
          </cell>
          <cell r="AQ134" t="str">
            <v>NA / DK</v>
          </cell>
          <cell r="AR134" t="str">
            <v>Don't Use</v>
          </cell>
          <cell r="AS134" t="str">
            <v>Don't Use</v>
          </cell>
          <cell r="AT134" t="str">
            <v>Don't Use</v>
          </cell>
          <cell r="AU134" t="str">
            <v>Don't Use</v>
          </cell>
          <cell r="AV134" t="str">
            <v>Don't Use</v>
          </cell>
          <cell r="AW134" t="str">
            <v>Don't Use</v>
          </cell>
          <cell r="AX134" t="str">
            <v>Don't Use</v>
          </cell>
          <cell r="AY134" t="str">
            <v>Don't Use</v>
          </cell>
          <cell r="AZ134" t="str">
            <v>Decrease</v>
          </cell>
          <cell r="BA134" t="str">
            <v>Flat</v>
          </cell>
          <cell r="BB134" t="str">
            <v>Don't Use</v>
          </cell>
          <cell r="BC134" t="str">
            <v>Don't Use</v>
          </cell>
          <cell r="BD134" t="str">
            <v>Increase</v>
          </cell>
          <cell r="BE134" t="str">
            <v>Don't Use</v>
          </cell>
          <cell r="BF134" t="str">
            <v>Increase</v>
          </cell>
          <cell r="BG134" t="str">
            <v>Don't Use</v>
          </cell>
          <cell r="BH134" t="str">
            <v>Don't Use</v>
          </cell>
          <cell r="BI134" t="str">
            <v>Will use services provider 2H12</v>
          </cell>
          <cell r="BJ134" t="str">
            <v>Doing work internally</v>
          </cell>
          <cell r="BK134" t="str">
            <v>Will use services provider 2H12</v>
          </cell>
          <cell r="BL134" t="str">
            <v>Doing work internally</v>
          </cell>
          <cell r="BM134" t="str">
            <v>Will use services provider 2H12</v>
          </cell>
          <cell r="BN134" t="str">
            <v>Doing work internally</v>
          </cell>
          <cell r="BO134" t="str">
            <v>Not Priority</v>
          </cell>
          <cell r="BP134" t="str">
            <v>Not Priority</v>
          </cell>
          <cell r="BQ134" t="str">
            <v>Doing work internally</v>
          </cell>
          <cell r="BR134" t="str">
            <v>Not Priority</v>
          </cell>
          <cell r="BS134" t="str">
            <v>Not Priority</v>
          </cell>
          <cell r="BT134" t="str">
            <v>Not Priority</v>
          </cell>
          <cell r="BU134">
            <v>3</v>
          </cell>
          <cell r="BV134">
            <v>7</v>
          </cell>
          <cell r="BW134">
            <v>1</v>
          </cell>
          <cell r="BX134">
            <v>6</v>
          </cell>
          <cell r="BY134">
            <v>2</v>
          </cell>
          <cell r="BZ134">
            <v>4</v>
          </cell>
          <cell r="CA134">
            <v>5</v>
          </cell>
          <cell r="CB134" t="str">
            <v>Somewhat less aggressive in discounting</v>
          </cell>
        </row>
        <row r="135">
          <cell r="A135" t="str">
            <v>US</v>
          </cell>
          <cell r="B135" t="str">
            <v>Technology</v>
          </cell>
          <cell r="C135" t="str">
            <v>$5-10 Billion</v>
          </cell>
          <cell r="D135" t="str">
            <v>&lt;$100 Million</v>
          </cell>
          <cell r="E135">
            <v>13</v>
          </cell>
          <cell r="F135">
            <v>15</v>
          </cell>
          <cell r="G135">
            <v>5</v>
          </cell>
          <cell r="H135">
            <v>5</v>
          </cell>
          <cell r="I135">
            <v>10</v>
          </cell>
          <cell r="J135">
            <v>5</v>
          </cell>
          <cell r="K135">
            <v>23</v>
          </cell>
          <cell r="L135">
            <v>18</v>
          </cell>
          <cell r="M135">
            <v>10</v>
          </cell>
          <cell r="N135">
            <v>11</v>
          </cell>
          <cell r="O135">
            <v>6</v>
          </cell>
          <cell r="P135">
            <v>50</v>
          </cell>
          <cell r="Q135">
            <v>50</v>
          </cell>
          <cell r="R135">
            <v>70</v>
          </cell>
          <cell r="S135">
            <v>30</v>
          </cell>
          <cell r="T135" t="str">
            <v>Virtualization</v>
          </cell>
          <cell r="U135" t="str">
            <v>Technology Refresh</v>
          </cell>
          <cell r="W135" t="str">
            <v>Telecom</v>
          </cell>
          <cell r="X135" t="str">
            <v>PDAs</v>
          </cell>
          <cell r="Z135" t="str">
            <v>Upward revision is more likely</v>
          </cell>
          <cell r="AA135" t="str">
            <v>NA / DK</v>
          </cell>
          <cell r="AB135" t="str">
            <v>NA / DK</v>
          </cell>
          <cell r="AC135" t="str">
            <v>No change in level of discounting</v>
          </cell>
          <cell r="AD135" t="str">
            <v>Somewhat quicker</v>
          </cell>
          <cell r="AE135">
            <v>100</v>
          </cell>
          <cell r="AF135">
            <v>0</v>
          </cell>
          <cell r="AG135">
            <v>0</v>
          </cell>
          <cell r="AH135" t="str">
            <v>20/80</v>
          </cell>
          <cell r="AI135" t="str">
            <v>Under</v>
          </cell>
          <cell r="AJ135">
            <v>20</v>
          </cell>
          <cell r="AK135">
            <v>15</v>
          </cell>
          <cell r="AL135">
            <v>15</v>
          </cell>
          <cell r="AM135">
            <v>10</v>
          </cell>
          <cell r="AN135">
            <v>7</v>
          </cell>
          <cell r="AO135">
            <v>10</v>
          </cell>
          <cell r="AP135">
            <v>10</v>
          </cell>
          <cell r="AQ135">
            <v>5</v>
          </cell>
          <cell r="AR135" t="str">
            <v>Don't Use</v>
          </cell>
          <cell r="AS135" t="str">
            <v>Don't Use</v>
          </cell>
          <cell r="AT135" t="str">
            <v>Don't Use</v>
          </cell>
          <cell r="AU135" t="str">
            <v>Don't Use</v>
          </cell>
          <cell r="AV135" t="str">
            <v>Don't Use</v>
          </cell>
          <cell r="AW135" t="str">
            <v>Don't Use</v>
          </cell>
          <cell r="AX135" t="str">
            <v>Don't Use</v>
          </cell>
          <cell r="AY135" t="str">
            <v>Don't Use</v>
          </cell>
          <cell r="AZ135" t="str">
            <v>Don't Use</v>
          </cell>
          <cell r="BA135" t="str">
            <v>Don't Use</v>
          </cell>
          <cell r="BB135" t="str">
            <v>Increase</v>
          </cell>
          <cell r="BC135" t="str">
            <v>Don't Use</v>
          </cell>
          <cell r="BD135" t="str">
            <v>Don't Use</v>
          </cell>
          <cell r="BE135" t="str">
            <v>Don't Use</v>
          </cell>
          <cell r="BF135" t="str">
            <v>Decrease</v>
          </cell>
          <cell r="BG135" t="str">
            <v>Don't Use</v>
          </cell>
          <cell r="BH135" t="str">
            <v>Don't Use</v>
          </cell>
          <cell r="BI135" t="str">
            <v>Will use services provider 2H12</v>
          </cell>
          <cell r="BJ135" t="str">
            <v>Doing work internally</v>
          </cell>
          <cell r="BK135" t="str">
            <v>Doing work internally</v>
          </cell>
          <cell r="BL135" t="str">
            <v>Doing work internally</v>
          </cell>
          <cell r="BM135" t="str">
            <v>Doing work internally</v>
          </cell>
          <cell r="BN135" t="str">
            <v>Will use services provider 2H12</v>
          </cell>
          <cell r="BO135" t="str">
            <v>Doing work internally</v>
          </cell>
          <cell r="BP135" t="str">
            <v>Not Priority</v>
          </cell>
          <cell r="BQ135" t="str">
            <v>Not Priority</v>
          </cell>
          <cell r="BR135" t="str">
            <v>Doing work internally</v>
          </cell>
          <cell r="BS135" t="str">
            <v>Doing work internally</v>
          </cell>
          <cell r="BT135" t="str">
            <v>Already using services provider</v>
          </cell>
          <cell r="BU135">
            <v>3</v>
          </cell>
          <cell r="BV135">
            <v>6</v>
          </cell>
          <cell r="BW135">
            <v>1</v>
          </cell>
          <cell r="BX135">
            <v>7</v>
          </cell>
          <cell r="BY135">
            <v>4</v>
          </cell>
          <cell r="BZ135">
            <v>2</v>
          </cell>
          <cell r="CA135">
            <v>5</v>
          </cell>
          <cell r="CB135" t="str">
            <v>No change in level of discounting</v>
          </cell>
        </row>
        <row r="136">
          <cell r="A136" t="str">
            <v>US</v>
          </cell>
          <cell r="B136" t="str">
            <v>Technology</v>
          </cell>
          <cell r="C136" t="str">
            <v>$500 Million - $1 Billion</v>
          </cell>
          <cell r="D136" t="str">
            <v>&lt;$100 Million</v>
          </cell>
          <cell r="E136">
            <v>-10</v>
          </cell>
          <cell r="F136">
            <v>-10</v>
          </cell>
          <cell r="G136">
            <v>-10</v>
          </cell>
          <cell r="H136">
            <v>-13</v>
          </cell>
          <cell r="I136">
            <v>-5</v>
          </cell>
          <cell r="J136">
            <v>-5</v>
          </cell>
          <cell r="K136">
            <v>-5</v>
          </cell>
          <cell r="L136">
            <v>-5</v>
          </cell>
          <cell r="M136">
            <v>0</v>
          </cell>
          <cell r="N136">
            <v>0</v>
          </cell>
          <cell r="O136">
            <v>5</v>
          </cell>
          <cell r="P136">
            <v>50</v>
          </cell>
          <cell r="Q136">
            <v>50</v>
          </cell>
          <cell r="R136">
            <v>35</v>
          </cell>
          <cell r="S136">
            <v>65</v>
          </cell>
          <cell r="T136" t="str">
            <v>Centralized financial apps, billing, accounting, receivable, etc</v>
          </cell>
          <cell r="U136" t="str">
            <v>SaaS</v>
          </cell>
          <cell r="V136" t="str">
            <v>Cloud apps</v>
          </cell>
          <cell r="W136" t="str">
            <v>Mobile apps</v>
          </cell>
          <cell r="X136" t="str">
            <v>Server upgrades</v>
          </cell>
          <cell r="Y136" t="str">
            <v>Software licenses</v>
          </cell>
          <cell r="Z136" t="str">
            <v>‘No change’ to the budget is likely</v>
          </cell>
          <cell r="AA136" t="str">
            <v>SaaS and cloud</v>
          </cell>
          <cell r="AB136" t="str">
            <v>Mission critical systems</v>
          </cell>
          <cell r="AC136" t="str">
            <v>Somewhat less aggressive in discounting</v>
          </cell>
          <cell r="AD136" t="str">
            <v>No Change</v>
          </cell>
          <cell r="AE136">
            <v>20</v>
          </cell>
          <cell r="AF136">
            <v>20</v>
          </cell>
          <cell r="AG136">
            <v>60</v>
          </cell>
          <cell r="AH136" t="str">
            <v>50/50</v>
          </cell>
          <cell r="AI136" t="str">
            <v>In-Line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5</v>
          </cell>
          <cell r="AO136">
            <v>0</v>
          </cell>
          <cell r="AP136">
            <v>10</v>
          </cell>
          <cell r="AQ136">
            <v>15</v>
          </cell>
          <cell r="AR136" t="str">
            <v>Don't Use</v>
          </cell>
          <cell r="AS136" t="str">
            <v>Don't Use</v>
          </cell>
          <cell r="AT136" t="str">
            <v>Don't Use</v>
          </cell>
          <cell r="AU136" t="str">
            <v>Don't Use</v>
          </cell>
          <cell r="AV136" t="str">
            <v>Don't Use</v>
          </cell>
          <cell r="AW136" t="str">
            <v>Don't Use</v>
          </cell>
          <cell r="AX136" t="str">
            <v>Don't Use</v>
          </cell>
          <cell r="AY136" t="str">
            <v>Don't Use</v>
          </cell>
          <cell r="AZ136" t="str">
            <v>Don't Use</v>
          </cell>
          <cell r="BA136" t="str">
            <v>Don't Use</v>
          </cell>
          <cell r="BB136" t="str">
            <v>Don't Use</v>
          </cell>
          <cell r="BC136" t="str">
            <v>Don't Use</v>
          </cell>
          <cell r="BD136" t="str">
            <v>Don't Use</v>
          </cell>
          <cell r="BE136" t="str">
            <v>Don't Use</v>
          </cell>
          <cell r="BF136" t="str">
            <v>Don't Use</v>
          </cell>
          <cell r="BG136" t="str">
            <v>Don't Use</v>
          </cell>
          <cell r="BH136" t="str">
            <v>Don't Use</v>
          </cell>
          <cell r="BI136" t="str">
            <v>Already using services provider</v>
          </cell>
          <cell r="BJ136" t="str">
            <v>Not Priority</v>
          </cell>
          <cell r="BK136" t="str">
            <v>Not Priority</v>
          </cell>
          <cell r="BL136" t="str">
            <v>Not Priority</v>
          </cell>
          <cell r="BM136" t="str">
            <v>Not Priority</v>
          </cell>
          <cell r="BN136" t="str">
            <v>Already using services provider</v>
          </cell>
          <cell r="BO136" t="str">
            <v>Doing work internally</v>
          </cell>
          <cell r="BP136" t="str">
            <v>Already using services provider</v>
          </cell>
          <cell r="BQ136" t="str">
            <v>Not Priority</v>
          </cell>
          <cell r="BR136" t="str">
            <v>Not Priority</v>
          </cell>
          <cell r="BS136" t="str">
            <v>Not Priority</v>
          </cell>
          <cell r="BT136" t="str">
            <v>Already using services provider</v>
          </cell>
          <cell r="BU136">
            <v>4</v>
          </cell>
          <cell r="BV136">
            <v>7</v>
          </cell>
          <cell r="BW136">
            <v>1</v>
          </cell>
          <cell r="BX136">
            <v>2</v>
          </cell>
          <cell r="BY136">
            <v>3</v>
          </cell>
          <cell r="BZ136">
            <v>5</v>
          </cell>
          <cell r="CA136">
            <v>6</v>
          </cell>
          <cell r="CB136" t="str">
            <v>Somewhat more aggressive in discounting</v>
          </cell>
        </row>
        <row r="137">
          <cell r="A137" t="str">
            <v>US</v>
          </cell>
          <cell r="B137" t="str">
            <v>Technology</v>
          </cell>
          <cell r="C137" t="str">
            <v>$5-10 Billion</v>
          </cell>
          <cell r="D137" t="str">
            <v>$100-200 Million</v>
          </cell>
          <cell r="E137">
            <v>15</v>
          </cell>
          <cell r="F137">
            <v>6</v>
          </cell>
          <cell r="G137">
            <v>5</v>
          </cell>
          <cell r="H137">
            <v>10</v>
          </cell>
          <cell r="I137">
            <v>15</v>
          </cell>
          <cell r="J137">
            <v>20</v>
          </cell>
          <cell r="K137">
            <v>7</v>
          </cell>
          <cell r="L137">
            <v>5</v>
          </cell>
          <cell r="M137">
            <v>5</v>
          </cell>
          <cell r="N137">
            <v>-8</v>
          </cell>
          <cell r="O137">
            <v>7</v>
          </cell>
          <cell r="P137">
            <v>50</v>
          </cell>
          <cell r="Q137">
            <v>50</v>
          </cell>
          <cell r="R137">
            <v>60</v>
          </cell>
          <cell r="S137">
            <v>40</v>
          </cell>
          <cell r="T137" t="str">
            <v>APM</v>
          </cell>
          <cell r="U137" t="str">
            <v>Virtualization</v>
          </cell>
          <cell r="V137" t="str">
            <v>Mobile App</v>
          </cell>
          <cell r="W137" t="str">
            <v>Uncontrollable growth</v>
          </cell>
          <cell r="Z137" t="str">
            <v>Equal chance of upward or downward revision</v>
          </cell>
          <cell r="AA137" t="str">
            <v>Almost anything that does not contribute to being more efficient</v>
          </cell>
          <cell r="AB137" t="str">
            <v>Everything subject to cuts</v>
          </cell>
          <cell r="AC137" t="str">
            <v>Somewhat less aggressive in discounting</v>
          </cell>
          <cell r="AD137" t="str">
            <v>No Change</v>
          </cell>
          <cell r="AE137" t="str">
            <v>NA / DK</v>
          </cell>
          <cell r="AF137" t="str">
            <v>NA / DK</v>
          </cell>
          <cell r="AG137" t="str">
            <v>NA / DK</v>
          </cell>
          <cell r="AH137" t="str">
            <v>70/30</v>
          </cell>
          <cell r="AI137" t="str">
            <v>In-Line</v>
          </cell>
          <cell r="AJ137">
            <v>15</v>
          </cell>
          <cell r="AK137" t="str">
            <v>NA / DK</v>
          </cell>
          <cell r="AL137" t="str">
            <v>NA / DK</v>
          </cell>
          <cell r="AM137" t="str">
            <v>NA / DK</v>
          </cell>
          <cell r="AN137">
            <v>0</v>
          </cell>
          <cell r="AO137">
            <v>5</v>
          </cell>
          <cell r="AP137" t="str">
            <v>NA / DK</v>
          </cell>
          <cell r="AQ137" t="str">
            <v>NA / DK</v>
          </cell>
          <cell r="AR137" t="str">
            <v>Increase</v>
          </cell>
          <cell r="AS137" t="str">
            <v>Don't Use</v>
          </cell>
          <cell r="AT137" t="str">
            <v>Don't Use</v>
          </cell>
          <cell r="AU137" t="str">
            <v>Don't Use</v>
          </cell>
          <cell r="AV137" t="str">
            <v>Don't Use</v>
          </cell>
          <cell r="AW137" t="str">
            <v>Flat</v>
          </cell>
          <cell r="AX137" t="str">
            <v>Decrease</v>
          </cell>
          <cell r="AY137" t="str">
            <v>Don't Use</v>
          </cell>
          <cell r="AZ137" t="str">
            <v>Don't Use</v>
          </cell>
          <cell r="BA137" t="str">
            <v>Don't Use</v>
          </cell>
          <cell r="BB137" t="str">
            <v>Flat</v>
          </cell>
          <cell r="BC137" t="str">
            <v>Don't Use</v>
          </cell>
          <cell r="BD137" t="str">
            <v>Don't Use</v>
          </cell>
          <cell r="BE137" t="str">
            <v>Flat</v>
          </cell>
          <cell r="BF137" t="str">
            <v>Flat</v>
          </cell>
          <cell r="BG137" t="str">
            <v>Don't Use</v>
          </cell>
          <cell r="BH137" t="str">
            <v>Don't Use</v>
          </cell>
          <cell r="BI137" t="str">
            <v>Doing work internally</v>
          </cell>
          <cell r="BJ137" t="str">
            <v>Doing work internally</v>
          </cell>
          <cell r="BK137" t="str">
            <v>Doing work internally</v>
          </cell>
          <cell r="BL137" t="str">
            <v>Not Priority</v>
          </cell>
          <cell r="BM137" t="str">
            <v>Not Priority</v>
          </cell>
          <cell r="BN137" t="str">
            <v>Not Priority</v>
          </cell>
          <cell r="BO137" t="str">
            <v>Doing work internally</v>
          </cell>
          <cell r="BP137" t="str">
            <v>Not Priority</v>
          </cell>
          <cell r="BQ137" t="str">
            <v>Will use services provider 2H12</v>
          </cell>
          <cell r="BR137" t="str">
            <v>Doing work internally</v>
          </cell>
          <cell r="BS137" t="str">
            <v>Not Priority</v>
          </cell>
          <cell r="BT137" t="str">
            <v>Not Priority</v>
          </cell>
          <cell r="BU137">
            <v>1</v>
          </cell>
          <cell r="BV137">
            <v>7</v>
          </cell>
          <cell r="BW137">
            <v>3</v>
          </cell>
          <cell r="BX137">
            <v>4</v>
          </cell>
          <cell r="BY137">
            <v>6</v>
          </cell>
          <cell r="BZ137">
            <v>2</v>
          </cell>
          <cell r="CA137">
            <v>5</v>
          </cell>
          <cell r="CB137" t="str">
            <v>Somewhat less aggressive in discounting</v>
          </cell>
        </row>
        <row r="138">
          <cell r="A138" t="str">
            <v>US</v>
          </cell>
          <cell r="B138" t="str">
            <v>Technology</v>
          </cell>
          <cell r="C138" t="str">
            <v>$5-10 Billion</v>
          </cell>
          <cell r="D138" t="str">
            <v>$300-400 Million</v>
          </cell>
          <cell r="E138">
            <v>20</v>
          </cell>
          <cell r="F138">
            <v>12</v>
          </cell>
          <cell r="G138">
            <v>25</v>
          </cell>
          <cell r="H138">
            <v>20</v>
          </cell>
          <cell r="I138">
            <v>15</v>
          </cell>
          <cell r="J138">
            <v>10</v>
          </cell>
          <cell r="K138">
            <v>20</v>
          </cell>
          <cell r="L138">
            <v>20</v>
          </cell>
          <cell r="M138">
            <v>5</v>
          </cell>
          <cell r="N138">
            <v>10</v>
          </cell>
          <cell r="O138">
            <v>9</v>
          </cell>
          <cell r="P138">
            <v>55</v>
          </cell>
          <cell r="Q138">
            <v>45</v>
          </cell>
          <cell r="R138">
            <v>60</v>
          </cell>
          <cell r="S138">
            <v>40</v>
          </cell>
          <cell r="T138" t="str">
            <v>Windows upgrades</v>
          </cell>
          <cell r="U138" t="str">
            <v>Tablets</v>
          </cell>
          <cell r="V138" t="str">
            <v>New custom apps for remote devices</v>
          </cell>
          <cell r="W138" t="str">
            <v>Rate of PC refresh</v>
          </cell>
          <cell r="X138" t="str">
            <v>Network upgrades</v>
          </cell>
          <cell r="Y138" t="str">
            <v>Data warehouse</v>
          </cell>
          <cell r="Z138" t="str">
            <v>Upward revision is more likely</v>
          </cell>
          <cell r="AA138" t="str">
            <v>NA / DK</v>
          </cell>
          <cell r="AB138" t="str">
            <v>Core IT functions</v>
          </cell>
          <cell r="AC138" t="str">
            <v>No change in level of discounting</v>
          </cell>
          <cell r="AD138" t="str">
            <v>Somewhat quicker</v>
          </cell>
          <cell r="AE138">
            <v>70</v>
          </cell>
          <cell r="AF138">
            <v>5</v>
          </cell>
          <cell r="AG138">
            <v>25</v>
          </cell>
          <cell r="AH138" t="str">
            <v>50/50</v>
          </cell>
          <cell r="AI138" t="str">
            <v>Over</v>
          </cell>
          <cell r="AJ138">
            <v>15</v>
          </cell>
          <cell r="AK138">
            <v>10</v>
          </cell>
          <cell r="AL138">
            <v>8</v>
          </cell>
          <cell r="AM138">
            <v>5</v>
          </cell>
          <cell r="AN138">
            <v>5</v>
          </cell>
          <cell r="AO138">
            <v>5</v>
          </cell>
          <cell r="AP138">
            <v>5</v>
          </cell>
          <cell r="AQ138">
            <v>5</v>
          </cell>
          <cell r="AR138" t="str">
            <v>Don't Use</v>
          </cell>
          <cell r="AS138" t="str">
            <v>Flat</v>
          </cell>
          <cell r="AT138" t="str">
            <v>Don't Use</v>
          </cell>
          <cell r="AU138" t="str">
            <v>Flat</v>
          </cell>
          <cell r="AV138" t="str">
            <v>Don't Use</v>
          </cell>
          <cell r="AW138" t="str">
            <v>Don't Use</v>
          </cell>
          <cell r="AX138" t="str">
            <v>Don't Use</v>
          </cell>
          <cell r="AY138" t="str">
            <v>Don't Use</v>
          </cell>
          <cell r="AZ138" t="str">
            <v>Don't Use</v>
          </cell>
          <cell r="BA138" t="str">
            <v>Don't Use</v>
          </cell>
          <cell r="BB138" t="str">
            <v>Increase</v>
          </cell>
          <cell r="BC138" t="str">
            <v>Flat</v>
          </cell>
          <cell r="BD138" t="str">
            <v>Don't Use</v>
          </cell>
          <cell r="BE138" t="str">
            <v>Decrease</v>
          </cell>
          <cell r="BF138" t="str">
            <v>Don't Use</v>
          </cell>
          <cell r="BG138" t="str">
            <v>Don't Use</v>
          </cell>
          <cell r="BH138" t="str">
            <v>Don't Use</v>
          </cell>
          <cell r="BI138" t="str">
            <v>Not Priority</v>
          </cell>
          <cell r="BJ138" t="str">
            <v>Not Priority</v>
          </cell>
          <cell r="BK138" t="str">
            <v>Not Priority</v>
          </cell>
          <cell r="BL138" t="str">
            <v>Doing work internally</v>
          </cell>
          <cell r="BM138" t="str">
            <v>Doing work internally</v>
          </cell>
          <cell r="BN138" t="str">
            <v>Already using services provider</v>
          </cell>
          <cell r="BO138" t="str">
            <v>Already using services provider</v>
          </cell>
          <cell r="BP138" t="str">
            <v>Not Priority</v>
          </cell>
          <cell r="BQ138" t="str">
            <v>Already using services provider</v>
          </cell>
          <cell r="BR138" t="str">
            <v>Not Priority</v>
          </cell>
          <cell r="BS138" t="str">
            <v>Not Priority</v>
          </cell>
          <cell r="BT138" t="str">
            <v>Not Priority</v>
          </cell>
          <cell r="BU138">
            <v>1</v>
          </cell>
          <cell r="BV138">
            <v>7</v>
          </cell>
          <cell r="BW138">
            <v>4</v>
          </cell>
          <cell r="BX138">
            <v>2</v>
          </cell>
          <cell r="BY138">
            <v>6</v>
          </cell>
          <cell r="BZ138">
            <v>5</v>
          </cell>
          <cell r="CA138">
            <v>3</v>
          </cell>
          <cell r="CB138" t="str">
            <v>Somewhat more aggressive in discounting</v>
          </cell>
        </row>
        <row r="139">
          <cell r="A139" t="str">
            <v>US</v>
          </cell>
          <cell r="B139" t="str">
            <v>Technology</v>
          </cell>
          <cell r="C139" t="str">
            <v>$1-5 Billion</v>
          </cell>
          <cell r="D139" t="str">
            <v>$100-200 Million</v>
          </cell>
          <cell r="E139">
            <v>-5</v>
          </cell>
          <cell r="F139">
            <v>5</v>
          </cell>
          <cell r="G139">
            <v>-5</v>
          </cell>
          <cell r="H139">
            <v>0</v>
          </cell>
          <cell r="I139">
            <v>-10</v>
          </cell>
          <cell r="J139">
            <v>-10</v>
          </cell>
          <cell r="K139">
            <v>5</v>
          </cell>
          <cell r="L139">
            <v>5</v>
          </cell>
          <cell r="M139">
            <v>5</v>
          </cell>
          <cell r="N139">
            <v>0</v>
          </cell>
          <cell r="O139">
            <v>5</v>
          </cell>
          <cell r="P139">
            <v>55</v>
          </cell>
          <cell r="Q139">
            <v>45</v>
          </cell>
          <cell r="R139">
            <v>50</v>
          </cell>
          <cell r="S139">
            <v>50</v>
          </cell>
          <cell r="T139" t="str">
            <v>Open source virtualizatio</v>
          </cell>
          <cell r="U139" t="str">
            <v>Services spending</v>
          </cell>
          <cell r="V139" t="str">
            <v>Data expansion</v>
          </cell>
          <cell r="W139" t="str">
            <v>Hardware upgrades</v>
          </cell>
          <cell r="X139" t="str">
            <v>Networking</v>
          </cell>
          <cell r="Z139" t="str">
            <v>Upward revision is more likely</v>
          </cell>
          <cell r="AA139" t="str">
            <v>Open source projects</v>
          </cell>
          <cell r="AB139" t="str">
            <v>NA / DK</v>
          </cell>
          <cell r="AC139" t="str">
            <v>Somewhat more aggressive in discounting</v>
          </cell>
          <cell r="AD139" t="str">
            <v>No Change</v>
          </cell>
          <cell r="AE139" t="str">
            <v>NA / DK</v>
          </cell>
          <cell r="AF139" t="str">
            <v>NA / DK</v>
          </cell>
          <cell r="AG139" t="str">
            <v>NA / DK</v>
          </cell>
          <cell r="AH139" t="str">
            <v>50/50</v>
          </cell>
          <cell r="AI139" t="str">
            <v>In-Line</v>
          </cell>
          <cell r="AJ139">
            <v>-15</v>
          </cell>
          <cell r="AK139">
            <v>-3</v>
          </cell>
          <cell r="AL139" t="str">
            <v>NA / DK</v>
          </cell>
          <cell r="AM139">
            <v>0</v>
          </cell>
          <cell r="AN139">
            <v>0</v>
          </cell>
          <cell r="AO139">
            <v>0</v>
          </cell>
          <cell r="AP139" t="str">
            <v>NA / DK</v>
          </cell>
          <cell r="AQ139">
            <v>0</v>
          </cell>
          <cell r="AR139" t="str">
            <v>Don't Use</v>
          </cell>
          <cell r="AS139" t="str">
            <v>Don't Use</v>
          </cell>
          <cell r="AT139" t="str">
            <v>Don't Use</v>
          </cell>
          <cell r="AU139" t="str">
            <v>Increase</v>
          </cell>
          <cell r="AV139" t="str">
            <v>Don't Use</v>
          </cell>
          <cell r="AW139" t="str">
            <v>Don't Use</v>
          </cell>
          <cell r="AX139" t="str">
            <v>Flat</v>
          </cell>
          <cell r="AY139" t="str">
            <v>Don't Use</v>
          </cell>
          <cell r="AZ139" t="str">
            <v>Flat</v>
          </cell>
          <cell r="BA139" t="str">
            <v>Don't Use</v>
          </cell>
          <cell r="BB139" t="str">
            <v>Decrease</v>
          </cell>
          <cell r="BC139" t="str">
            <v>Don't Use</v>
          </cell>
          <cell r="BD139" t="str">
            <v>Don't Use</v>
          </cell>
          <cell r="BE139" t="str">
            <v>Don't Use</v>
          </cell>
          <cell r="BF139" t="str">
            <v>Don't Use</v>
          </cell>
          <cell r="BG139" t="str">
            <v>Don't Use</v>
          </cell>
          <cell r="BH139" t="str">
            <v>Don't Use</v>
          </cell>
          <cell r="BI139" t="str">
            <v>Doing work internally</v>
          </cell>
          <cell r="BJ139" t="str">
            <v>Doing work internally</v>
          </cell>
          <cell r="BK139" t="str">
            <v>Will use services provider 2H12</v>
          </cell>
          <cell r="BL139" t="str">
            <v>Doing work internally</v>
          </cell>
          <cell r="BM139" t="str">
            <v>Doing work internally</v>
          </cell>
          <cell r="BN139" t="str">
            <v>Not Priority</v>
          </cell>
          <cell r="BO139" t="str">
            <v>Doing work internally</v>
          </cell>
          <cell r="BP139" t="str">
            <v>Not Priority</v>
          </cell>
          <cell r="BQ139" t="str">
            <v>Already using services provider</v>
          </cell>
          <cell r="BR139" t="str">
            <v>Will use services provider 2H12</v>
          </cell>
          <cell r="BS139" t="str">
            <v>Doing work internally</v>
          </cell>
          <cell r="BT139" t="str">
            <v>Not Priority</v>
          </cell>
          <cell r="BU139">
            <v>5</v>
          </cell>
          <cell r="BV139">
            <v>1</v>
          </cell>
          <cell r="BW139">
            <v>7</v>
          </cell>
          <cell r="BX139">
            <v>4</v>
          </cell>
          <cell r="BY139">
            <v>3</v>
          </cell>
          <cell r="BZ139">
            <v>6</v>
          </cell>
          <cell r="CA139">
            <v>2</v>
          </cell>
          <cell r="CB139" t="str">
            <v>Significantly more aggressive in discounting</v>
          </cell>
        </row>
        <row r="140">
          <cell r="A140" t="str">
            <v>US</v>
          </cell>
          <cell r="B140" t="str">
            <v>Technology</v>
          </cell>
          <cell r="C140" t="str">
            <v>$500 Million - $1 Billion</v>
          </cell>
          <cell r="D140" t="str">
            <v>&lt;$100 Million</v>
          </cell>
          <cell r="E140">
            <v>-3</v>
          </cell>
          <cell r="F140">
            <v>0</v>
          </cell>
          <cell r="G140">
            <v>-5</v>
          </cell>
          <cell r="H140">
            <v>-5</v>
          </cell>
          <cell r="I140">
            <v>-3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5</v>
          </cell>
          <cell r="P140">
            <v>55</v>
          </cell>
          <cell r="Q140">
            <v>45</v>
          </cell>
          <cell r="R140">
            <v>65</v>
          </cell>
          <cell r="S140">
            <v>35</v>
          </cell>
          <cell r="T140" t="str">
            <v xml:space="preserve">ERP </v>
          </cell>
          <cell r="U140" t="str">
            <v>Server virtualization</v>
          </cell>
          <cell r="V140" t="str">
            <v>Remote access for sales</v>
          </cell>
          <cell r="W140" t="str">
            <v>Cloud based projects</v>
          </cell>
          <cell r="X140" t="str">
            <v>End user security</v>
          </cell>
          <cell r="Y140" t="str">
            <v>Cloud based apps</v>
          </cell>
          <cell r="Z140" t="str">
            <v>‘No change’ to the budget is likely</v>
          </cell>
          <cell r="AA140" t="str">
            <v>Applicatio development</v>
          </cell>
          <cell r="AB140" t="str">
            <v>ERP</v>
          </cell>
          <cell r="AC140" t="str">
            <v>No change in level of discounting</v>
          </cell>
          <cell r="AD140" t="str">
            <v>No Change</v>
          </cell>
          <cell r="AE140">
            <v>70</v>
          </cell>
          <cell r="AF140">
            <v>30</v>
          </cell>
          <cell r="AG140">
            <v>0</v>
          </cell>
          <cell r="AH140" t="str">
            <v>40/60</v>
          </cell>
          <cell r="AI140" t="str">
            <v>In-Line</v>
          </cell>
          <cell r="AJ140">
            <v>5</v>
          </cell>
          <cell r="AK140">
            <v>0</v>
          </cell>
          <cell r="AL140">
            <v>-3</v>
          </cell>
          <cell r="AM140">
            <v>-3</v>
          </cell>
          <cell r="AN140">
            <v>5</v>
          </cell>
          <cell r="AO140">
            <v>0</v>
          </cell>
          <cell r="AP140">
            <v>0</v>
          </cell>
          <cell r="AQ140">
            <v>0</v>
          </cell>
          <cell r="AR140" t="str">
            <v>Don't Use</v>
          </cell>
          <cell r="AS140" t="str">
            <v>Don't Use</v>
          </cell>
          <cell r="AT140" t="str">
            <v>Don't Use</v>
          </cell>
          <cell r="AU140" t="str">
            <v>Don't Use</v>
          </cell>
          <cell r="AV140" t="str">
            <v>Don't Use</v>
          </cell>
          <cell r="AW140" t="str">
            <v>Don't Use</v>
          </cell>
          <cell r="AX140" t="str">
            <v>Don't Use</v>
          </cell>
          <cell r="AY140" t="str">
            <v>Don't Use</v>
          </cell>
          <cell r="AZ140" t="str">
            <v>Don't Use</v>
          </cell>
          <cell r="BA140" t="str">
            <v>Don't Use</v>
          </cell>
          <cell r="BB140" t="str">
            <v>Increase</v>
          </cell>
          <cell r="BC140" t="str">
            <v>Increase</v>
          </cell>
          <cell r="BD140" t="str">
            <v>Don't Use</v>
          </cell>
          <cell r="BE140" t="str">
            <v>Don't Use</v>
          </cell>
          <cell r="BF140" t="str">
            <v>Don't Use</v>
          </cell>
          <cell r="BG140" t="str">
            <v>Don't Use</v>
          </cell>
          <cell r="BH140" t="str">
            <v>Increase</v>
          </cell>
          <cell r="BI140" t="str">
            <v>Will use services provider 2H12</v>
          </cell>
          <cell r="BJ140" t="str">
            <v>Will use services provider 2H12</v>
          </cell>
          <cell r="BK140" t="str">
            <v>Will use services provider 2H12</v>
          </cell>
          <cell r="BL140" t="str">
            <v>Doing work internally</v>
          </cell>
          <cell r="BM140" t="str">
            <v>Already using services provider</v>
          </cell>
          <cell r="BN140" t="str">
            <v>Not Priority</v>
          </cell>
          <cell r="BO140" t="str">
            <v>Not Priority</v>
          </cell>
          <cell r="BP140" t="str">
            <v>Doing work internally</v>
          </cell>
          <cell r="BQ140" t="str">
            <v>Doing work internally</v>
          </cell>
          <cell r="BR140" t="str">
            <v>Doing work internally</v>
          </cell>
          <cell r="BS140" t="str">
            <v>Already using services provider</v>
          </cell>
          <cell r="BT140" t="str">
            <v>Already using services provider</v>
          </cell>
          <cell r="BU140">
            <v>3</v>
          </cell>
          <cell r="BV140">
            <v>4</v>
          </cell>
          <cell r="BW140">
            <v>7</v>
          </cell>
          <cell r="BX140">
            <v>2</v>
          </cell>
          <cell r="BY140">
            <v>5</v>
          </cell>
          <cell r="BZ140">
            <v>6</v>
          </cell>
          <cell r="CA140">
            <v>1</v>
          </cell>
          <cell r="CB140" t="str">
            <v>No change in level of discounting</v>
          </cell>
        </row>
        <row r="141">
          <cell r="A141" t="str">
            <v>US</v>
          </cell>
          <cell r="B141" t="str">
            <v>Technology</v>
          </cell>
          <cell r="C141" t="str">
            <v>$5-10 Billion</v>
          </cell>
          <cell r="D141" t="str">
            <v>$300-400 Million</v>
          </cell>
          <cell r="E141">
            <v>10</v>
          </cell>
          <cell r="F141">
            <v>10</v>
          </cell>
          <cell r="G141">
            <v>5</v>
          </cell>
          <cell r="H141">
            <v>13</v>
          </cell>
          <cell r="I141">
            <v>10</v>
          </cell>
          <cell r="J141">
            <v>2</v>
          </cell>
          <cell r="K141">
            <v>15</v>
          </cell>
          <cell r="L141">
            <v>15</v>
          </cell>
          <cell r="M141">
            <v>15</v>
          </cell>
          <cell r="N141">
            <v>10</v>
          </cell>
          <cell r="O141">
            <v>7</v>
          </cell>
          <cell r="P141">
            <v>60</v>
          </cell>
          <cell r="Q141">
            <v>40</v>
          </cell>
          <cell r="R141">
            <v>50</v>
          </cell>
          <cell r="S141">
            <v>50</v>
          </cell>
          <cell r="T141" t="str">
            <v>Compliance issues</v>
          </cell>
          <cell r="U141" t="str">
            <v>Security</v>
          </cell>
          <cell r="V141" t="str">
            <v>Virtualization</v>
          </cell>
          <cell r="W141" t="str">
            <v>NA / No Decrease</v>
          </cell>
          <cell r="Z141" t="str">
            <v>Equal chance of upward or downward revision</v>
          </cell>
          <cell r="AA141" t="str">
            <v>NA / DK</v>
          </cell>
          <cell r="AB141" t="str">
            <v>NA / DK</v>
          </cell>
          <cell r="AC141" t="str">
            <v>No change in level of discounting</v>
          </cell>
          <cell r="AD141" t="str">
            <v>No Change</v>
          </cell>
          <cell r="AE141">
            <v>90</v>
          </cell>
          <cell r="AF141">
            <v>10</v>
          </cell>
          <cell r="AG141">
            <v>0</v>
          </cell>
          <cell r="AH141" t="str">
            <v>70/30</v>
          </cell>
          <cell r="AI141" t="str">
            <v>In-Line</v>
          </cell>
          <cell r="AJ141">
            <v>12</v>
          </cell>
          <cell r="AK141">
            <v>3</v>
          </cell>
          <cell r="AL141" t="str">
            <v>NA / DK</v>
          </cell>
          <cell r="AM141">
            <v>5</v>
          </cell>
          <cell r="AN141">
            <v>2</v>
          </cell>
          <cell r="AO141" t="str">
            <v>NA / DK</v>
          </cell>
          <cell r="AP141" t="str">
            <v>NA / DK</v>
          </cell>
          <cell r="AQ141" t="str">
            <v>NA / DK</v>
          </cell>
          <cell r="AR141" t="str">
            <v>Don't Use</v>
          </cell>
          <cell r="AS141" t="str">
            <v>Don't Use</v>
          </cell>
          <cell r="AT141" t="str">
            <v>Don't Use</v>
          </cell>
          <cell r="AU141" t="str">
            <v>Don't Use</v>
          </cell>
          <cell r="AV141" t="str">
            <v>Flat</v>
          </cell>
          <cell r="AW141" t="str">
            <v>Don't Use</v>
          </cell>
          <cell r="AX141" t="str">
            <v>Flat</v>
          </cell>
          <cell r="AY141" t="str">
            <v>Don't Use</v>
          </cell>
          <cell r="AZ141" t="str">
            <v>Don't Use</v>
          </cell>
          <cell r="BA141" t="str">
            <v>Increase</v>
          </cell>
          <cell r="BB141" t="str">
            <v>Decrease</v>
          </cell>
          <cell r="BC141" t="str">
            <v>Don't Use</v>
          </cell>
          <cell r="BD141" t="str">
            <v>Don't Use</v>
          </cell>
          <cell r="BE141" t="str">
            <v>Don't Use</v>
          </cell>
          <cell r="BF141" t="str">
            <v>Flat</v>
          </cell>
          <cell r="BG141" t="str">
            <v>Don't Use</v>
          </cell>
          <cell r="BH141" t="str">
            <v>Don't Use</v>
          </cell>
          <cell r="BI141" t="str">
            <v>Doing work internally</v>
          </cell>
          <cell r="BJ141" t="str">
            <v>Already using services provider</v>
          </cell>
          <cell r="BK141" t="str">
            <v>Doing work internally</v>
          </cell>
          <cell r="BL141" t="str">
            <v>Doing work internally</v>
          </cell>
          <cell r="BM141" t="str">
            <v>Doing work internally</v>
          </cell>
          <cell r="BN141" t="str">
            <v>Doing work internally</v>
          </cell>
          <cell r="BO141" t="str">
            <v>Already using services provider</v>
          </cell>
          <cell r="BP141" t="str">
            <v>Already using services provider</v>
          </cell>
          <cell r="BQ141" t="str">
            <v>Already using services provider</v>
          </cell>
          <cell r="BR141" t="str">
            <v>Doing work internally</v>
          </cell>
          <cell r="BS141" t="str">
            <v>Not Priority</v>
          </cell>
          <cell r="BT141" t="str">
            <v>Doing work internally</v>
          </cell>
          <cell r="BU141">
            <v>2</v>
          </cell>
          <cell r="BV141">
            <v>5</v>
          </cell>
          <cell r="BW141">
            <v>1</v>
          </cell>
          <cell r="BX141">
            <v>7</v>
          </cell>
          <cell r="BY141">
            <v>4</v>
          </cell>
          <cell r="BZ141">
            <v>3</v>
          </cell>
          <cell r="CA141">
            <v>6</v>
          </cell>
          <cell r="CB141" t="str">
            <v>No change in level of discounting</v>
          </cell>
        </row>
        <row r="142">
          <cell r="A142" t="str">
            <v>US</v>
          </cell>
          <cell r="B142" t="str">
            <v>Transportation</v>
          </cell>
          <cell r="C142" t="str">
            <v>&lt;$500 Million</v>
          </cell>
          <cell r="D142" t="str">
            <v>&lt;$100 Million</v>
          </cell>
          <cell r="E142">
            <v>-5</v>
          </cell>
          <cell r="F142">
            <v>-10</v>
          </cell>
          <cell r="G142">
            <v>-5</v>
          </cell>
          <cell r="H142">
            <v>-7</v>
          </cell>
          <cell r="I142">
            <v>-5</v>
          </cell>
          <cell r="J142">
            <v>0</v>
          </cell>
          <cell r="K142">
            <v>-10</v>
          </cell>
          <cell r="L142">
            <v>-5</v>
          </cell>
          <cell r="M142">
            <v>-5</v>
          </cell>
          <cell r="N142">
            <v>-10</v>
          </cell>
          <cell r="O142">
            <v>1</v>
          </cell>
          <cell r="P142">
            <v>35</v>
          </cell>
          <cell r="Q142">
            <v>65</v>
          </cell>
          <cell r="R142">
            <v>45</v>
          </cell>
          <cell r="S142">
            <v>65</v>
          </cell>
          <cell r="T142" t="str">
            <v>Mobile apps for people in the field</v>
          </cell>
          <cell r="U142" t="str">
            <v>Integrating new software with inventory and SCM systems</v>
          </cell>
          <cell r="W142" t="str">
            <v>Mainframe and UNIX servers</v>
          </cell>
          <cell r="X142" t="str">
            <v>Custom apps</v>
          </cell>
          <cell r="Z142" t="str">
            <v>‘No change’ to the budget is likely</v>
          </cell>
          <cell r="AA142" t="str">
            <v>New projects</v>
          </cell>
          <cell r="AB142" t="str">
            <v>Backup &amp; Recovery</v>
          </cell>
          <cell r="AC142" t="str">
            <v>No change in level of discounting</v>
          </cell>
          <cell r="AD142" t="str">
            <v>Significantly longer</v>
          </cell>
          <cell r="AE142">
            <v>100</v>
          </cell>
          <cell r="AF142">
            <v>0</v>
          </cell>
          <cell r="AG142">
            <v>0</v>
          </cell>
          <cell r="AH142" t="str">
            <v>60/40</v>
          </cell>
          <cell r="AI142" t="str">
            <v>In-Line</v>
          </cell>
          <cell r="AJ142">
            <v>3</v>
          </cell>
          <cell r="AK142" t="str">
            <v>NA / DK</v>
          </cell>
          <cell r="AL142" t="str">
            <v>NA / DK</v>
          </cell>
          <cell r="AM142" t="str">
            <v>NA / DK</v>
          </cell>
          <cell r="AN142">
            <v>-5</v>
          </cell>
          <cell r="AO142" t="str">
            <v>NA / DK</v>
          </cell>
          <cell r="AP142" t="str">
            <v>NA / DK</v>
          </cell>
          <cell r="AQ142" t="str">
            <v>NA / DK</v>
          </cell>
          <cell r="AR142" t="str">
            <v>Don't Use</v>
          </cell>
          <cell r="AS142" t="str">
            <v>Don't Use</v>
          </cell>
          <cell r="AT142" t="str">
            <v>Don't Use</v>
          </cell>
          <cell r="AU142" t="str">
            <v>Don't Use</v>
          </cell>
          <cell r="AV142" t="str">
            <v>Don't Use</v>
          </cell>
          <cell r="AW142" t="str">
            <v>Don't Use</v>
          </cell>
          <cell r="AX142" t="str">
            <v>Don't Use</v>
          </cell>
          <cell r="AY142" t="str">
            <v>Don't Use</v>
          </cell>
          <cell r="AZ142" t="str">
            <v>Don't Use</v>
          </cell>
          <cell r="BA142" t="str">
            <v>Decrease</v>
          </cell>
          <cell r="BB142" t="str">
            <v>Flat</v>
          </cell>
          <cell r="BC142" t="str">
            <v>Don't Use</v>
          </cell>
          <cell r="BD142" t="str">
            <v>Don't Use</v>
          </cell>
          <cell r="BE142" t="str">
            <v>Don't Use</v>
          </cell>
          <cell r="BF142" t="str">
            <v>Don't Use</v>
          </cell>
          <cell r="BG142" t="str">
            <v>Don't Use</v>
          </cell>
          <cell r="BH142" t="str">
            <v>Don't Use</v>
          </cell>
          <cell r="BI142" t="str">
            <v>Already using services provider</v>
          </cell>
          <cell r="BJ142" t="str">
            <v>Will use services provider 2H12</v>
          </cell>
          <cell r="BK142" t="str">
            <v>Doing work internally</v>
          </cell>
          <cell r="BL142" t="str">
            <v>Doing work internally</v>
          </cell>
          <cell r="BM142" t="str">
            <v>Doing work internally</v>
          </cell>
          <cell r="BN142" t="str">
            <v>Not Priority</v>
          </cell>
          <cell r="BO142" t="str">
            <v>Doing work internally</v>
          </cell>
          <cell r="BP142" t="str">
            <v>Doing work internally</v>
          </cell>
          <cell r="BQ142" t="str">
            <v>Doing work internally</v>
          </cell>
          <cell r="BR142" t="str">
            <v>Doing work internally</v>
          </cell>
          <cell r="BS142" t="str">
            <v>Not Priority</v>
          </cell>
          <cell r="BT142" t="str">
            <v>Doing work internally</v>
          </cell>
          <cell r="BU142">
            <v>1</v>
          </cell>
          <cell r="BV142">
            <v>7</v>
          </cell>
          <cell r="BW142">
            <v>4</v>
          </cell>
          <cell r="BX142">
            <v>2</v>
          </cell>
          <cell r="BY142">
            <v>6</v>
          </cell>
          <cell r="BZ142">
            <v>3</v>
          </cell>
          <cell r="CA142">
            <v>5</v>
          </cell>
          <cell r="CB142" t="str">
            <v>No change in level of discounting</v>
          </cell>
        </row>
        <row r="143">
          <cell r="A143" t="str">
            <v>US</v>
          </cell>
          <cell r="B143" t="str">
            <v>Transportation</v>
          </cell>
          <cell r="C143" t="str">
            <v>$1-5 Billion</v>
          </cell>
          <cell r="D143" t="str">
            <v>$100-200 Million</v>
          </cell>
          <cell r="E143">
            <v>-10</v>
          </cell>
          <cell r="F143">
            <v>0</v>
          </cell>
          <cell r="G143">
            <v>-10</v>
          </cell>
          <cell r="H143">
            <v>-5</v>
          </cell>
          <cell r="I143">
            <v>0</v>
          </cell>
          <cell r="J143">
            <v>-15</v>
          </cell>
          <cell r="K143">
            <v>3</v>
          </cell>
          <cell r="L143">
            <v>0</v>
          </cell>
          <cell r="M143">
            <v>3</v>
          </cell>
          <cell r="N143">
            <v>0</v>
          </cell>
          <cell r="O143">
            <v>4</v>
          </cell>
          <cell r="P143">
            <v>40</v>
          </cell>
          <cell r="Q143">
            <v>60</v>
          </cell>
          <cell r="R143">
            <v>50</v>
          </cell>
          <cell r="S143">
            <v>50</v>
          </cell>
          <cell r="T143" t="str">
            <v>SaaS</v>
          </cell>
          <cell r="U143" t="str">
            <v>Intruder alerts and authentication</v>
          </cell>
          <cell r="V143" t="str">
            <v>Cloud initiatives</v>
          </cell>
          <cell r="W143" t="str">
            <v>Virtualization</v>
          </cell>
          <cell r="X143" t="str">
            <v>Traditiona landlines</v>
          </cell>
          <cell r="Y143" t="str">
            <v>Email apps</v>
          </cell>
          <cell r="Z143" t="str">
            <v>Upward revision is more likely</v>
          </cell>
          <cell r="AA143" t="str">
            <v>Professional Services</v>
          </cell>
          <cell r="AB143" t="str">
            <v>Security software updates</v>
          </cell>
          <cell r="AC143" t="str">
            <v>No change in level of discounting</v>
          </cell>
          <cell r="AD143" t="str">
            <v>No Change</v>
          </cell>
          <cell r="AE143">
            <v>100</v>
          </cell>
          <cell r="AF143">
            <v>0</v>
          </cell>
          <cell r="AG143">
            <v>0</v>
          </cell>
          <cell r="AH143" t="str">
            <v>40/60</v>
          </cell>
          <cell r="AI143" t="str">
            <v>In-Line</v>
          </cell>
          <cell r="AJ143">
            <v>-10</v>
          </cell>
          <cell r="AK143">
            <v>-5</v>
          </cell>
          <cell r="AL143">
            <v>-10</v>
          </cell>
          <cell r="AM143">
            <v>0</v>
          </cell>
          <cell r="AN143">
            <v>3</v>
          </cell>
          <cell r="AO143">
            <v>-5</v>
          </cell>
          <cell r="AP143">
            <v>5</v>
          </cell>
          <cell r="AQ143">
            <v>2</v>
          </cell>
          <cell r="AR143" t="str">
            <v>Flat</v>
          </cell>
          <cell r="AS143" t="str">
            <v>Don't Use</v>
          </cell>
          <cell r="AT143" t="str">
            <v>Don't Use</v>
          </cell>
          <cell r="AU143" t="str">
            <v>Don't Use</v>
          </cell>
          <cell r="AV143" t="str">
            <v>Flat</v>
          </cell>
          <cell r="AW143" t="str">
            <v>Flat</v>
          </cell>
          <cell r="AX143" t="str">
            <v>Flat</v>
          </cell>
          <cell r="AY143" t="str">
            <v>Don't Use</v>
          </cell>
          <cell r="AZ143" t="str">
            <v>Don't Use</v>
          </cell>
          <cell r="BA143" t="str">
            <v>Don't Use</v>
          </cell>
          <cell r="BB143" t="str">
            <v>Flat</v>
          </cell>
          <cell r="BC143" t="str">
            <v>Don't Use</v>
          </cell>
          <cell r="BD143" t="str">
            <v>Don't Use</v>
          </cell>
          <cell r="BE143" t="str">
            <v>Don't Use</v>
          </cell>
          <cell r="BF143" t="str">
            <v>Decrease</v>
          </cell>
          <cell r="BG143" t="str">
            <v>Don't Use</v>
          </cell>
          <cell r="BH143" t="str">
            <v>Don't Use</v>
          </cell>
          <cell r="BI143" t="str">
            <v>Doing work internally</v>
          </cell>
          <cell r="BJ143" t="str">
            <v>Doing work internally</v>
          </cell>
          <cell r="BK143" t="str">
            <v>Not Priority</v>
          </cell>
          <cell r="BL143" t="str">
            <v>Doing work internally</v>
          </cell>
          <cell r="BM143" t="str">
            <v>Doing work internally</v>
          </cell>
          <cell r="BN143" t="str">
            <v>Not Priority</v>
          </cell>
          <cell r="BO143" t="str">
            <v>Not Priority</v>
          </cell>
          <cell r="BP143" t="str">
            <v>Not Priority</v>
          </cell>
          <cell r="BQ143" t="str">
            <v>Doing work internally</v>
          </cell>
          <cell r="BR143" t="str">
            <v>Doing work internally</v>
          </cell>
          <cell r="BS143" t="str">
            <v>Not Priority</v>
          </cell>
          <cell r="BT143" t="str">
            <v>Not Priority</v>
          </cell>
          <cell r="BU143">
            <v>4</v>
          </cell>
          <cell r="BV143">
            <v>5</v>
          </cell>
          <cell r="BW143">
            <v>6</v>
          </cell>
          <cell r="BX143">
            <v>7</v>
          </cell>
          <cell r="BY143">
            <v>2</v>
          </cell>
          <cell r="BZ143">
            <v>3</v>
          </cell>
          <cell r="CA143">
            <v>1</v>
          </cell>
          <cell r="CB143" t="str">
            <v>No change in level of discounting</v>
          </cell>
        </row>
        <row r="144">
          <cell r="A144" t="str">
            <v>US</v>
          </cell>
          <cell r="B144" t="str">
            <v>Transportation</v>
          </cell>
          <cell r="C144" t="str">
            <v>$500 Million - $1 Billion</v>
          </cell>
          <cell r="D144" t="str">
            <v>&lt;$100 Million</v>
          </cell>
          <cell r="E144">
            <v>3</v>
          </cell>
          <cell r="F144">
            <v>-5</v>
          </cell>
          <cell r="G144">
            <v>3</v>
          </cell>
          <cell r="H144">
            <v>0</v>
          </cell>
          <cell r="I144">
            <v>7</v>
          </cell>
          <cell r="J144">
            <v>5</v>
          </cell>
          <cell r="K144">
            <v>5</v>
          </cell>
          <cell r="L144">
            <v>0</v>
          </cell>
          <cell r="M144">
            <v>0</v>
          </cell>
          <cell r="N144">
            <v>-10</v>
          </cell>
          <cell r="O144">
            <v>1</v>
          </cell>
          <cell r="P144">
            <v>40</v>
          </cell>
          <cell r="Q144">
            <v>60</v>
          </cell>
          <cell r="R144">
            <v>50</v>
          </cell>
          <cell r="S144">
            <v>50</v>
          </cell>
          <cell r="T144" t="str">
            <v>Oracle Upgrades</v>
          </cell>
          <cell r="U144" t="str">
            <v>Virtualization</v>
          </cell>
          <cell r="W144" t="str">
            <v>NA / No Decrease</v>
          </cell>
          <cell r="Z144" t="str">
            <v>‘No change’ to the budget is likely</v>
          </cell>
          <cell r="AA144" t="str">
            <v>Any type of upgrades</v>
          </cell>
          <cell r="AB144" t="str">
            <v>Virtualization projects</v>
          </cell>
          <cell r="AC144" t="str">
            <v>No change in level of discounting</v>
          </cell>
          <cell r="AD144" t="str">
            <v>Somewhat longer</v>
          </cell>
          <cell r="AE144">
            <v>80</v>
          </cell>
          <cell r="AF144">
            <v>10</v>
          </cell>
          <cell r="AG144">
            <v>10</v>
          </cell>
          <cell r="AH144" t="str">
            <v>40/60</v>
          </cell>
          <cell r="AI144" t="str">
            <v>In-Line</v>
          </cell>
          <cell r="AJ144">
            <v>5</v>
          </cell>
          <cell r="AK144">
            <v>5</v>
          </cell>
          <cell r="AL144">
            <v>5</v>
          </cell>
          <cell r="AM144">
            <v>5</v>
          </cell>
          <cell r="AN144">
            <v>-15</v>
          </cell>
          <cell r="AO144">
            <v>-5</v>
          </cell>
          <cell r="AP144">
            <v>0</v>
          </cell>
          <cell r="AQ144">
            <v>0</v>
          </cell>
          <cell r="AR144" t="str">
            <v>Don't Use</v>
          </cell>
          <cell r="AS144" t="str">
            <v>Don't Use</v>
          </cell>
          <cell r="AT144" t="str">
            <v>Increase</v>
          </cell>
          <cell r="AU144" t="str">
            <v>Don't Use</v>
          </cell>
          <cell r="AV144" t="str">
            <v>Don't Use</v>
          </cell>
          <cell r="AW144" t="str">
            <v>Decrease</v>
          </cell>
          <cell r="AX144" t="str">
            <v>Don't Use</v>
          </cell>
          <cell r="AY144" t="str">
            <v>Don't Use</v>
          </cell>
          <cell r="AZ144" t="str">
            <v>Don't Use</v>
          </cell>
          <cell r="BA144" t="str">
            <v>Don't Use</v>
          </cell>
          <cell r="BB144" t="str">
            <v>Don't Use</v>
          </cell>
          <cell r="BC144" t="str">
            <v>Don't Use</v>
          </cell>
          <cell r="BD144" t="str">
            <v>Don't Use</v>
          </cell>
          <cell r="BE144" t="str">
            <v>Don't Use</v>
          </cell>
          <cell r="BF144" t="str">
            <v>Don't Use</v>
          </cell>
          <cell r="BG144" t="str">
            <v>Don't Use</v>
          </cell>
          <cell r="BH144" t="str">
            <v>Don't Use</v>
          </cell>
          <cell r="BI144" t="str">
            <v>Already using services provider</v>
          </cell>
          <cell r="BJ144" t="str">
            <v>Not Priority</v>
          </cell>
          <cell r="BK144" t="str">
            <v>Not Priority</v>
          </cell>
          <cell r="BL144" t="str">
            <v>Not Priority</v>
          </cell>
          <cell r="BM144" t="str">
            <v>Not Priority</v>
          </cell>
          <cell r="BN144" t="str">
            <v>Will use services provider 2H12</v>
          </cell>
          <cell r="BO144" t="str">
            <v>Doing work internally</v>
          </cell>
          <cell r="BP144" t="str">
            <v>Doing work internally</v>
          </cell>
          <cell r="BQ144" t="str">
            <v>Not Priority</v>
          </cell>
          <cell r="BR144" t="str">
            <v>Not Priority</v>
          </cell>
          <cell r="BS144" t="str">
            <v>Not Priority</v>
          </cell>
          <cell r="BT144" t="str">
            <v>Not Priority</v>
          </cell>
          <cell r="BU144">
            <v>3</v>
          </cell>
          <cell r="BV144">
            <v>7</v>
          </cell>
          <cell r="BW144">
            <v>1</v>
          </cell>
          <cell r="BX144">
            <v>5</v>
          </cell>
          <cell r="BY144">
            <v>6</v>
          </cell>
          <cell r="BZ144">
            <v>2</v>
          </cell>
          <cell r="CA144">
            <v>4</v>
          </cell>
          <cell r="CB144" t="str">
            <v>No change in level of discounting</v>
          </cell>
        </row>
        <row r="145">
          <cell r="A145" t="str">
            <v>US</v>
          </cell>
          <cell r="B145" t="str">
            <v>Transportation</v>
          </cell>
          <cell r="C145" t="str">
            <v>$500 Million - $1 Billion</v>
          </cell>
          <cell r="D145" t="str">
            <v>&lt;$100 Million</v>
          </cell>
          <cell r="E145">
            <v>5</v>
          </cell>
          <cell r="F145">
            <v>5</v>
          </cell>
          <cell r="G145">
            <v>0</v>
          </cell>
          <cell r="H145">
            <v>3</v>
          </cell>
          <cell r="I145">
            <v>0</v>
          </cell>
          <cell r="J145">
            <v>5</v>
          </cell>
          <cell r="K145">
            <v>3</v>
          </cell>
          <cell r="L145">
            <v>5</v>
          </cell>
          <cell r="M145">
            <v>5</v>
          </cell>
          <cell r="N145">
            <v>-2</v>
          </cell>
          <cell r="O145">
            <v>5</v>
          </cell>
          <cell r="P145">
            <v>50</v>
          </cell>
          <cell r="Q145">
            <v>50</v>
          </cell>
          <cell r="R145">
            <v>60</v>
          </cell>
          <cell r="S145">
            <v>40</v>
          </cell>
          <cell r="T145" t="str">
            <v>WAN optimization projects</v>
          </cell>
          <cell r="U145" t="str">
            <v>Employee collaboration tools</v>
          </cell>
          <cell r="W145" t="str">
            <v>NA / No Decrease</v>
          </cell>
          <cell r="Z145" t="str">
            <v>‘No change’ to the budget is likely</v>
          </cell>
          <cell r="AA145" t="str">
            <v>External Service Providers</v>
          </cell>
          <cell r="AB145" t="str">
            <v>Mission critical systems</v>
          </cell>
          <cell r="AC145" t="str">
            <v>Somewhat less aggressive in discounting</v>
          </cell>
          <cell r="AD145" t="str">
            <v>Somewhat longer</v>
          </cell>
          <cell r="AE145">
            <v>70</v>
          </cell>
          <cell r="AF145">
            <v>25</v>
          </cell>
          <cell r="AG145">
            <v>5</v>
          </cell>
          <cell r="AH145" t="str">
            <v>50/50</v>
          </cell>
          <cell r="AI145" t="str">
            <v>In-Line</v>
          </cell>
          <cell r="AJ145">
            <v>8</v>
          </cell>
          <cell r="AK145">
            <v>3</v>
          </cell>
          <cell r="AL145">
            <v>0</v>
          </cell>
          <cell r="AM145">
            <v>0</v>
          </cell>
          <cell r="AN145">
            <v>5</v>
          </cell>
          <cell r="AO145">
            <v>-5</v>
          </cell>
          <cell r="AP145">
            <v>0</v>
          </cell>
          <cell r="AQ145">
            <v>2</v>
          </cell>
          <cell r="AR145" t="str">
            <v>Don't Use</v>
          </cell>
          <cell r="AS145" t="str">
            <v>Decrease</v>
          </cell>
          <cell r="AT145" t="str">
            <v>Don't Use</v>
          </cell>
          <cell r="AU145" t="str">
            <v>Don't Use</v>
          </cell>
          <cell r="AV145" t="str">
            <v>Increase</v>
          </cell>
          <cell r="AW145" t="str">
            <v>Don't Use</v>
          </cell>
          <cell r="AX145" t="str">
            <v>Don't Use</v>
          </cell>
          <cell r="AY145" t="str">
            <v>Don't Use</v>
          </cell>
          <cell r="AZ145" t="str">
            <v>Don't Use</v>
          </cell>
          <cell r="BA145" t="str">
            <v>Don't Use</v>
          </cell>
          <cell r="BB145" t="str">
            <v>Flat</v>
          </cell>
          <cell r="BC145" t="str">
            <v>Don't Use</v>
          </cell>
          <cell r="BD145" t="str">
            <v>Don't Use</v>
          </cell>
          <cell r="BE145" t="str">
            <v>Don't Use</v>
          </cell>
          <cell r="BF145" t="str">
            <v>Don't Use</v>
          </cell>
          <cell r="BG145" t="str">
            <v>Don't Use</v>
          </cell>
          <cell r="BH145" t="str">
            <v>Don't Use</v>
          </cell>
          <cell r="BI145" t="str">
            <v>Will use services provider 2H12</v>
          </cell>
          <cell r="BJ145" t="str">
            <v>Already using services provider</v>
          </cell>
          <cell r="BK145" t="str">
            <v>Doing work internally</v>
          </cell>
          <cell r="BL145" t="str">
            <v>Doing work internally</v>
          </cell>
          <cell r="BM145" t="str">
            <v>Not Priority</v>
          </cell>
          <cell r="BN145" t="str">
            <v>Doing work internally</v>
          </cell>
          <cell r="BO145" t="str">
            <v>Doing work internally</v>
          </cell>
          <cell r="BP145" t="str">
            <v>Not Priority</v>
          </cell>
          <cell r="BQ145" t="str">
            <v>Doing work internally</v>
          </cell>
          <cell r="BR145" t="str">
            <v>Doing work internally</v>
          </cell>
          <cell r="BS145" t="str">
            <v>Doing work internally</v>
          </cell>
          <cell r="BT145" t="str">
            <v>Not Priority</v>
          </cell>
          <cell r="BU145">
            <v>1</v>
          </cell>
          <cell r="BV145">
            <v>4</v>
          </cell>
          <cell r="BW145">
            <v>3</v>
          </cell>
          <cell r="BX145">
            <v>7</v>
          </cell>
          <cell r="BY145">
            <v>6</v>
          </cell>
          <cell r="BZ145">
            <v>5</v>
          </cell>
          <cell r="CA145">
            <v>2</v>
          </cell>
          <cell r="CB145" t="str">
            <v>No change in level of discounting</v>
          </cell>
        </row>
        <row r="146">
          <cell r="A146" t="str">
            <v>US</v>
          </cell>
          <cell r="B146" t="str">
            <v>Transportation</v>
          </cell>
          <cell r="C146" t="str">
            <v>$5-10 Billion</v>
          </cell>
          <cell r="D146" t="str">
            <v>$200-300 Million</v>
          </cell>
          <cell r="E146">
            <v>0</v>
          </cell>
          <cell r="F146">
            <v>10</v>
          </cell>
          <cell r="G146">
            <v>0</v>
          </cell>
          <cell r="H146">
            <v>10</v>
          </cell>
          <cell r="I146">
            <v>0</v>
          </cell>
          <cell r="J146">
            <v>5</v>
          </cell>
          <cell r="K146">
            <v>12</v>
          </cell>
          <cell r="L146">
            <v>10</v>
          </cell>
          <cell r="M146">
            <v>5</v>
          </cell>
          <cell r="N146">
            <v>5</v>
          </cell>
          <cell r="O146">
            <v>7</v>
          </cell>
          <cell r="P146">
            <v>70</v>
          </cell>
          <cell r="Q146">
            <v>30</v>
          </cell>
          <cell r="R146">
            <v>60</v>
          </cell>
          <cell r="S146">
            <v>40</v>
          </cell>
          <cell r="T146" t="str">
            <v>NA / No Increase</v>
          </cell>
          <cell r="W146" t="str">
            <v>NA / No Decrease</v>
          </cell>
          <cell r="Z146" t="str">
            <v>Upward revision is more likely</v>
          </cell>
          <cell r="AA146" t="str">
            <v>NA / DK</v>
          </cell>
          <cell r="AB146" t="str">
            <v>NA / DK</v>
          </cell>
          <cell r="AC146" t="str">
            <v>Somewhat less aggressive in discounting</v>
          </cell>
          <cell r="AD146" t="str">
            <v>No Change</v>
          </cell>
          <cell r="AE146">
            <v>35</v>
          </cell>
          <cell r="AF146">
            <v>35</v>
          </cell>
          <cell r="AG146">
            <v>30</v>
          </cell>
          <cell r="AH146" t="str">
            <v>60/40</v>
          </cell>
          <cell r="AI146" t="str">
            <v>In-Line</v>
          </cell>
          <cell r="AJ146">
            <v>10</v>
          </cell>
          <cell r="AK146">
            <v>10</v>
          </cell>
          <cell r="AL146">
            <v>10</v>
          </cell>
          <cell r="AM146">
            <v>5</v>
          </cell>
          <cell r="AN146">
            <v>-10</v>
          </cell>
          <cell r="AO146">
            <v>10</v>
          </cell>
          <cell r="AP146">
            <v>7</v>
          </cell>
          <cell r="AQ146">
            <v>5</v>
          </cell>
          <cell r="AR146" t="str">
            <v>Don't Use</v>
          </cell>
          <cell r="AS146" t="str">
            <v>Don't Use</v>
          </cell>
          <cell r="AT146" t="str">
            <v>Don't Use</v>
          </cell>
          <cell r="AU146" t="str">
            <v>Don't Use</v>
          </cell>
          <cell r="AV146" t="str">
            <v>Don't Use</v>
          </cell>
          <cell r="AW146" t="str">
            <v>Don't Use</v>
          </cell>
          <cell r="AX146" t="str">
            <v>Don't Use</v>
          </cell>
          <cell r="AY146" t="str">
            <v>Don't Use</v>
          </cell>
          <cell r="AZ146" t="str">
            <v>Don't Use</v>
          </cell>
          <cell r="BA146" t="str">
            <v>Don't Use</v>
          </cell>
          <cell r="BB146" t="str">
            <v>Don't Use</v>
          </cell>
          <cell r="BC146" t="str">
            <v>Don't Use</v>
          </cell>
          <cell r="BD146" t="str">
            <v>Don't Use</v>
          </cell>
          <cell r="BE146" t="str">
            <v>Don't Use</v>
          </cell>
          <cell r="BF146" t="str">
            <v>Don't Use</v>
          </cell>
          <cell r="BG146" t="str">
            <v>Don't Use</v>
          </cell>
          <cell r="BH146" t="str">
            <v>Don't Use</v>
          </cell>
          <cell r="BI146" t="str">
            <v>Doing work internally</v>
          </cell>
          <cell r="BJ146" t="str">
            <v>Doing work internally</v>
          </cell>
          <cell r="BK146" t="str">
            <v>Doing work internally</v>
          </cell>
          <cell r="BL146" t="str">
            <v>Will use services provider 2H12</v>
          </cell>
          <cell r="BM146" t="str">
            <v>Already using services provider</v>
          </cell>
          <cell r="BN146" t="str">
            <v>Doing work internally</v>
          </cell>
          <cell r="BO146" t="str">
            <v>Doing work internally</v>
          </cell>
          <cell r="BP146" t="str">
            <v>Not Priority</v>
          </cell>
          <cell r="BQ146" t="str">
            <v>Already using services provider</v>
          </cell>
          <cell r="BR146" t="str">
            <v>Will use services provider 2H12</v>
          </cell>
          <cell r="BS146" t="str">
            <v>Doing work internally</v>
          </cell>
          <cell r="BT146" t="str">
            <v>Already using services provider</v>
          </cell>
          <cell r="BU146">
            <v>1</v>
          </cell>
          <cell r="BV146">
            <v>6</v>
          </cell>
          <cell r="BW146">
            <v>5</v>
          </cell>
          <cell r="BX146">
            <v>2</v>
          </cell>
          <cell r="BY146">
            <v>7</v>
          </cell>
          <cell r="BZ146">
            <v>4</v>
          </cell>
          <cell r="CA146">
            <v>3</v>
          </cell>
          <cell r="CB146" t="str">
            <v>No change in level of discounting</v>
          </cell>
        </row>
        <row r="147">
          <cell r="A147" t="str">
            <v>US</v>
          </cell>
          <cell r="B147" t="str">
            <v>Utilities</v>
          </cell>
          <cell r="C147" t="str">
            <v>$15-20 Billion</v>
          </cell>
          <cell r="D147" t="str">
            <v>$200-300 Million</v>
          </cell>
          <cell r="E147">
            <v>6.6</v>
          </cell>
          <cell r="F147">
            <v>3</v>
          </cell>
          <cell r="G147">
            <v>7</v>
          </cell>
          <cell r="H147">
            <v>10</v>
          </cell>
          <cell r="I147">
            <v>0</v>
          </cell>
          <cell r="J147">
            <v>-5</v>
          </cell>
          <cell r="K147">
            <v>3</v>
          </cell>
          <cell r="L147">
            <v>0</v>
          </cell>
          <cell r="M147">
            <v>5</v>
          </cell>
          <cell r="N147">
            <v>-5</v>
          </cell>
          <cell r="O147">
            <v>7</v>
          </cell>
          <cell r="P147">
            <v>45</v>
          </cell>
          <cell r="Q147">
            <v>55</v>
          </cell>
          <cell r="R147">
            <v>50</v>
          </cell>
          <cell r="S147">
            <v>50</v>
          </cell>
          <cell r="T147" t="str">
            <v>Billing applicatons and platform</v>
          </cell>
          <cell r="U147" t="str">
            <v>Network upgrades</v>
          </cell>
          <cell r="V147" t="str">
            <v>Application upgrades</v>
          </cell>
          <cell r="W147" t="str">
            <v>Mainframe and UNIX servers</v>
          </cell>
          <cell r="X147" t="str">
            <v>Windows upgrades being delayed some</v>
          </cell>
          <cell r="Y147" t="str">
            <v>Anything is subject to cuts</v>
          </cell>
          <cell r="Z147" t="str">
            <v>Equal chance of upward or downward revision</v>
          </cell>
          <cell r="AA147" t="str">
            <v>Everything subject to cuts</v>
          </cell>
          <cell r="AB147" t="str">
            <v>Everything subject to cuts</v>
          </cell>
          <cell r="AC147" t="str">
            <v>Somewhat more aggressive in discounting</v>
          </cell>
          <cell r="AD147" t="str">
            <v>Somewhat longer</v>
          </cell>
          <cell r="AE147">
            <v>100</v>
          </cell>
          <cell r="AF147">
            <v>0</v>
          </cell>
          <cell r="AG147">
            <v>0</v>
          </cell>
          <cell r="AH147" t="str">
            <v>30/70</v>
          </cell>
          <cell r="AI147" t="str">
            <v>In-Line</v>
          </cell>
          <cell r="AJ147">
            <v>0</v>
          </cell>
          <cell r="AK147">
            <v>0</v>
          </cell>
          <cell r="AL147" t="str">
            <v>NA / DK</v>
          </cell>
          <cell r="AM147">
            <v>0</v>
          </cell>
          <cell r="AN147">
            <v>-7</v>
          </cell>
          <cell r="AO147">
            <v>0</v>
          </cell>
          <cell r="AP147" t="str">
            <v>NA / DK</v>
          </cell>
          <cell r="AQ147">
            <v>5</v>
          </cell>
          <cell r="AR147" t="str">
            <v>Don't Use</v>
          </cell>
          <cell r="AS147" t="str">
            <v>Flat</v>
          </cell>
          <cell r="AT147" t="str">
            <v>Don't Use</v>
          </cell>
          <cell r="AU147" t="str">
            <v>Don't Use</v>
          </cell>
          <cell r="AV147" t="str">
            <v>Don't Use</v>
          </cell>
          <cell r="AW147" t="str">
            <v>Flat</v>
          </cell>
          <cell r="AX147" t="str">
            <v>Don't Use</v>
          </cell>
          <cell r="AY147" t="str">
            <v>Don't Use</v>
          </cell>
          <cell r="AZ147" t="str">
            <v>Don't Use</v>
          </cell>
          <cell r="BA147" t="str">
            <v>Don't Use</v>
          </cell>
          <cell r="BB147" t="str">
            <v>Flat</v>
          </cell>
          <cell r="BC147" t="str">
            <v>Don't Use</v>
          </cell>
          <cell r="BD147" t="str">
            <v>Flat</v>
          </cell>
          <cell r="BE147" t="str">
            <v>Don't Use</v>
          </cell>
          <cell r="BF147" t="str">
            <v>Don't Use</v>
          </cell>
          <cell r="BG147" t="str">
            <v>Don't Use</v>
          </cell>
          <cell r="BH147" t="str">
            <v>Decrease</v>
          </cell>
          <cell r="BI147" t="str">
            <v>Doing work internally</v>
          </cell>
          <cell r="BJ147" t="str">
            <v>Already using services provider</v>
          </cell>
          <cell r="BK147" t="str">
            <v>Doing work internally</v>
          </cell>
          <cell r="BL147" t="str">
            <v>Will use services provider 2H12</v>
          </cell>
          <cell r="BM147" t="str">
            <v>Will use services provider 2H12</v>
          </cell>
          <cell r="BN147" t="str">
            <v>Doing work internally</v>
          </cell>
          <cell r="BO147" t="str">
            <v>Not Priority</v>
          </cell>
          <cell r="BP147" t="str">
            <v>Not Priority</v>
          </cell>
          <cell r="BQ147" t="str">
            <v>Doing work internally</v>
          </cell>
          <cell r="BR147" t="str">
            <v>Not Priority</v>
          </cell>
          <cell r="BS147" t="str">
            <v>Not Priority</v>
          </cell>
          <cell r="BT147" t="str">
            <v>Not Priority</v>
          </cell>
          <cell r="BU147">
            <v>2</v>
          </cell>
          <cell r="BV147">
            <v>3</v>
          </cell>
          <cell r="BX147">
            <v>4</v>
          </cell>
          <cell r="BY147">
            <v>5</v>
          </cell>
          <cell r="BZ147">
            <v>1</v>
          </cell>
          <cell r="CB147" t="str">
            <v>No change in level of discounting</v>
          </cell>
        </row>
        <row r="148">
          <cell r="A148" t="str">
            <v>US</v>
          </cell>
          <cell r="B148" t="str">
            <v>Wholesale / Distribution</v>
          </cell>
          <cell r="C148" t="str">
            <v>$1-5 Billion</v>
          </cell>
          <cell r="D148" t="str">
            <v>&lt;$100 Million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-5</v>
          </cell>
          <cell r="L148">
            <v>5</v>
          </cell>
          <cell r="M148">
            <v>5</v>
          </cell>
          <cell r="N148">
            <v>5</v>
          </cell>
          <cell r="O148">
            <v>5</v>
          </cell>
          <cell r="P148">
            <v>40</v>
          </cell>
          <cell r="Q148">
            <v>60</v>
          </cell>
          <cell r="R148">
            <v>55</v>
          </cell>
          <cell r="S148">
            <v>45</v>
          </cell>
          <cell r="T148" t="str">
            <v>CRM</v>
          </cell>
          <cell r="U148" t="str">
            <v>BI/DR</v>
          </cell>
          <cell r="V148" t="str">
            <v xml:space="preserve">SaaS  </v>
          </cell>
          <cell r="W148" t="str">
            <v>Professional Services</v>
          </cell>
          <cell r="X148" t="str">
            <v>Staff augmentation</v>
          </cell>
          <cell r="Y148" t="str">
            <v>Telecom</v>
          </cell>
          <cell r="Z148" t="str">
            <v>Upward revision is more likely</v>
          </cell>
          <cell r="AA148" t="str">
            <v>Services contracts</v>
          </cell>
          <cell r="AB148" t="str">
            <v>CRM project</v>
          </cell>
          <cell r="AC148" t="str">
            <v>No change in level of discounting</v>
          </cell>
          <cell r="AD148" t="str">
            <v>Somewhat quicker</v>
          </cell>
          <cell r="AE148">
            <v>95</v>
          </cell>
          <cell r="AF148">
            <v>0</v>
          </cell>
          <cell r="AG148">
            <v>5</v>
          </cell>
          <cell r="AH148" t="str">
            <v>40/60</v>
          </cell>
          <cell r="AI148" t="str">
            <v>Under</v>
          </cell>
          <cell r="AJ148">
            <v>-5</v>
          </cell>
          <cell r="AK148">
            <v>0</v>
          </cell>
          <cell r="AL148">
            <v>0</v>
          </cell>
          <cell r="AM148">
            <v>5</v>
          </cell>
          <cell r="AN148">
            <v>10</v>
          </cell>
          <cell r="AO148">
            <v>5</v>
          </cell>
          <cell r="AP148">
            <v>3</v>
          </cell>
          <cell r="AQ148">
            <v>7</v>
          </cell>
          <cell r="AR148" t="str">
            <v>Don't Use</v>
          </cell>
          <cell r="AS148" t="str">
            <v>Flat</v>
          </cell>
          <cell r="AT148" t="str">
            <v>Don't Use</v>
          </cell>
          <cell r="AU148" t="str">
            <v>Don't Use</v>
          </cell>
          <cell r="AV148" t="str">
            <v>Flat</v>
          </cell>
          <cell r="AW148" t="str">
            <v>Don't Use</v>
          </cell>
          <cell r="AX148" t="str">
            <v>Don't Use</v>
          </cell>
          <cell r="AY148" t="str">
            <v>Don't Use</v>
          </cell>
          <cell r="AZ148" t="str">
            <v>Increase</v>
          </cell>
          <cell r="BA148" t="str">
            <v>Don't Use</v>
          </cell>
          <cell r="BB148" t="str">
            <v>Flat</v>
          </cell>
          <cell r="BC148" t="str">
            <v>Don't Use</v>
          </cell>
          <cell r="BD148" t="str">
            <v>Don't Use</v>
          </cell>
          <cell r="BE148" t="str">
            <v>Don't Use</v>
          </cell>
          <cell r="BF148" t="str">
            <v>Don't Use</v>
          </cell>
          <cell r="BG148" t="str">
            <v>Flat</v>
          </cell>
          <cell r="BH148" t="str">
            <v>Decrease</v>
          </cell>
          <cell r="BI148" t="str">
            <v>Already using services provider</v>
          </cell>
          <cell r="BJ148" t="str">
            <v>Already using services provider</v>
          </cell>
          <cell r="BK148" t="str">
            <v>Already using services provider</v>
          </cell>
          <cell r="BL148" t="str">
            <v>Already using services provider</v>
          </cell>
          <cell r="BM148" t="str">
            <v>Not Priority</v>
          </cell>
          <cell r="BN148" t="str">
            <v>Will use services provider 2H12</v>
          </cell>
          <cell r="BO148" t="str">
            <v>Already using services provider</v>
          </cell>
          <cell r="BP148" t="str">
            <v>Not Priority</v>
          </cell>
          <cell r="BQ148" t="str">
            <v>Already using services provider</v>
          </cell>
          <cell r="BR148" t="str">
            <v>Not Priority</v>
          </cell>
          <cell r="BS148" t="str">
            <v>Doing work internally</v>
          </cell>
          <cell r="BT148" t="str">
            <v>Already using services provider</v>
          </cell>
          <cell r="BU148">
            <v>4</v>
          </cell>
          <cell r="BV148">
            <v>6</v>
          </cell>
          <cell r="BW148">
            <v>1</v>
          </cell>
          <cell r="BX148">
            <v>7</v>
          </cell>
          <cell r="BY148">
            <v>5</v>
          </cell>
          <cell r="BZ148">
            <v>2</v>
          </cell>
          <cell r="CA148">
            <v>3</v>
          </cell>
          <cell r="CB148" t="str">
            <v>No change in level of discounting</v>
          </cell>
        </row>
        <row r="149">
          <cell r="A149" t="str">
            <v>US</v>
          </cell>
          <cell r="B149" t="str">
            <v>Wholesale / Distribution</v>
          </cell>
          <cell r="C149" t="str">
            <v>$5-10 Billion</v>
          </cell>
          <cell r="D149" t="str">
            <v>&lt;$100 Million</v>
          </cell>
          <cell r="E149">
            <v>0</v>
          </cell>
          <cell r="F149">
            <v>10</v>
          </cell>
          <cell r="G149">
            <v>5</v>
          </cell>
          <cell r="H149">
            <v>3</v>
          </cell>
          <cell r="I149">
            <v>0</v>
          </cell>
          <cell r="J149">
            <v>0</v>
          </cell>
          <cell r="K149">
            <v>5</v>
          </cell>
          <cell r="L149">
            <v>10</v>
          </cell>
          <cell r="M149">
            <v>15</v>
          </cell>
          <cell r="N149">
            <v>10</v>
          </cell>
          <cell r="O149">
            <v>5</v>
          </cell>
          <cell r="P149">
            <v>45</v>
          </cell>
          <cell r="Q149">
            <v>55</v>
          </cell>
          <cell r="R149">
            <v>40</v>
          </cell>
          <cell r="S149">
            <v>60</v>
          </cell>
          <cell r="T149" t="str">
            <v>Better QC with new hardware devices on floor</v>
          </cell>
          <cell r="U149" t="str">
            <v>Integrate mobile apps to legacy systems</v>
          </cell>
          <cell r="W149" t="str">
            <v>Have taken some of the older data systems offline</v>
          </cell>
          <cell r="X149" t="str">
            <v>Storage</v>
          </cell>
          <cell r="Z149" t="str">
            <v>Upward revision is more likely</v>
          </cell>
          <cell r="AA149" t="str">
            <v>Mobile app development</v>
          </cell>
          <cell r="AB149" t="str">
            <v>Everything subject to cuts</v>
          </cell>
          <cell r="AC149" t="str">
            <v>No change in level of discounting</v>
          </cell>
          <cell r="AD149" t="str">
            <v>Somewhat quicker</v>
          </cell>
          <cell r="AE149">
            <v>70</v>
          </cell>
          <cell r="AF149">
            <v>30</v>
          </cell>
          <cell r="AG149">
            <v>0</v>
          </cell>
          <cell r="AH149" t="str">
            <v>70/30</v>
          </cell>
          <cell r="AI149" t="str">
            <v>In-Line</v>
          </cell>
          <cell r="AJ149">
            <v>0</v>
          </cell>
          <cell r="AK149">
            <v>0</v>
          </cell>
          <cell r="AL149">
            <v>5</v>
          </cell>
          <cell r="AM149">
            <v>-5</v>
          </cell>
          <cell r="AN149">
            <v>3</v>
          </cell>
          <cell r="AO149">
            <v>0</v>
          </cell>
          <cell r="AP149">
            <v>3</v>
          </cell>
          <cell r="AQ149">
            <v>0</v>
          </cell>
          <cell r="AR149" t="str">
            <v>Don't Use</v>
          </cell>
          <cell r="AS149" t="str">
            <v>Don't Use</v>
          </cell>
          <cell r="AT149" t="str">
            <v>Don't Use</v>
          </cell>
          <cell r="AU149" t="str">
            <v>Don't Use</v>
          </cell>
          <cell r="AV149" t="str">
            <v>Don't Use</v>
          </cell>
          <cell r="AW149" t="str">
            <v>Don't Use</v>
          </cell>
          <cell r="AX149" t="str">
            <v>Don't Use</v>
          </cell>
          <cell r="AY149" t="str">
            <v>Don't Use</v>
          </cell>
          <cell r="AZ149" t="str">
            <v>Flat</v>
          </cell>
          <cell r="BA149" t="str">
            <v>Flat</v>
          </cell>
          <cell r="BB149" t="str">
            <v>Flat</v>
          </cell>
          <cell r="BC149" t="str">
            <v>Don't Use</v>
          </cell>
          <cell r="BD149" t="str">
            <v>Don't Use</v>
          </cell>
          <cell r="BE149" t="str">
            <v>Don't Use</v>
          </cell>
          <cell r="BF149" t="str">
            <v>Don't Use</v>
          </cell>
          <cell r="BG149" t="str">
            <v>Don't Use</v>
          </cell>
          <cell r="BH149" t="str">
            <v>Don't Use</v>
          </cell>
          <cell r="BI149" t="str">
            <v>Not Priority</v>
          </cell>
          <cell r="BJ149" t="str">
            <v>Not Priority</v>
          </cell>
          <cell r="BK149" t="str">
            <v>Doing work internally</v>
          </cell>
          <cell r="BL149" t="str">
            <v>Doing work internally</v>
          </cell>
          <cell r="BM149" t="str">
            <v>Not Priority</v>
          </cell>
          <cell r="BN149" t="str">
            <v>Doing work internally</v>
          </cell>
          <cell r="BO149" t="str">
            <v>Doing work internally</v>
          </cell>
          <cell r="BP149" t="str">
            <v>Not Priority</v>
          </cell>
          <cell r="BQ149" t="str">
            <v>Already using services provider</v>
          </cell>
          <cell r="BR149" t="str">
            <v>Not Priority</v>
          </cell>
          <cell r="BS149" t="str">
            <v>Not Priority</v>
          </cell>
          <cell r="BT149" t="str">
            <v>Not Priority</v>
          </cell>
          <cell r="BU149">
            <v>3</v>
          </cell>
          <cell r="BV149">
            <v>7</v>
          </cell>
          <cell r="BW149">
            <v>4</v>
          </cell>
          <cell r="BX149">
            <v>1</v>
          </cell>
          <cell r="BY149">
            <v>5</v>
          </cell>
          <cell r="BZ149">
            <v>2</v>
          </cell>
          <cell r="CA149">
            <v>6</v>
          </cell>
          <cell r="CB149" t="str">
            <v>Significantly less aggressive in discounting</v>
          </cell>
        </row>
        <row r="150">
          <cell r="A150" t="str">
            <v>US</v>
          </cell>
          <cell r="B150" t="str">
            <v>Wholesale / Distribution</v>
          </cell>
          <cell r="C150" t="str">
            <v>$1-5 Billion</v>
          </cell>
          <cell r="D150" t="str">
            <v>$400-500 Million</v>
          </cell>
          <cell r="E150">
            <v>5</v>
          </cell>
          <cell r="F150">
            <v>15</v>
          </cell>
          <cell r="G150">
            <v>3</v>
          </cell>
          <cell r="H150">
            <v>0</v>
          </cell>
          <cell r="I150">
            <v>7</v>
          </cell>
          <cell r="J150">
            <v>8</v>
          </cell>
          <cell r="K150">
            <v>10</v>
          </cell>
          <cell r="L150">
            <v>10</v>
          </cell>
          <cell r="M150">
            <v>10</v>
          </cell>
          <cell r="N150">
            <v>20</v>
          </cell>
          <cell r="O150">
            <v>8</v>
          </cell>
          <cell r="P150">
            <v>50</v>
          </cell>
          <cell r="Q150">
            <v>50</v>
          </cell>
          <cell r="R150">
            <v>65</v>
          </cell>
          <cell r="S150">
            <v>35</v>
          </cell>
          <cell r="T150" t="str">
            <v xml:space="preserve">Web portal for employees </v>
          </cell>
          <cell r="U150" t="str">
            <v>Inventory tracking via mutliple platforms</v>
          </cell>
          <cell r="V150" t="str">
            <v>Data integration</v>
          </cell>
          <cell r="W150" t="str">
            <v>NA / No Decrease</v>
          </cell>
          <cell r="Z150" t="str">
            <v>Downward revision is more likely</v>
          </cell>
          <cell r="AA150" t="str">
            <v>Consulting / Outsourcing</v>
          </cell>
          <cell r="AB150" t="str">
            <v>Web based projects</v>
          </cell>
          <cell r="AC150" t="str">
            <v>Somewhat more aggressive in discounting</v>
          </cell>
          <cell r="AD150" t="str">
            <v>Somewhat longer</v>
          </cell>
          <cell r="AE150" t="str">
            <v>NA / DK</v>
          </cell>
          <cell r="AF150" t="str">
            <v>NA / DK</v>
          </cell>
          <cell r="AG150" t="str">
            <v>NA / DK</v>
          </cell>
          <cell r="AH150" t="str">
            <v>30/70</v>
          </cell>
          <cell r="AI150" t="str">
            <v>Under</v>
          </cell>
          <cell r="AJ150">
            <v>5</v>
          </cell>
          <cell r="AK150">
            <v>0</v>
          </cell>
          <cell r="AL150" t="str">
            <v>NA / DK</v>
          </cell>
          <cell r="AM150">
            <v>10</v>
          </cell>
          <cell r="AN150">
            <v>15</v>
          </cell>
          <cell r="AO150">
            <v>25</v>
          </cell>
          <cell r="AP150" t="str">
            <v>NA / DK</v>
          </cell>
          <cell r="AQ150">
            <v>15</v>
          </cell>
          <cell r="AR150" t="str">
            <v>Don't Use</v>
          </cell>
          <cell r="AS150" t="str">
            <v>Don't Use</v>
          </cell>
          <cell r="AT150" t="str">
            <v>Don't Use</v>
          </cell>
          <cell r="AU150" t="str">
            <v>Don't Use</v>
          </cell>
          <cell r="AV150" t="str">
            <v>Don't Use</v>
          </cell>
          <cell r="AW150" t="str">
            <v>Don't Use</v>
          </cell>
          <cell r="AX150" t="str">
            <v>Don't Use</v>
          </cell>
          <cell r="AY150" t="str">
            <v>Flat</v>
          </cell>
          <cell r="AZ150" t="str">
            <v>Don't Use</v>
          </cell>
          <cell r="BA150" t="str">
            <v>Don't Use</v>
          </cell>
          <cell r="BB150" t="str">
            <v>Flat</v>
          </cell>
          <cell r="BC150" t="str">
            <v>Don't Use</v>
          </cell>
          <cell r="BD150" t="str">
            <v>Don't Use</v>
          </cell>
          <cell r="BE150" t="str">
            <v>Increase</v>
          </cell>
          <cell r="BF150" t="str">
            <v>Don't Use</v>
          </cell>
          <cell r="BG150" t="str">
            <v>Don't Use</v>
          </cell>
          <cell r="BH150" t="str">
            <v>Don't Use</v>
          </cell>
          <cell r="BI150" t="str">
            <v>Doing work internally</v>
          </cell>
          <cell r="BJ150" t="str">
            <v>Already using services provider</v>
          </cell>
          <cell r="BK150" t="str">
            <v>Not Priority</v>
          </cell>
          <cell r="BL150" t="str">
            <v>Not Priority</v>
          </cell>
          <cell r="BM150" t="str">
            <v>Doing work internally</v>
          </cell>
          <cell r="BN150" t="str">
            <v>Already using services provider</v>
          </cell>
          <cell r="BO150" t="str">
            <v>Doing work internally</v>
          </cell>
          <cell r="BP150" t="str">
            <v>Not Priority</v>
          </cell>
          <cell r="BQ150" t="str">
            <v>Doing work internally</v>
          </cell>
          <cell r="BR150" t="str">
            <v>Will use services provider 2H12</v>
          </cell>
          <cell r="BS150" t="str">
            <v>Doing work internally</v>
          </cell>
          <cell r="BT150" t="str">
            <v>Not Priority</v>
          </cell>
          <cell r="BU150">
            <v>1</v>
          </cell>
          <cell r="BV150">
            <v>6</v>
          </cell>
          <cell r="BW150">
            <v>3</v>
          </cell>
          <cell r="BX150">
            <v>5</v>
          </cell>
          <cell r="BY150">
            <v>4</v>
          </cell>
          <cell r="BZ150">
            <v>2</v>
          </cell>
          <cell r="CA150">
            <v>6</v>
          </cell>
          <cell r="CB150" t="str">
            <v>Significantly less aggressive in discounting</v>
          </cell>
        </row>
        <row r="151">
          <cell r="A151" t="str">
            <v>US</v>
          </cell>
          <cell r="B151" t="str">
            <v>Wholesale / Distribution</v>
          </cell>
          <cell r="C151" t="str">
            <v>&lt;$500 Million</v>
          </cell>
          <cell r="D151" t="str">
            <v>&lt;$100 Million</v>
          </cell>
          <cell r="E151">
            <v>-10</v>
          </cell>
          <cell r="F151">
            <v>-25</v>
          </cell>
          <cell r="G151">
            <v>-10</v>
          </cell>
          <cell r="H151">
            <v>-10</v>
          </cell>
          <cell r="I151">
            <v>0</v>
          </cell>
          <cell r="J151">
            <v>-25</v>
          </cell>
          <cell r="K151">
            <v>-25</v>
          </cell>
          <cell r="L151">
            <v>-50</v>
          </cell>
          <cell r="M151">
            <v>-10</v>
          </cell>
          <cell r="N151">
            <v>-25</v>
          </cell>
          <cell r="O151">
            <v>1</v>
          </cell>
          <cell r="P151">
            <v>50</v>
          </cell>
          <cell r="Q151">
            <v>50</v>
          </cell>
          <cell r="R151">
            <v>50</v>
          </cell>
          <cell r="S151">
            <v>50</v>
          </cell>
          <cell r="T151" t="str">
            <v>Mobile apps</v>
          </cell>
          <cell r="W151" t="str">
            <v>Staffing</v>
          </cell>
          <cell r="X151" t="str">
            <v>Hardware</v>
          </cell>
          <cell r="Z151" t="str">
            <v>Equal chance of upward or downward revision</v>
          </cell>
          <cell r="AA151" t="str">
            <v>Organization may cease to exist</v>
          </cell>
          <cell r="AB151" t="str">
            <v>NA / DK</v>
          </cell>
          <cell r="AC151" t="str">
            <v>No change in level of discounting</v>
          </cell>
          <cell r="AD151" t="str">
            <v>Significantly longer</v>
          </cell>
          <cell r="AE151">
            <v>75</v>
          </cell>
          <cell r="AF151">
            <v>15</v>
          </cell>
          <cell r="AG151">
            <v>10</v>
          </cell>
          <cell r="AH151" t="str">
            <v>50/50</v>
          </cell>
          <cell r="AI151" t="str">
            <v>Over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 t="str">
            <v>Don't Use</v>
          </cell>
          <cell r="AS151" t="str">
            <v>Don't Use</v>
          </cell>
          <cell r="AT151" t="str">
            <v>Don't Use</v>
          </cell>
          <cell r="AU151" t="str">
            <v>Don't Use</v>
          </cell>
          <cell r="AV151" t="str">
            <v>Don't Use</v>
          </cell>
          <cell r="AW151" t="str">
            <v>Don't Use</v>
          </cell>
          <cell r="AX151" t="str">
            <v>Don't Use</v>
          </cell>
          <cell r="AY151" t="str">
            <v>Don't Use</v>
          </cell>
          <cell r="AZ151" t="str">
            <v>Don't Use</v>
          </cell>
          <cell r="BA151" t="str">
            <v>Decrease</v>
          </cell>
          <cell r="BB151" t="str">
            <v>Don't Use</v>
          </cell>
          <cell r="BC151" t="str">
            <v>Don't Use</v>
          </cell>
          <cell r="BD151" t="str">
            <v>Don't Use</v>
          </cell>
          <cell r="BE151" t="str">
            <v>Don't Use</v>
          </cell>
          <cell r="BF151" t="str">
            <v>Don't Use</v>
          </cell>
          <cell r="BG151" t="str">
            <v>Don't Use</v>
          </cell>
          <cell r="BH151" t="str">
            <v>Don't Use</v>
          </cell>
          <cell r="BI151" t="str">
            <v>Not Priority</v>
          </cell>
          <cell r="BJ151" t="str">
            <v>Doing work internally</v>
          </cell>
          <cell r="BK151" t="str">
            <v>Doing work internally</v>
          </cell>
          <cell r="BL151" t="str">
            <v>Already using services provider</v>
          </cell>
          <cell r="BM151" t="str">
            <v>Doing work internally</v>
          </cell>
          <cell r="BN151" t="str">
            <v>Not Priority</v>
          </cell>
          <cell r="BO151" t="str">
            <v>Doing work internally</v>
          </cell>
          <cell r="BP151" t="str">
            <v>Not Priority</v>
          </cell>
          <cell r="BQ151" t="str">
            <v>Doing work internally</v>
          </cell>
          <cell r="BR151" t="str">
            <v>Not Priority</v>
          </cell>
          <cell r="BS151" t="str">
            <v>Not Priority</v>
          </cell>
          <cell r="BT151" t="str">
            <v>Not Priority</v>
          </cell>
          <cell r="BU151">
            <v>1</v>
          </cell>
          <cell r="BV151">
            <v>7</v>
          </cell>
          <cell r="BW151">
            <v>4</v>
          </cell>
          <cell r="BX151">
            <v>3</v>
          </cell>
          <cell r="BY151">
            <v>6</v>
          </cell>
          <cell r="BZ151">
            <v>2</v>
          </cell>
          <cell r="CA151">
            <v>5</v>
          </cell>
          <cell r="CB151" t="str">
            <v>No change in level of discounting</v>
          </cell>
        </row>
        <row r="152">
          <cell r="AJ152" t="str">
            <v>S3 Consulting &amp; Systems Integration Spending Change 2011 vs. 2010</v>
          </cell>
          <cell r="AK152" t="str">
            <v>S3 Consulting &amp; Systems Integration Spending Change 2012 vs. 2011</v>
          </cell>
          <cell r="AL152" t="str">
            <v>S4 Offshore Spending 2011 vs 2010</v>
          </cell>
          <cell r="AM152" t="str">
            <v>S4 Offshore Spending 2012 vs 2011</v>
          </cell>
          <cell r="AN152" t="str">
            <v>S5 ITO 2011 vs 2010</v>
          </cell>
          <cell r="AO152" t="str">
            <v>S5 ITO 2012 vs 2011</v>
          </cell>
          <cell r="AP152" t="str">
            <v>S6 BPO 2011 vs 2010</v>
          </cell>
          <cell r="AQ152" t="str">
            <v>S6 BPO 2012 vs 2011</v>
          </cell>
        </row>
        <row r="153">
          <cell r="F153" t="str">
            <v>EU</v>
          </cell>
          <cell r="G153">
            <v>4.1632653061224492</v>
          </cell>
          <cell r="H153">
            <v>2.489795918367347</v>
          </cell>
          <cell r="I153">
            <v>1.2448979591836735</v>
          </cell>
          <cell r="J153">
            <v>0.87755102040816324</v>
          </cell>
          <cell r="K153">
            <v>2.4693877551020407</v>
          </cell>
          <cell r="L153">
            <v>2.5510204081632653</v>
          </cell>
          <cell r="M153">
            <v>1.8571428571428572</v>
          </cell>
          <cell r="N153">
            <v>-0.26530612244897961</v>
          </cell>
          <cell r="AE153">
            <v>69.893617021276597</v>
          </cell>
          <cell r="AF153">
            <v>17.23404255319149</v>
          </cell>
          <cell r="AG153">
            <v>12.446808510638299</v>
          </cell>
          <cell r="AJ153" t="str">
            <v>US</v>
          </cell>
          <cell r="AK153" t="str">
            <v>US</v>
          </cell>
          <cell r="AL153" t="str">
            <v>US</v>
          </cell>
          <cell r="AM153" t="str">
            <v>US</v>
          </cell>
          <cell r="AN153" t="str">
            <v>US</v>
          </cell>
          <cell r="AO153" t="str">
            <v>US</v>
          </cell>
          <cell r="AP153" t="str">
            <v>US</v>
          </cell>
          <cell r="AQ153" t="str">
            <v>US</v>
          </cell>
          <cell r="BU153">
            <v>43</v>
          </cell>
          <cell r="BV153">
            <v>3</v>
          </cell>
          <cell r="BW153">
            <v>30</v>
          </cell>
          <cell r="BX153">
            <v>28</v>
          </cell>
          <cell r="BY153">
            <v>9</v>
          </cell>
          <cell r="BZ153">
            <v>27</v>
          </cell>
          <cell r="CA153">
            <v>12</v>
          </cell>
        </row>
        <row r="154">
          <cell r="F154" t="str">
            <v xml:space="preserve">US </v>
          </cell>
          <cell r="G154">
            <v>3.3</v>
          </cell>
          <cell r="H154">
            <v>3.9100999999999999</v>
          </cell>
          <cell r="I154">
            <v>3.4848484848484849</v>
          </cell>
          <cell r="J154">
            <v>2.489795918367347</v>
          </cell>
          <cell r="K154">
            <v>3.6363636363636362</v>
          </cell>
          <cell r="L154">
            <v>3.7070707070707072</v>
          </cell>
          <cell r="M154">
            <v>4.9090909090909092</v>
          </cell>
          <cell r="N154">
            <v>3.4081632653061225</v>
          </cell>
          <cell r="AE154">
            <v>76.881720430107521</v>
          </cell>
          <cell r="AF154">
            <v>13.978494623655914</v>
          </cell>
          <cell r="AG154">
            <v>9.1397849462365599</v>
          </cell>
          <cell r="AI154" t="str">
            <v>&gt;0</v>
          </cell>
          <cell r="AJ154">
            <v>63</v>
          </cell>
          <cell r="AK154">
            <v>64</v>
          </cell>
          <cell r="AL154">
            <v>41</v>
          </cell>
          <cell r="AM154">
            <v>47</v>
          </cell>
          <cell r="AN154">
            <v>35</v>
          </cell>
          <cell r="AO154">
            <v>42</v>
          </cell>
          <cell r="AP154">
            <v>43</v>
          </cell>
          <cell r="AQ154">
            <v>44</v>
          </cell>
          <cell r="BU154">
            <v>27</v>
          </cell>
          <cell r="BV154">
            <v>5</v>
          </cell>
          <cell r="BW154">
            <v>32</v>
          </cell>
          <cell r="BX154">
            <v>26</v>
          </cell>
          <cell r="BY154">
            <v>14</v>
          </cell>
          <cell r="BZ154">
            <v>30</v>
          </cell>
          <cell r="CA154">
            <v>17</v>
          </cell>
        </row>
        <row r="155">
          <cell r="F155" t="str">
            <v>Total</v>
          </cell>
          <cell r="G155">
            <v>3.5838926174496644</v>
          </cell>
          <cell r="H155">
            <v>3.4430201342281879</v>
          </cell>
          <cell r="I155">
            <v>2.7432432432432434</v>
          </cell>
          <cell r="J155">
            <v>1.9523809523809523</v>
          </cell>
          <cell r="K155">
            <v>3.25</v>
          </cell>
          <cell r="L155">
            <v>3.3243243243243241</v>
          </cell>
          <cell r="M155">
            <v>3.8986486486486487</v>
          </cell>
          <cell r="N155">
            <v>2.1836734693877551</v>
          </cell>
          <cell r="AE155">
            <v>74.535714285714292</v>
          </cell>
          <cell r="AF155">
            <v>15.071428571428571</v>
          </cell>
          <cell r="AG155">
            <v>10.25</v>
          </cell>
          <cell r="AI155">
            <v>0</v>
          </cell>
          <cell r="AJ155">
            <v>14</v>
          </cell>
          <cell r="AK155">
            <v>17</v>
          </cell>
          <cell r="AL155">
            <v>33</v>
          </cell>
          <cell r="AM155">
            <v>23</v>
          </cell>
          <cell r="AN155">
            <v>32</v>
          </cell>
          <cell r="AO155">
            <v>30</v>
          </cell>
          <cell r="AP155">
            <v>38</v>
          </cell>
          <cell r="AQ155">
            <v>42</v>
          </cell>
          <cell r="BU155">
            <v>25</v>
          </cell>
          <cell r="BV155">
            <v>10</v>
          </cell>
          <cell r="BW155">
            <v>23</v>
          </cell>
          <cell r="BX155">
            <v>17</v>
          </cell>
          <cell r="BY155">
            <v>17</v>
          </cell>
          <cell r="BZ155">
            <v>34</v>
          </cell>
          <cell r="CA155">
            <v>24</v>
          </cell>
        </row>
        <row r="156">
          <cell r="AI156" t="str">
            <v>&lt;0</v>
          </cell>
          <cell r="AJ156">
            <v>23</v>
          </cell>
          <cell r="AK156">
            <v>19</v>
          </cell>
          <cell r="AL156">
            <v>7</v>
          </cell>
          <cell r="AM156">
            <v>10</v>
          </cell>
          <cell r="AN156">
            <v>10</v>
          </cell>
          <cell r="AO156">
            <v>8</v>
          </cell>
          <cell r="AP156">
            <v>7</v>
          </cell>
          <cell r="AQ156">
            <v>2</v>
          </cell>
          <cell r="BU156">
            <v>95</v>
          </cell>
          <cell r="BV156">
            <v>18</v>
          </cell>
          <cell r="BW156">
            <v>85</v>
          </cell>
          <cell r="BX156">
            <v>71</v>
          </cell>
          <cell r="BY156">
            <v>40</v>
          </cell>
          <cell r="BZ156">
            <v>91</v>
          </cell>
          <cell r="CA156">
            <v>53</v>
          </cell>
        </row>
        <row r="157">
          <cell r="AI157" t="str">
            <v>NA / DK</v>
          </cell>
          <cell r="AJ157">
            <v>0</v>
          </cell>
          <cell r="AK157">
            <v>0</v>
          </cell>
          <cell r="AL157">
            <v>19</v>
          </cell>
          <cell r="AM157">
            <v>20</v>
          </cell>
          <cell r="AN157">
            <v>23</v>
          </cell>
          <cell r="AO157">
            <v>20</v>
          </cell>
          <cell r="AP157">
            <v>12</v>
          </cell>
          <cell r="AQ157">
            <v>12</v>
          </cell>
        </row>
        <row r="158">
          <cell r="G158" t="str">
            <v>US</v>
          </cell>
          <cell r="N158" t="str">
            <v>Both</v>
          </cell>
        </row>
        <row r="159">
          <cell r="AJ159" t="str">
            <v>EU</v>
          </cell>
          <cell r="AK159" t="str">
            <v>EU</v>
          </cell>
          <cell r="AL159" t="str">
            <v>EU</v>
          </cell>
          <cell r="AM159" t="str">
            <v>EU</v>
          </cell>
          <cell r="AN159" t="str">
            <v>EU</v>
          </cell>
          <cell r="AO159" t="str">
            <v>EU</v>
          </cell>
          <cell r="AP159" t="str">
            <v>EU</v>
          </cell>
          <cell r="AQ159" t="str">
            <v>EU</v>
          </cell>
        </row>
        <row r="160">
          <cell r="I160" t="str">
            <v>Jul 12 Survey</v>
          </cell>
          <cell r="AI160" t="str">
            <v>&gt;0</v>
          </cell>
          <cell r="AJ160">
            <v>31</v>
          </cell>
          <cell r="AK160">
            <v>23</v>
          </cell>
          <cell r="AL160">
            <v>21</v>
          </cell>
          <cell r="AM160">
            <v>16</v>
          </cell>
          <cell r="AN160">
            <v>15</v>
          </cell>
          <cell r="AO160">
            <v>19</v>
          </cell>
          <cell r="AP160">
            <v>19</v>
          </cell>
          <cell r="AQ160">
            <v>20</v>
          </cell>
        </row>
        <row r="161">
          <cell r="I161" t="str">
            <v>2011A</v>
          </cell>
          <cell r="J161" t="str">
            <v>2012E</v>
          </cell>
          <cell r="AI161">
            <v>0</v>
          </cell>
          <cell r="AJ161">
            <v>5</v>
          </cell>
          <cell r="AK161">
            <v>13</v>
          </cell>
          <cell r="AL161">
            <v>16</v>
          </cell>
          <cell r="AM161">
            <v>17</v>
          </cell>
          <cell r="AN161">
            <v>23</v>
          </cell>
          <cell r="AO161">
            <v>15</v>
          </cell>
          <cell r="AP161">
            <v>21</v>
          </cell>
          <cell r="AQ161">
            <v>15</v>
          </cell>
        </row>
        <row r="162">
          <cell r="H162" t="str">
            <v>Hardware</v>
          </cell>
          <cell r="I162">
            <v>3.3000000000000002E-2</v>
          </cell>
          <cell r="J162">
            <v>3.6363636363636362E-2</v>
          </cell>
          <cell r="O162" t="str">
            <v>Jan 12 Survey</v>
          </cell>
          <cell r="AI162" t="str">
            <v>&lt;0</v>
          </cell>
          <cell r="AJ162">
            <v>14</v>
          </cell>
          <cell r="AK162">
            <v>14</v>
          </cell>
          <cell r="AL162">
            <v>8</v>
          </cell>
          <cell r="AM162">
            <v>10</v>
          </cell>
          <cell r="AN162">
            <v>5</v>
          </cell>
          <cell r="AO162">
            <v>7</v>
          </cell>
          <cell r="AP162">
            <v>4</v>
          </cell>
          <cell r="AQ162">
            <v>8</v>
          </cell>
        </row>
        <row r="163">
          <cell r="H163" t="str">
            <v>Software</v>
          </cell>
          <cell r="I163">
            <v>3.9100999999999997E-2</v>
          </cell>
          <cell r="J163">
            <v>3.7070707070707073E-2</v>
          </cell>
          <cell r="O163" t="str">
            <v>2011A</v>
          </cell>
          <cell r="T163" t="str">
            <v>2012E</v>
          </cell>
          <cell r="AI163" t="str">
            <v>NA / DK</v>
          </cell>
          <cell r="AJ163">
            <v>0</v>
          </cell>
          <cell r="AK163">
            <v>0</v>
          </cell>
          <cell r="AL163">
            <v>5</v>
          </cell>
          <cell r="AM163">
            <v>7</v>
          </cell>
          <cell r="AN163">
            <v>7</v>
          </cell>
          <cell r="AO163">
            <v>9</v>
          </cell>
          <cell r="AP163">
            <v>6</v>
          </cell>
          <cell r="AQ163">
            <v>7</v>
          </cell>
        </row>
        <row r="164">
          <cell r="H164" t="str">
            <v>Communications</v>
          </cell>
          <cell r="I164">
            <v>3.4848484848484851E-2</v>
          </cell>
          <cell r="J164">
            <v>4.9090909090909095E-2</v>
          </cell>
          <cell r="N164" t="str">
            <v>Hardware</v>
          </cell>
          <cell r="O164">
            <v>3.5838926174496646E-2</v>
          </cell>
          <cell r="T164">
            <v>3.2500000000000001E-2</v>
          </cell>
        </row>
        <row r="165">
          <cell r="H165" t="str">
            <v>Services</v>
          </cell>
          <cell r="I165">
            <v>2.489795918367347E-2</v>
          </cell>
          <cell r="J165">
            <v>3.4081632653061224E-2</v>
          </cell>
          <cell r="N165" t="str">
            <v>Software</v>
          </cell>
          <cell r="O165">
            <v>3.4430201342281877E-2</v>
          </cell>
          <cell r="T165">
            <v>3.3243243243243244E-2</v>
          </cell>
          <cell r="AJ165" t="str">
            <v>Total</v>
          </cell>
          <cell r="AK165" t="str">
            <v>Total</v>
          </cell>
          <cell r="AL165" t="str">
            <v>Total</v>
          </cell>
          <cell r="AM165" t="str">
            <v>Total</v>
          </cell>
          <cell r="AN165" t="str">
            <v>Total</v>
          </cell>
          <cell r="AO165" t="str">
            <v>Total</v>
          </cell>
          <cell r="AP165" t="str">
            <v>Total</v>
          </cell>
          <cell r="AQ165" t="str">
            <v>Total</v>
          </cell>
        </row>
        <row r="166">
          <cell r="I166" t="str">
            <v>NOTE: This data includes responses from both US and European CIOs</v>
          </cell>
          <cell r="N166" t="str">
            <v>Communications</v>
          </cell>
          <cell r="O166">
            <v>2.7432432432432433E-2</v>
          </cell>
          <cell r="T166">
            <v>3.8986486486486484E-2</v>
          </cell>
          <cell r="AI166" t="str">
            <v>&gt;0</v>
          </cell>
          <cell r="AJ166">
            <v>94</v>
          </cell>
          <cell r="AK166">
            <v>87</v>
          </cell>
          <cell r="AL166">
            <v>62</v>
          </cell>
          <cell r="AM166">
            <v>63</v>
          </cell>
          <cell r="AN166">
            <v>50</v>
          </cell>
          <cell r="AO166">
            <v>61</v>
          </cell>
          <cell r="AP166">
            <v>62</v>
          </cell>
          <cell r="AQ166">
            <v>64</v>
          </cell>
        </row>
        <row r="167">
          <cell r="N167" t="str">
            <v>Services</v>
          </cell>
          <cell r="O167">
            <v>1.9523809523809523E-2</v>
          </cell>
          <cell r="T167">
            <v>2.1836734693877549E-2</v>
          </cell>
          <cell r="AI167">
            <v>0</v>
          </cell>
          <cell r="AJ167">
            <v>19</v>
          </cell>
          <cell r="AK167">
            <v>30</v>
          </cell>
          <cell r="AL167">
            <v>49</v>
          </cell>
          <cell r="AM167">
            <v>40</v>
          </cell>
          <cell r="AN167">
            <v>55</v>
          </cell>
          <cell r="AO167">
            <v>45</v>
          </cell>
          <cell r="AP167">
            <v>59</v>
          </cell>
          <cell r="AQ167">
            <v>57</v>
          </cell>
        </row>
        <row r="168">
          <cell r="O168" t="str">
            <v>NOTE: This data includes responses from both US and European CIOs</v>
          </cell>
          <cell r="AI168" t="str">
            <v>&lt;0</v>
          </cell>
          <cell r="AJ168">
            <v>37</v>
          </cell>
          <cell r="AK168">
            <v>33</v>
          </cell>
          <cell r="AL168">
            <v>15</v>
          </cell>
          <cell r="AM168">
            <v>20</v>
          </cell>
          <cell r="AN168">
            <v>15</v>
          </cell>
          <cell r="AO168">
            <v>15</v>
          </cell>
          <cell r="AP168">
            <v>11</v>
          </cell>
          <cell r="AQ168">
            <v>10</v>
          </cell>
        </row>
        <row r="169">
          <cell r="AI169" t="str">
            <v>NA / DK</v>
          </cell>
          <cell r="AJ169">
            <v>0</v>
          </cell>
          <cell r="AK169">
            <v>0</v>
          </cell>
          <cell r="AL169">
            <v>24</v>
          </cell>
          <cell r="AM169">
            <v>27</v>
          </cell>
          <cell r="AN169">
            <v>30</v>
          </cell>
          <cell r="AO169">
            <v>29</v>
          </cell>
          <cell r="AP169">
            <v>18</v>
          </cell>
          <cell r="AQ169">
            <v>19</v>
          </cell>
        </row>
        <row r="170">
          <cell r="AJ170">
            <v>2011</v>
          </cell>
          <cell r="AK170">
            <v>2012</v>
          </cell>
          <cell r="AL170">
            <v>2011</v>
          </cell>
          <cell r="AM170">
            <v>2012</v>
          </cell>
          <cell r="AN170">
            <v>2011</v>
          </cell>
          <cell r="AO170">
            <v>2012</v>
          </cell>
          <cell r="AP170">
            <v>2011</v>
          </cell>
          <cell r="AQ170">
            <v>2012</v>
          </cell>
        </row>
        <row r="171">
          <cell r="AI171" t="str">
            <v>Total</v>
          </cell>
          <cell r="AJ171" t="e">
            <v>#REF!</v>
          </cell>
          <cell r="AK171" t="e">
            <v>#REF!</v>
          </cell>
          <cell r="AL171" t="e">
            <v>#REF!</v>
          </cell>
          <cell r="AM171" t="e">
            <v>#REF!</v>
          </cell>
          <cell r="AN171" t="e">
            <v>#REF!</v>
          </cell>
          <cell r="AO171" t="e">
            <v>#REF!</v>
          </cell>
          <cell r="AP171" t="e">
            <v>#REF!</v>
          </cell>
          <cell r="AQ171" t="e">
            <v>#REF!</v>
          </cell>
        </row>
        <row r="172">
          <cell r="AI172" t="str">
            <v>US</v>
          </cell>
          <cell r="AJ172" t="e">
            <v>#REF!</v>
          </cell>
          <cell r="AK172" t="e">
            <v>#REF!</v>
          </cell>
          <cell r="AL172" t="e">
            <v>#REF!</v>
          </cell>
          <cell r="AM172" t="e">
            <v>#REF!</v>
          </cell>
          <cell r="AN172" t="e">
            <v>#REF!</v>
          </cell>
          <cell r="AO172" t="e">
            <v>#REF!</v>
          </cell>
          <cell r="AP172" t="e">
            <v>#REF!</v>
          </cell>
          <cell r="AQ172" t="e">
            <v>#REF!</v>
          </cell>
        </row>
        <row r="173">
          <cell r="AI173" t="str">
            <v>EU</v>
          </cell>
          <cell r="AJ173" t="e">
            <v>#REF!</v>
          </cell>
          <cell r="AK173" t="e">
            <v>#REF!</v>
          </cell>
          <cell r="AL173" t="e">
            <v>#REF!</v>
          </cell>
          <cell r="AM173" t="e">
            <v>#REF!</v>
          </cell>
          <cell r="AN173" t="e">
            <v>#REF!</v>
          </cell>
          <cell r="AO173" t="e">
            <v>#REF!</v>
          </cell>
          <cell r="AP173" t="e">
            <v>#REF!</v>
          </cell>
          <cell r="AQ173" t="e">
            <v>#REF!</v>
          </cell>
        </row>
        <row r="174">
          <cell r="AP174" t="str">
            <v>EU</v>
          </cell>
          <cell r="AQ174" t="str">
            <v>Increase</v>
          </cell>
          <cell r="AR174">
            <v>2</v>
          </cell>
          <cell r="AS174">
            <v>0</v>
          </cell>
          <cell r="AT174">
            <v>1</v>
          </cell>
          <cell r="AU174">
            <v>4</v>
          </cell>
          <cell r="AV174">
            <v>1</v>
          </cell>
          <cell r="AW174">
            <v>1</v>
          </cell>
          <cell r="AX174">
            <v>2</v>
          </cell>
          <cell r="AY174">
            <v>0</v>
          </cell>
          <cell r="AZ174">
            <v>4</v>
          </cell>
          <cell r="BA174">
            <v>2</v>
          </cell>
          <cell r="BB174">
            <v>7</v>
          </cell>
          <cell r="BC174">
            <v>5</v>
          </cell>
          <cell r="BD174">
            <v>4</v>
          </cell>
          <cell r="BE174">
            <v>3</v>
          </cell>
          <cell r="BF174">
            <v>1</v>
          </cell>
          <cell r="BG174">
            <v>2</v>
          </cell>
          <cell r="BH174">
            <v>0</v>
          </cell>
          <cell r="BI174">
            <v>39</v>
          </cell>
        </row>
        <row r="175">
          <cell r="AP175" t="str">
            <v>EU</v>
          </cell>
          <cell r="AQ175" t="str">
            <v>Decrease</v>
          </cell>
          <cell r="AR175">
            <v>2</v>
          </cell>
          <cell r="AS175">
            <v>2</v>
          </cell>
          <cell r="AT175">
            <v>2</v>
          </cell>
          <cell r="AU175">
            <v>2</v>
          </cell>
          <cell r="AV175">
            <v>1</v>
          </cell>
          <cell r="AW175">
            <v>2</v>
          </cell>
          <cell r="AX175">
            <v>3</v>
          </cell>
          <cell r="AY175">
            <v>1</v>
          </cell>
          <cell r="AZ175">
            <v>1</v>
          </cell>
          <cell r="BA175">
            <v>4</v>
          </cell>
          <cell r="BB175">
            <v>5</v>
          </cell>
          <cell r="BC175">
            <v>2</v>
          </cell>
          <cell r="BD175">
            <v>0</v>
          </cell>
          <cell r="BE175">
            <v>1</v>
          </cell>
          <cell r="BF175">
            <v>2</v>
          </cell>
          <cell r="BG175">
            <v>1</v>
          </cell>
          <cell r="BH175">
            <v>0</v>
          </cell>
          <cell r="BI175">
            <v>31</v>
          </cell>
        </row>
        <row r="176">
          <cell r="AP176" t="str">
            <v>EU</v>
          </cell>
          <cell r="AQ176" t="str">
            <v>Flat</v>
          </cell>
          <cell r="AR176">
            <v>11</v>
          </cell>
          <cell r="AS176">
            <v>9</v>
          </cell>
          <cell r="AT176">
            <v>8</v>
          </cell>
          <cell r="AU176">
            <v>9</v>
          </cell>
          <cell r="AV176">
            <v>11</v>
          </cell>
          <cell r="AW176">
            <v>5</v>
          </cell>
          <cell r="AX176">
            <v>12</v>
          </cell>
          <cell r="AY176">
            <v>3</v>
          </cell>
          <cell r="AZ176">
            <v>8</v>
          </cell>
          <cell r="BA176">
            <v>19</v>
          </cell>
          <cell r="BB176">
            <v>15</v>
          </cell>
          <cell r="BC176">
            <v>10</v>
          </cell>
          <cell r="BD176">
            <v>8</v>
          </cell>
          <cell r="BE176">
            <v>8</v>
          </cell>
          <cell r="BF176">
            <v>9</v>
          </cell>
          <cell r="BG176">
            <v>7</v>
          </cell>
          <cell r="BH176">
            <v>7</v>
          </cell>
          <cell r="BI176">
            <v>159</v>
          </cell>
        </row>
        <row r="177">
          <cell r="AP177" t="str">
            <v xml:space="preserve">EU </v>
          </cell>
          <cell r="AQ177" t="str">
            <v>Total</v>
          </cell>
          <cell r="AR177">
            <v>15</v>
          </cell>
          <cell r="AS177">
            <v>11</v>
          </cell>
          <cell r="AT177">
            <v>11</v>
          </cell>
          <cell r="AU177">
            <v>15</v>
          </cell>
          <cell r="AV177">
            <v>13</v>
          </cell>
          <cell r="AW177">
            <v>8</v>
          </cell>
          <cell r="AX177">
            <v>17</v>
          </cell>
          <cell r="AY177">
            <v>4</v>
          </cell>
          <cell r="AZ177">
            <v>13</v>
          </cell>
          <cell r="BA177">
            <v>25</v>
          </cell>
          <cell r="BB177">
            <v>27</v>
          </cell>
          <cell r="BC177">
            <v>17</v>
          </cell>
          <cell r="BD177">
            <v>12</v>
          </cell>
          <cell r="BE177">
            <v>12</v>
          </cell>
          <cell r="BF177">
            <v>12</v>
          </cell>
          <cell r="BG177">
            <v>10</v>
          </cell>
          <cell r="BH177">
            <v>7</v>
          </cell>
          <cell r="BI177">
            <v>229</v>
          </cell>
        </row>
        <row r="179">
          <cell r="AP179" t="str">
            <v>US</v>
          </cell>
          <cell r="AQ179" t="str">
            <v>Increase</v>
          </cell>
          <cell r="AR179">
            <v>5</v>
          </cell>
          <cell r="AS179">
            <v>6</v>
          </cell>
          <cell r="AT179">
            <v>2</v>
          </cell>
          <cell r="AU179">
            <v>3</v>
          </cell>
          <cell r="AV179">
            <v>7</v>
          </cell>
          <cell r="AW179">
            <v>3</v>
          </cell>
          <cell r="AX179">
            <v>8</v>
          </cell>
          <cell r="AY179">
            <v>0</v>
          </cell>
          <cell r="AZ179">
            <v>5</v>
          </cell>
          <cell r="BA179">
            <v>8</v>
          </cell>
          <cell r="BB179">
            <v>13</v>
          </cell>
          <cell r="BC179">
            <v>2</v>
          </cell>
          <cell r="BD179">
            <v>3</v>
          </cell>
          <cell r="BE179">
            <v>1</v>
          </cell>
          <cell r="BF179">
            <v>7</v>
          </cell>
          <cell r="BG179">
            <v>3</v>
          </cell>
          <cell r="BH179">
            <v>1</v>
          </cell>
          <cell r="BI179">
            <v>77</v>
          </cell>
        </row>
        <row r="180">
          <cell r="AP180" t="str">
            <v>US</v>
          </cell>
          <cell r="AQ180" t="str">
            <v>Decrease</v>
          </cell>
          <cell r="AR180">
            <v>4</v>
          </cell>
          <cell r="AS180">
            <v>4</v>
          </cell>
          <cell r="AT180">
            <v>0</v>
          </cell>
          <cell r="AU180">
            <v>1</v>
          </cell>
          <cell r="AV180">
            <v>3</v>
          </cell>
          <cell r="AW180">
            <v>5</v>
          </cell>
          <cell r="AX180">
            <v>5</v>
          </cell>
          <cell r="AY180">
            <v>0</v>
          </cell>
          <cell r="AZ180">
            <v>2</v>
          </cell>
          <cell r="BA180">
            <v>16</v>
          </cell>
          <cell r="BB180">
            <v>8</v>
          </cell>
          <cell r="BC180">
            <v>5</v>
          </cell>
          <cell r="BD180">
            <v>1</v>
          </cell>
          <cell r="BE180">
            <v>1</v>
          </cell>
          <cell r="BF180">
            <v>5</v>
          </cell>
          <cell r="BG180">
            <v>1</v>
          </cell>
          <cell r="BH180">
            <v>2</v>
          </cell>
          <cell r="BI180">
            <v>63</v>
          </cell>
        </row>
        <row r="181">
          <cell r="AP181" t="str">
            <v>US</v>
          </cell>
          <cell r="AQ181" t="str">
            <v>Flat</v>
          </cell>
          <cell r="AR181">
            <v>22</v>
          </cell>
          <cell r="AS181">
            <v>21</v>
          </cell>
          <cell r="AT181">
            <v>7</v>
          </cell>
          <cell r="AU181">
            <v>10</v>
          </cell>
          <cell r="AV181">
            <v>13</v>
          </cell>
          <cell r="AW181">
            <v>15</v>
          </cell>
          <cell r="AX181">
            <v>28</v>
          </cell>
          <cell r="AY181">
            <v>7</v>
          </cell>
          <cell r="AZ181">
            <v>13</v>
          </cell>
          <cell r="BA181">
            <v>25</v>
          </cell>
          <cell r="BB181">
            <v>46</v>
          </cell>
          <cell r="BC181">
            <v>18</v>
          </cell>
          <cell r="BD181">
            <v>4</v>
          </cell>
          <cell r="BE181">
            <v>9</v>
          </cell>
          <cell r="BF181">
            <v>14</v>
          </cell>
          <cell r="BG181">
            <v>14</v>
          </cell>
          <cell r="BH181">
            <v>7</v>
          </cell>
          <cell r="BI181">
            <v>273</v>
          </cell>
        </row>
        <row r="182">
          <cell r="AP182" t="str">
            <v>US</v>
          </cell>
          <cell r="AQ182" t="str">
            <v>Total</v>
          </cell>
          <cell r="AR182">
            <v>31</v>
          </cell>
          <cell r="AS182">
            <v>31</v>
          </cell>
          <cell r="AT182">
            <v>9</v>
          </cell>
          <cell r="AU182">
            <v>14</v>
          </cell>
          <cell r="AV182">
            <v>23</v>
          </cell>
          <cell r="AW182">
            <v>23</v>
          </cell>
          <cell r="AX182">
            <v>41</v>
          </cell>
          <cell r="AY182">
            <v>7</v>
          </cell>
          <cell r="AZ182">
            <v>20</v>
          </cell>
          <cell r="BA182">
            <v>49</v>
          </cell>
          <cell r="BB182">
            <v>67</v>
          </cell>
          <cell r="BC182">
            <v>25</v>
          </cell>
          <cell r="BD182">
            <v>8</v>
          </cell>
          <cell r="BE182">
            <v>11</v>
          </cell>
          <cell r="BF182">
            <v>26</v>
          </cell>
          <cell r="BG182">
            <v>18</v>
          </cell>
          <cell r="BH182">
            <v>10</v>
          </cell>
          <cell r="BI182">
            <v>413</v>
          </cell>
        </row>
        <row r="184">
          <cell r="AP184" t="str">
            <v>Total</v>
          </cell>
          <cell r="AQ184" t="str">
            <v>Increase</v>
          </cell>
          <cell r="AR184">
            <v>7</v>
          </cell>
          <cell r="AS184">
            <v>6</v>
          </cell>
          <cell r="AT184">
            <v>3</v>
          </cell>
          <cell r="AU184">
            <v>7</v>
          </cell>
          <cell r="AV184">
            <v>8</v>
          </cell>
          <cell r="AW184">
            <v>4</v>
          </cell>
          <cell r="AX184">
            <v>10</v>
          </cell>
          <cell r="AY184">
            <v>0</v>
          </cell>
          <cell r="AZ184">
            <v>9</v>
          </cell>
          <cell r="BA184">
            <v>10</v>
          </cell>
          <cell r="BB184">
            <v>20</v>
          </cell>
          <cell r="BC184">
            <v>7</v>
          </cell>
          <cell r="BD184">
            <v>7</v>
          </cell>
          <cell r="BE184">
            <v>4</v>
          </cell>
          <cell r="BF184">
            <v>8</v>
          </cell>
          <cell r="BG184">
            <v>5</v>
          </cell>
          <cell r="BH184">
            <v>1</v>
          </cell>
          <cell r="BI184">
            <v>116</v>
          </cell>
        </row>
        <row r="185">
          <cell r="AP185" t="str">
            <v>Total</v>
          </cell>
          <cell r="AQ185" t="str">
            <v>Decrease</v>
          </cell>
          <cell r="AR185">
            <v>6</v>
          </cell>
          <cell r="AS185">
            <v>6</v>
          </cell>
          <cell r="AT185">
            <v>2</v>
          </cell>
          <cell r="AU185">
            <v>3</v>
          </cell>
          <cell r="AV185">
            <v>4</v>
          </cell>
          <cell r="AW185">
            <v>7</v>
          </cell>
          <cell r="AX185">
            <v>8</v>
          </cell>
          <cell r="AY185">
            <v>1</v>
          </cell>
          <cell r="AZ185">
            <v>3</v>
          </cell>
          <cell r="BA185">
            <v>20</v>
          </cell>
          <cell r="BB185">
            <v>13</v>
          </cell>
          <cell r="BC185">
            <v>7</v>
          </cell>
          <cell r="BD185">
            <v>1</v>
          </cell>
          <cell r="BE185">
            <v>2</v>
          </cell>
          <cell r="BF185">
            <v>7</v>
          </cell>
          <cell r="BG185">
            <v>2</v>
          </cell>
          <cell r="BH185">
            <v>2</v>
          </cell>
          <cell r="BI185">
            <v>94</v>
          </cell>
        </row>
        <row r="186">
          <cell r="G186" t="str">
            <v>Europe</v>
          </cell>
          <cell r="AP186" t="str">
            <v>Total</v>
          </cell>
          <cell r="AQ186" t="str">
            <v>Flat</v>
          </cell>
          <cell r="AR186">
            <v>33</v>
          </cell>
          <cell r="AS186">
            <v>30</v>
          </cell>
          <cell r="AT186">
            <v>15</v>
          </cell>
          <cell r="AU186">
            <v>19</v>
          </cell>
          <cell r="AV186">
            <v>24</v>
          </cell>
          <cell r="AW186">
            <v>20</v>
          </cell>
          <cell r="AX186">
            <v>40</v>
          </cell>
          <cell r="AY186">
            <v>10</v>
          </cell>
          <cell r="AZ186">
            <v>21</v>
          </cell>
          <cell r="BA186">
            <v>44</v>
          </cell>
          <cell r="BB186">
            <v>61</v>
          </cell>
          <cell r="BC186">
            <v>28</v>
          </cell>
          <cell r="BD186">
            <v>12</v>
          </cell>
          <cell r="BE186">
            <v>17</v>
          </cell>
          <cell r="BF186">
            <v>23</v>
          </cell>
          <cell r="BG186">
            <v>21</v>
          </cell>
          <cell r="BH186">
            <v>14</v>
          </cell>
          <cell r="BI186">
            <v>432</v>
          </cell>
        </row>
        <row r="187">
          <cell r="H187" t="str">
            <v>Jan 12 Survey</v>
          </cell>
          <cell r="AP187" t="str">
            <v>Total</v>
          </cell>
          <cell r="AQ187" t="str">
            <v>Total</v>
          </cell>
          <cell r="AR187">
            <v>46</v>
          </cell>
          <cell r="AS187">
            <v>42</v>
          </cell>
          <cell r="AT187">
            <v>20</v>
          </cell>
          <cell r="AU187">
            <v>29</v>
          </cell>
          <cell r="AV187">
            <v>36</v>
          </cell>
          <cell r="AW187">
            <v>31</v>
          </cell>
          <cell r="AX187">
            <v>58</v>
          </cell>
          <cell r="AY187">
            <v>11</v>
          </cell>
          <cell r="AZ187">
            <v>33</v>
          </cell>
          <cell r="BA187">
            <v>74</v>
          </cell>
          <cell r="BB187">
            <v>94</v>
          </cell>
          <cell r="BC187">
            <v>42</v>
          </cell>
          <cell r="BD187">
            <v>20</v>
          </cell>
          <cell r="BE187">
            <v>23</v>
          </cell>
          <cell r="BF187">
            <v>38</v>
          </cell>
          <cell r="BG187">
            <v>28</v>
          </cell>
          <cell r="BH187">
            <v>17</v>
          </cell>
          <cell r="BI187">
            <v>642</v>
          </cell>
        </row>
        <row r="188">
          <cell r="H188" t="str">
            <v>2011A</v>
          </cell>
          <cell r="I188" t="str">
            <v>2012E</v>
          </cell>
          <cell r="AR188" t="str">
            <v>S7 Accenture</v>
          </cell>
          <cell r="AS188" t="str">
            <v>S7 ACS (Xerox)</v>
          </cell>
          <cell r="AT188" t="str">
            <v>S7 Atos</v>
          </cell>
          <cell r="AU188" t="str">
            <v>S7 Cap Gemini</v>
          </cell>
          <cell r="AV188" t="str">
            <v>S7 Cognizant</v>
          </cell>
          <cell r="AW188" t="str">
            <v>S7 CSC</v>
          </cell>
          <cell r="AX188" t="str">
            <v>S7 Deloitte</v>
          </cell>
          <cell r="AY188" t="str">
            <v>S7 ExlService Holdings</v>
          </cell>
          <cell r="AZ188" t="str">
            <v>S7 Genpact</v>
          </cell>
          <cell r="BA188" t="str">
            <v>S7 Hewlett Packard</v>
          </cell>
          <cell r="BB188" t="str">
            <v>S7 IBM</v>
          </cell>
          <cell r="BC188" t="str">
            <v>S7 Infosys</v>
          </cell>
          <cell r="BD188" t="str">
            <v>S7 Logica</v>
          </cell>
          <cell r="BE188" t="str">
            <v>S7 KPMG</v>
          </cell>
          <cell r="BF188" t="str">
            <v>S7 Tata Consultancy Services</v>
          </cell>
          <cell r="BG188" t="str">
            <v>S7 Wipro</v>
          </cell>
          <cell r="BH188" t="str">
            <v>S7 WNS Service Holdings</v>
          </cell>
        </row>
        <row r="189">
          <cell r="G189" t="str">
            <v>Hardware</v>
          </cell>
          <cell r="H189">
            <v>4.1632653061224489E-2</v>
          </cell>
          <cell r="I189">
            <v>2.4693877551020406E-2</v>
          </cell>
          <cell r="AP189" t="str">
            <v>EU</v>
          </cell>
          <cell r="AQ189" t="str">
            <v>Increase</v>
          </cell>
          <cell r="AR189">
            <v>0.13333333333333333</v>
          </cell>
          <cell r="AS189">
            <v>0</v>
          </cell>
          <cell r="AT189">
            <v>9.0909090909090912E-2</v>
          </cell>
          <cell r="AU189">
            <v>0.26666666666666666</v>
          </cell>
          <cell r="AV189">
            <v>7.6923076923076927E-2</v>
          </cell>
          <cell r="AW189">
            <v>0.125</v>
          </cell>
          <cell r="AX189">
            <v>0.11764705882352941</v>
          </cell>
          <cell r="AY189">
            <v>0</v>
          </cell>
          <cell r="AZ189">
            <v>0.30769230769230771</v>
          </cell>
          <cell r="BA189">
            <v>0.08</v>
          </cell>
          <cell r="BB189">
            <v>0.25925925925925924</v>
          </cell>
          <cell r="BC189">
            <v>0.29411764705882354</v>
          </cell>
          <cell r="BD189">
            <v>0.33333333333333331</v>
          </cell>
          <cell r="BE189">
            <v>0.25</v>
          </cell>
          <cell r="BF189">
            <v>8.3333333333333329E-2</v>
          </cell>
          <cell r="BG189">
            <v>0.2</v>
          </cell>
          <cell r="BH189">
            <v>0</v>
          </cell>
          <cell r="BI189">
            <v>0.1703056768558952</v>
          </cell>
        </row>
        <row r="190">
          <cell r="G190" t="str">
            <v>Software</v>
          </cell>
          <cell r="H190">
            <v>2.489795918367347E-2</v>
          </cell>
          <cell r="I190">
            <v>2.5510204081632654E-2</v>
          </cell>
          <cell r="AP190" t="str">
            <v>EU</v>
          </cell>
          <cell r="AQ190" t="str">
            <v>Decrease</v>
          </cell>
          <cell r="AR190">
            <v>0.13333333333333333</v>
          </cell>
          <cell r="AS190">
            <v>0.18181818181818182</v>
          </cell>
          <cell r="AT190">
            <v>0.18181818181818182</v>
          </cell>
          <cell r="AU190">
            <v>0.13333333333333333</v>
          </cell>
          <cell r="AV190">
            <v>7.6923076923076927E-2</v>
          </cell>
          <cell r="AW190">
            <v>0.25</v>
          </cell>
          <cell r="AX190">
            <v>0.17647058823529413</v>
          </cell>
          <cell r="AY190">
            <v>0.25</v>
          </cell>
          <cell r="AZ190">
            <v>7.6923076923076927E-2</v>
          </cell>
          <cell r="BA190">
            <v>0.16</v>
          </cell>
          <cell r="BB190">
            <v>0.18518518518518517</v>
          </cell>
          <cell r="BC190">
            <v>0.11764705882352941</v>
          </cell>
          <cell r="BD190">
            <v>0</v>
          </cell>
          <cell r="BE190">
            <v>8.3333333333333329E-2</v>
          </cell>
          <cell r="BF190">
            <v>0.16666666666666666</v>
          </cell>
          <cell r="BG190">
            <v>0.1</v>
          </cell>
          <cell r="BH190">
            <v>0</v>
          </cell>
          <cell r="BI190">
            <v>0.13537117903930132</v>
          </cell>
        </row>
        <row r="191">
          <cell r="G191" t="str">
            <v>Communications</v>
          </cell>
          <cell r="H191">
            <v>1.2448979591836735E-2</v>
          </cell>
          <cell r="I191">
            <v>1.8571428571428572E-2</v>
          </cell>
          <cell r="AP191" t="str">
            <v>EU</v>
          </cell>
          <cell r="AQ191" t="str">
            <v>Flat</v>
          </cell>
          <cell r="AR191">
            <v>0.73333333333333328</v>
          </cell>
          <cell r="AS191">
            <v>0.81818181818181823</v>
          </cell>
          <cell r="AT191">
            <v>0.72727272727272729</v>
          </cell>
          <cell r="AU191">
            <v>0.6</v>
          </cell>
          <cell r="AV191">
            <v>0.84615384615384615</v>
          </cell>
          <cell r="AW191">
            <v>0.625</v>
          </cell>
          <cell r="AX191">
            <v>0.70588235294117652</v>
          </cell>
          <cell r="AY191">
            <v>0.75</v>
          </cell>
          <cell r="AZ191">
            <v>0.61538461538461542</v>
          </cell>
          <cell r="BA191">
            <v>0.76</v>
          </cell>
          <cell r="BB191">
            <v>0.55555555555555558</v>
          </cell>
          <cell r="BC191">
            <v>0.58823529411764708</v>
          </cell>
          <cell r="BD191">
            <v>0.66666666666666663</v>
          </cell>
          <cell r="BE191">
            <v>0.66666666666666663</v>
          </cell>
          <cell r="BF191">
            <v>0.75</v>
          </cell>
          <cell r="BG191">
            <v>0.7</v>
          </cell>
          <cell r="BH191">
            <v>1</v>
          </cell>
          <cell r="BI191">
            <v>0.69432314410480345</v>
          </cell>
        </row>
        <row r="192">
          <cell r="G192" t="str">
            <v>Services</v>
          </cell>
          <cell r="H192">
            <v>8.7755102040816321E-3</v>
          </cell>
          <cell r="I192">
            <v>-2.6530612244897961E-3</v>
          </cell>
          <cell r="AP192" t="str">
            <v>EU</v>
          </cell>
          <cell r="AQ192" t="str">
            <v>Net</v>
          </cell>
          <cell r="AR192">
            <v>0</v>
          </cell>
          <cell r="AS192">
            <v>-0.18181818181818182</v>
          </cell>
          <cell r="AT192">
            <v>-9.0909090909090912E-2</v>
          </cell>
          <cell r="AU192">
            <v>0.13333333333333333</v>
          </cell>
          <cell r="AV192">
            <v>0</v>
          </cell>
          <cell r="AW192">
            <v>-0.125</v>
          </cell>
          <cell r="AX192">
            <v>-5.8823529411764719E-2</v>
          </cell>
          <cell r="AY192">
            <v>-0.25</v>
          </cell>
          <cell r="AZ192">
            <v>0.23076923076923078</v>
          </cell>
          <cell r="BA192">
            <v>-0.08</v>
          </cell>
          <cell r="BB192">
            <v>7.407407407407407E-2</v>
          </cell>
          <cell r="BC192">
            <v>0.17647058823529413</v>
          </cell>
          <cell r="BD192">
            <v>0.33333333333333331</v>
          </cell>
          <cell r="BE192">
            <v>0.16666666666666669</v>
          </cell>
          <cell r="BF192">
            <v>-8.3333333333333329E-2</v>
          </cell>
          <cell r="BG192">
            <v>0.1</v>
          </cell>
          <cell r="BH192">
            <v>0</v>
          </cell>
          <cell r="BI192">
            <v>3.4934497816593885E-2</v>
          </cell>
        </row>
        <row r="193">
          <cell r="H193" t="str">
            <v>NOTE: This data includes responses from both US and European CIOs</v>
          </cell>
          <cell r="AP193" t="str">
            <v xml:space="preserve">EU </v>
          </cell>
          <cell r="AQ193" t="str">
            <v>Total</v>
          </cell>
          <cell r="AR193">
            <v>1</v>
          </cell>
          <cell r="AS193">
            <v>1</v>
          </cell>
          <cell r="AT193">
            <v>1</v>
          </cell>
          <cell r="AU193">
            <v>1</v>
          </cell>
          <cell r="AV193">
            <v>1</v>
          </cell>
          <cell r="AW193">
            <v>1</v>
          </cell>
          <cell r="AX193">
            <v>1</v>
          </cell>
          <cell r="AY193">
            <v>1</v>
          </cell>
          <cell r="AZ193">
            <v>1</v>
          </cell>
          <cell r="BA193">
            <v>1</v>
          </cell>
          <cell r="BB193">
            <v>1</v>
          </cell>
          <cell r="BC193">
            <v>1</v>
          </cell>
          <cell r="BD193">
            <v>1</v>
          </cell>
          <cell r="BE193">
            <v>1</v>
          </cell>
          <cell r="BF193">
            <v>1</v>
          </cell>
          <cell r="BG193">
            <v>1</v>
          </cell>
          <cell r="BH193">
            <v>1</v>
          </cell>
          <cell r="BI193">
            <v>1</v>
          </cell>
        </row>
        <row r="195">
          <cell r="AP195" t="str">
            <v>US</v>
          </cell>
          <cell r="AQ195" t="str">
            <v>Increase</v>
          </cell>
          <cell r="AR195">
            <v>0.16129032258064516</v>
          </cell>
          <cell r="AS195">
            <v>0.19354838709677419</v>
          </cell>
          <cell r="AT195">
            <v>0.22222222222222221</v>
          </cell>
          <cell r="AU195">
            <v>0.21428571428571427</v>
          </cell>
          <cell r="AV195">
            <v>0.30434782608695654</v>
          </cell>
          <cell r="AW195">
            <v>0.13043478260869565</v>
          </cell>
          <cell r="AX195">
            <v>0.1951219512195122</v>
          </cell>
          <cell r="AY195">
            <v>0</v>
          </cell>
          <cell r="AZ195">
            <v>0.25</v>
          </cell>
          <cell r="BA195">
            <v>0.16326530612244897</v>
          </cell>
          <cell r="BB195">
            <v>0.19402985074626866</v>
          </cell>
          <cell r="BC195">
            <v>0.08</v>
          </cell>
          <cell r="BD195">
            <v>0.375</v>
          </cell>
          <cell r="BE195">
            <v>9.0909090909090912E-2</v>
          </cell>
          <cell r="BF195">
            <v>0.26923076923076922</v>
          </cell>
          <cell r="BG195">
            <v>0.16666666666666666</v>
          </cell>
          <cell r="BH195">
            <v>0.1</v>
          </cell>
          <cell r="BI195">
            <v>0.1864406779661017</v>
          </cell>
        </row>
        <row r="196">
          <cell r="AP196" t="str">
            <v>US</v>
          </cell>
          <cell r="AQ196" t="str">
            <v>Decrease</v>
          </cell>
          <cell r="AR196">
            <v>0.12903225806451613</v>
          </cell>
          <cell r="AS196">
            <v>0.12903225806451613</v>
          </cell>
          <cell r="AT196">
            <v>0</v>
          </cell>
          <cell r="AU196">
            <v>7.1428571428571425E-2</v>
          </cell>
          <cell r="AV196">
            <v>0.13043478260869565</v>
          </cell>
          <cell r="AW196">
            <v>0.21739130434782608</v>
          </cell>
          <cell r="AX196">
            <v>0.12195121951219512</v>
          </cell>
          <cell r="AY196">
            <v>0</v>
          </cell>
          <cell r="AZ196">
            <v>0.1</v>
          </cell>
          <cell r="BA196">
            <v>0.32653061224489793</v>
          </cell>
          <cell r="BB196">
            <v>0.11940298507462686</v>
          </cell>
          <cell r="BC196">
            <v>0.2</v>
          </cell>
          <cell r="BD196">
            <v>0.125</v>
          </cell>
          <cell r="BE196">
            <v>9.0909090909090912E-2</v>
          </cell>
          <cell r="BF196">
            <v>0.19230769230769232</v>
          </cell>
          <cell r="BG196">
            <v>5.5555555555555552E-2</v>
          </cell>
          <cell r="BH196">
            <v>0.2</v>
          </cell>
          <cell r="BI196">
            <v>0.15254237288135594</v>
          </cell>
        </row>
        <row r="197">
          <cell r="AP197" t="str">
            <v>US</v>
          </cell>
          <cell r="AQ197" t="str">
            <v>Flat</v>
          </cell>
          <cell r="AR197">
            <v>0.70967741935483875</v>
          </cell>
          <cell r="AS197">
            <v>0.67741935483870963</v>
          </cell>
          <cell r="AT197">
            <v>0.77777777777777779</v>
          </cell>
          <cell r="AU197">
            <v>0.7142857142857143</v>
          </cell>
          <cell r="AV197">
            <v>0.56521739130434778</v>
          </cell>
          <cell r="AW197">
            <v>0.65217391304347827</v>
          </cell>
          <cell r="AX197">
            <v>0.68292682926829273</v>
          </cell>
          <cell r="AY197">
            <v>1</v>
          </cell>
          <cell r="AZ197">
            <v>0.65</v>
          </cell>
          <cell r="BA197">
            <v>0.51020408163265307</v>
          </cell>
          <cell r="BB197">
            <v>0.68656716417910446</v>
          </cell>
          <cell r="BC197">
            <v>0.72</v>
          </cell>
          <cell r="BD197">
            <v>0.5</v>
          </cell>
          <cell r="BE197">
            <v>0.81818181818181823</v>
          </cell>
          <cell r="BF197">
            <v>0.53846153846153844</v>
          </cell>
          <cell r="BG197">
            <v>0.77777777777777779</v>
          </cell>
          <cell r="BH197">
            <v>0.7</v>
          </cell>
          <cell r="BI197">
            <v>0.66101694915254239</v>
          </cell>
        </row>
        <row r="198">
          <cell r="AP198" t="str">
            <v>US</v>
          </cell>
          <cell r="AQ198" t="str">
            <v>Net</v>
          </cell>
          <cell r="AR198">
            <v>3.2258064516129031E-2</v>
          </cell>
          <cell r="AS198">
            <v>6.4516129032258063E-2</v>
          </cell>
          <cell r="AT198">
            <v>0.22222222222222221</v>
          </cell>
          <cell r="AU198">
            <v>0.14285714285714285</v>
          </cell>
          <cell r="AV198">
            <v>0.17391304347826089</v>
          </cell>
          <cell r="AW198">
            <v>-8.6956521739130432E-2</v>
          </cell>
          <cell r="AX198">
            <v>7.3170731707317083E-2</v>
          </cell>
          <cell r="AY198">
            <v>0</v>
          </cell>
          <cell r="AZ198">
            <v>0.15</v>
          </cell>
          <cell r="BA198">
            <v>-0.16326530612244897</v>
          </cell>
          <cell r="BB198">
            <v>7.4626865671641798E-2</v>
          </cell>
          <cell r="BC198">
            <v>-0.12000000000000001</v>
          </cell>
          <cell r="BD198">
            <v>0.25</v>
          </cell>
          <cell r="BE198">
            <v>0</v>
          </cell>
          <cell r="BF198">
            <v>7.69230769230769E-2</v>
          </cell>
          <cell r="BG198">
            <v>0.1111111111111111</v>
          </cell>
          <cell r="BH198">
            <v>-0.1</v>
          </cell>
          <cell r="BI198">
            <v>3.3898305084745756E-2</v>
          </cell>
        </row>
        <row r="199">
          <cell r="AP199" t="str">
            <v>US</v>
          </cell>
          <cell r="AQ199" t="str">
            <v>Total</v>
          </cell>
          <cell r="AR199">
            <v>1</v>
          </cell>
          <cell r="AS199">
            <v>1</v>
          </cell>
          <cell r="AT199">
            <v>1</v>
          </cell>
          <cell r="AU199">
            <v>1</v>
          </cell>
          <cell r="AV199">
            <v>1</v>
          </cell>
          <cell r="AW199">
            <v>1</v>
          </cell>
          <cell r="AX199">
            <v>1</v>
          </cell>
          <cell r="AY199">
            <v>1</v>
          </cell>
          <cell r="AZ199">
            <v>1</v>
          </cell>
          <cell r="BA199">
            <v>1</v>
          </cell>
          <cell r="BB199">
            <v>1</v>
          </cell>
          <cell r="BC199">
            <v>1</v>
          </cell>
          <cell r="BD199">
            <v>1</v>
          </cell>
          <cell r="BE199">
            <v>1</v>
          </cell>
          <cell r="BF199">
            <v>1</v>
          </cell>
          <cell r="BG199">
            <v>1</v>
          </cell>
          <cell r="BH199">
            <v>1</v>
          </cell>
          <cell r="BI199">
            <v>1</v>
          </cell>
        </row>
        <row r="201">
          <cell r="AP201" t="str">
            <v>Total</v>
          </cell>
          <cell r="AQ201" t="str">
            <v>Increase</v>
          </cell>
          <cell r="AR201">
            <v>0.15217391304347827</v>
          </cell>
          <cell r="AS201">
            <v>0.14285714285714285</v>
          </cell>
          <cell r="AT201">
            <v>0.15</v>
          </cell>
          <cell r="AU201">
            <v>0.2413793103448276</v>
          </cell>
          <cell r="AV201">
            <v>0.22222222222222221</v>
          </cell>
          <cell r="AW201">
            <v>0.12903225806451613</v>
          </cell>
          <cell r="AX201">
            <v>0.17241379310344829</v>
          </cell>
          <cell r="AY201">
            <v>0</v>
          </cell>
          <cell r="AZ201">
            <v>0.27272727272727271</v>
          </cell>
          <cell r="BA201">
            <v>0.13513513513513514</v>
          </cell>
          <cell r="BB201">
            <v>0.21276595744680851</v>
          </cell>
          <cell r="BC201">
            <v>0.16666666666666666</v>
          </cell>
          <cell r="BD201">
            <v>0.35</v>
          </cell>
          <cell r="BE201">
            <v>0.17391304347826086</v>
          </cell>
          <cell r="BF201">
            <v>0.21052631578947367</v>
          </cell>
          <cell r="BG201">
            <v>0.17857142857142858</v>
          </cell>
          <cell r="BH201">
            <v>5.8823529411764705E-2</v>
          </cell>
          <cell r="BI201">
            <v>0.18068535825545171</v>
          </cell>
        </row>
        <row r="202">
          <cell r="AP202" t="str">
            <v>Total</v>
          </cell>
          <cell r="AQ202" t="str">
            <v>Decrease</v>
          </cell>
          <cell r="AR202">
            <v>0.13043478260869565</v>
          </cell>
          <cell r="AS202">
            <v>0.14285714285714285</v>
          </cell>
          <cell r="AT202">
            <v>0.1</v>
          </cell>
          <cell r="AU202">
            <v>0.10344827586206896</v>
          </cell>
          <cell r="AV202">
            <v>0.1111111111111111</v>
          </cell>
          <cell r="AW202">
            <v>0.22580645161290322</v>
          </cell>
          <cell r="AX202">
            <v>0.13793103448275862</v>
          </cell>
          <cell r="AY202">
            <v>9.0909090909090912E-2</v>
          </cell>
          <cell r="AZ202">
            <v>9.0909090909090912E-2</v>
          </cell>
          <cell r="BA202">
            <v>0.27027027027027029</v>
          </cell>
          <cell r="BB202">
            <v>0.13829787234042554</v>
          </cell>
          <cell r="BC202">
            <v>0.16666666666666666</v>
          </cell>
          <cell r="BD202">
            <v>0.05</v>
          </cell>
          <cell r="BE202">
            <v>8.6956521739130432E-2</v>
          </cell>
          <cell r="BF202">
            <v>0.18421052631578946</v>
          </cell>
          <cell r="BG202">
            <v>7.1428571428571425E-2</v>
          </cell>
          <cell r="BH202">
            <v>0.11764705882352941</v>
          </cell>
          <cell r="BI202">
            <v>0.14641744548286603</v>
          </cell>
        </row>
        <row r="203">
          <cell r="AP203" t="str">
            <v>Total</v>
          </cell>
          <cell r="AQ203" t="str">
            <v>Flat</v>
          </cell>
          <cell r="AR203">
            <v>0.71739130434782605</v>
          </cell>
          <cell r="AS203">
            <v>0.7142857142857143</v>
          </cell>
          <cell r="AT203">
            <v>0.75</v>
          </cell>
          <cell r="AU203">
            <v>0.65517241379310343</v>
          </cell>
          <cell r="AV203">
            <v>0.66666666666666663</v>
          </cell>
          <cell r="AW203">
            <v>0.64516129032258063</v>
          </cell>
          <cell r="AX203">
            <v>0.68965517241379315</v>
          </cell>
          <cell r="AY203">
            <v>0.90909090909090906</v>
          </cell>
          <cell r="AZ203">
            <v>0.63636363636363635</v>
          </cell>
          <cell r="BA203">
            <v>0.59459459459459463</v>
          </cell>
          <cell r="BB203">
            <v>0.64893617021276595</v>
          </cell>
          <cell r="BC203">
            <v>0.66666666666666663</v>
          </cell>
          <cell r="BD203">
            <v>0.6</v>
          </cell>
          <cell r="BE203">
            <v>0.73913043478260865</v>
          </cell>
          <cell r="BF203">
            <v>0.60526315789473684</v>
          </cell>
          <cell r="BG203">
            <v>0.75</v>
          </cell>
          <cell r="BH203">
            <v>0.82352941176470584</v>
          </cell>
          <cell r="BI203">
            <v>0.67289719626168221</v>
          </cell>
        </row>
        <row r="204">
          <cell r="AP204" t="str">
            <v>Total</v>
          </cell>
          <cell r="AQ204" t="str">
            <v>Net</v>
          </cell>
          <cell r="AR204">
            <v>2.1739130434782622E-2</v>
          </cell>
          <cell r="AS204">
            <v>0</v>
          </cell>
          <cell r="AT204">
            <v>4.9999999999999989E-2</v>
          </cell>
          <cell r="AU204">
            <v>0.13793103448275862</v>
          </cell>
          <cell r="AV204">
            <v>0.1111111111111111</v>
          </cell>
          <cell r="AW204">
            <v>-9.6774193548387094E-2</v>
          </cell>
          <cell r="AX204">
            <v>3.4482758620689669E-2</v>
          </cell>
          <cell r="AY204">
            <v>-9.0909090909090912E-2</v>
          </cell>
          <cell r="AZ204">
            <v>0.1818181818181818</v>
          </cell>
          <cell r="BA204">
            <v>-0.13513513513513514</v>
          </cell>
          <cell r="BB204">
            <v>7.4468085106382975E-2</v>
          </cell>
          <cell r="BC204">
            <v>0</v>
          </cell>
          <cell r="BD204">
            <v>0.3</v>
          </cell>
          <cell r="BE204">
            <v>8.6956521739130432E-2</v>
          </cell>
          <cell r="BF204">
            <v>2.6315789473684209E-2</v>
          </cell>
          <cell r="BG204">
            <v>0.10714285714285715</v>
          </cell>
          <cell r="BH204">
            <v>-5.8823529411764705E-2</v>
          </cell>
          <cell r="BI204">
            <v>3.4267912772585674E-2</v>
          </cell>
        </row>
        <row r="205">
          <cell r="AP205" t="str">
            <v>Total</v>
          </cell>
          <cell r="AQ205" t="str">
            <v>Total</v>
          </cell>
          <cell r="AR205">
            <v>1</v>
          </cell>
          <cell r="AS205">
            <v>1</v>
          </cell>
          <cell r="AT205">
            <v>1</v>
          </cell>
          <cell r="AU205">
            <v>1</v>
          </cell>
          <cell r="AV205">
            <v>1</v>
          </cell>
          <cell r="AW205">
            <v>1</v>
          </cell>
          <cell r="AX205">
            <v>1</v>
          </cell>
          <cell r="AY205">
            <v>1</v>
          </cell>
          <cell r="AZ205">
            <v>1</v>
          </cell>
          <cell r="BA205">
            <v>1</v>
          </cell>
          <cell r="BB205">
            <v>1</v>
          </cell>
          <cell r="BC205">
            <v>1</v>
          </cell>
          <cell r="BD205">
            <v>1</v>
          </cell>
          <cell r="BE205">
            <v>1</v>
          </cell>
          <cell r="BF205">
            <v>1</v>
          </cell>
          <cell r="BG205">
            <v>1</v>
          </cell>
          <cell r="BH205">
            <v>1</v>
          </cell>
          <cell r="BI205">
            <v>1</v>
          </cell>
        </row>
        <row r="207">
          <cell r="AR207" t="str">
            <v>S7 Accenture</v>
          </cell>
          <cell r="AS207" t="str">
            <v>ACS (XRX)</v>
          </cell>
          <cell r="AT207" t="str">
            <v>S7 Atos</v>
          </cell>
          <cell r="AU207" t="str">
            <v>S7 Cap Gemini</v>
          </cell>
          <cell r="AV207" t="str">
            <v>S7 Cognizant</v>
          </cell>
          <cell r="AW207" t="str">
            <v>S7 CSC</v>
          </cell>
          <cell r="AX207" t="str">
            <v>S7 Deloitte</v>
          </cell>
          <cell r="AY207" t="str">
            <v>S7 ExlService Holdings</v>
          </cell>
          <cell r="AZ207" t="str">
            <v>S7 Genpact</v>
          </cell>
          <cell r="BA207" t="str">
            <v>S7 Hewlett Packard</v>
          </cell>
          <cell r="BB207" t="str">
            <v>S7 IBM</v>
          </cell>
          <cell r="BC207" t="str">
            <v>S7 Infosys</v>
          </cell>
          <cell r="BD207" t="str">
            <v>S7 Logica</v>
          </cell>
          <cell r="BE207" t="str">
            <v>S7 KPMG</v>
          </cell>
          <cell r="BF207" t="str">
            <v>S7 Tata Consultancy Services</v>
          </cell>
          <cell r="BG207" t="str">
            <v>S7 Wipro</v>
          </cell>
          <cell r="BH207" t="str">
            <v>S7 WNS Service Holdings</v>
          </cell>
        </row>
        <row r="208">
          <cell r="AQ208" t="str">
            <v>EU Net</v>
          </cell>
          <cell r="AR208">
            <v>0</v>
          </cell>
          <cell r="AS208">
            <v>-0.18181818181818182</v>
          </cell>
          <cell r="AT208">
            <v>-9.0909090909090912E-2</v>
          </cell>
          <cell r="AU208">
            <v>0.13333333333333333</v>
          </cell>
          <cell r="AV208">
            <v>0</v>
          </cell>
          <cell r="AW208">
            <v>-0.125</v>
          </cell>
          <cell r="AX208">
            <v>-5.8823529411764719E-2</v>
          </cell>
          <cell r="AY208">
            <v>-0.25</v>
          </cell>
          <cell r="AZ208">
            <v>0.23076923076923078</v>
          </cell>
          <cell r="BA208">
            <v>-0.08</v>
          </cell>
          <cell r="BB208">
            <v>7.407407407407407E-2</v>
          </cell>
          <cell r="BC208">
            <v>0.17647058823529413</v>
          </cell>
          <cell r="BD208">
            <v>0.33333333333333331</v>
          </cell>
          <cell r="BE208">
            <v>0.16666666666666669</v>
          </cell>
          <cell r="BF208">
            <v>-8.3333333333333329E-2</v>
          </cell>
          <cell r="BG208">
            <v>0.1</v>
          </cell>
          <cell r="BH208">
            <v>0</v>
          </cell>
        </row>
        <row r="209">
          <cell r="AQ209" t="str">
            <v>US Net</v>
          </cell>
          <cell r="AR209">
            <v>3.2258064516129031E-2</v>
          </cell>
          <cell r="AS209">
            <v>6.4516129032258063E-2</v>
          </cell>
          <cell r="AT209">
            <v>0.22222222222222221</v>
          </cell>
          <cell r="AU209">
            <v>0.14285714285714285</v>
          </cell>
          <cell r="AV209">
            <v>0.17391304347826089</v>
          </cell>
          <cell r="AW209">
            <v>-8.6956521739130432E-2</v>
          </cell>
          <cell r="AX209">
            <v>7.3170731707317083E-2</v>
          </cell>
          <cell r="AY209">
            <v>0</v>
          </cell>
          <cell r="AZ209">
            <v>0.15</v>
          </cell>
          <cell r="BA209">
            <v>-0.16326530612244897</v>
          </cell>
          <cell r="BB209">
            <v>7.4626865671641798E-2</v>
          </cell>
          <cell r="BC209">
            <v>-0.12000000000000001</v>
          </cell>
          <cell r="BD209">
            <v>0.25</v>
          </cell>
          <cell r="BE209">
            <v>0</v>
          </cell>
          <cell r="BF209">
            <v>7.69230769230769E-2</v>
          </cell>
          <cell r="BG209">
            <v>0.1111111111111111</v>
          </cell>
          <cell r="BH209">
            <v>-0.1</v>
          </cell>
        </row>
        <row r="210">
          <cell r="AQ210" t="str">
            <v>Weighted Average</v>
          </cell>
          <cell r="AR210">
            <v>2.1739130434782622E-2</v>
          </cell>
          <cell r="AS210">
            <v>0</v>
          </cell>
          <cell r="AT210">
            <v>4.9999999999999989E-2</v>
          </cell>
          <cell r="AU210">
            <v>0.13793103448275862</v>
          </cell>
          <cell r="AV210">
            <v>0.1111111111111111</v>
          </cell>
          <cell r="AW210">
            <v>-9.6774193548387094E-2</v>
          </cell>
          <cell r="AX210">
            <v>3.4482758620689669E-2</v>
          </cell>
          <cell r="AY210">
            <v>-9.0909090909090912E-2</v>
          </cell>
          <cell r="AZ210">
            <v>0.1818181818181818</v>
          </cell>
          <cell r="BA210">
            <v>-0.13513513513513514</v>
          </cell>
          <cell r="BB210">
            <v>7.4468085106382975E-2</v>
          </cell>
          <cell r="BC210">
            <v>0</v>
          </cell>
          <cell r="BD210">
            <v>0.3</v>
          </cell>
          <cell r="BE210">
            <v>8.6956521739130432E-2</v>
          </cell>
          <cell r="BF210">
            <v>2.6315789473684209E-2</v>
          </cell>
          <cell r="BG210">
            <v>0.10714285714285715</v>
          </cell>
          <cell r="BH210">
            <v>-5.8823529411764705E-2</v>
          </cell>
        </row>
        <row r="211">
          <cell r="AR211">
            <v>11</v>
          </cell>
          <cell r="AS211">
            <v>13</v>
          </cell>
          <cell r="AT211">
            <v>8</v>
          </cell>
          <cell r="AU211">
            <v>3</v>
          </cell>
          <cell r="AV211">
            <v>4</v>
          </cell>
          <cell r="AW211">
            <v>16</v>
          </cell>
          <cell r="AX211">
            <v>9</v>
          </cell>
          <cell r="AY211">
            <v>15</v>
          </cell>
          <cell r="AZ211">
            <v>2</v>
          </cell>
          <cell r="BA211">
            <v>17</v>
          </cell>
          <cell r="BB211">
            <v>7</v>
          </cell>
          <cell r="BC211">
            <v>12</v>
          </cell>
          <cell r="BD211">
            <v>1</v>
          </cell>
          <cell r="BE211">
            <v>6</v>
          </cell>
          <cell r="BF211">
            <v>10</v>
          </cell>
          <cell r="BG211">
            <v>5</v>
          </cell>
          <cell r="BH211">
            <v>14</v>
          </cell>
        </row>
        <row r="214">
          <cell r="AQ214" t="str">
            <v>EU Net</v>
          </cell>
          <cell r="AR214" t="str">
            <v>US Net</v>
          </cell>
          <cell r="AS214" t="str">
            <v>Weighted Average</v>
          </cell>
        </row>
        <row r="215">
          <cell r="AO215">
            <v>1</v>
          </cell>
          <cell r="AP215" t="str">
            <v>S7 Logica</v>
          </cell>
          <cell r="AQ215">
            <v>0.33333333333333331</v>
          </cell>
          <cell r="AR215">
            <v>0.25</v>
          </cell>
          <cell r="AS215">
            <v>0.3</v>
          </cell>
        </row>
        <row r="216">
          <cell r="AO216">
            <v>2</v>
          </cell>
          <cell r="AP216" t="str">
            <v>S7 Genpact</v>
          </cell>
          <cell r="AQ216">
            <v>0.23076923076923078</v>
          </cell>
          <cell r="AR216">
            <v>0.15</v>
          </cell>
          <cell r="AS216">
            <v>0.1818181818181818</v>
          </cell>
        </row>
        <row r="217">
          <cell r="AO217">
            <v>3</v>
          </cell>
          <cell r="AP217" t="str">
            <v>S7 Cap Gemini</v>
          </cell>
          <cell r="AQ217">
            <v>0.13333333333333333</v>
          </cell>
          <cell r="AR217">
            <v>0.14285714285714285</v>
          </cell>
          <cell r="AS217">
            <v>0.13793103448275862</v>
          </cell>
        </row>
        <row r="218">
          <cell r="AO218">
            <v>4</v>
          </cell>
          <cell r="AP218" t="str">
            <v>S7 Cognizant</v>
          </cell>
          <cell r="AQ218">
            <v>0</v>
          </cell>
          <cell r="AR218">
            <v>0.17391304347826089</v>
          </cell>
          <cell r="AS218">
            <v>0.1111111111111111</v>
          </cell>
        </row>
        <row r="219">
          <cell r="AO219">
            <v>5</v>
          </cell>
          <cell r="AP219" t="str">
            <v>S7 Wipro</v>
          </cell>
          <cell r="AQ219">
            <v>0.1</v>
          </cell>
          <cell r="AR219">
            <v>0.1111111111111111</v>
          </cell>
          <cell r="AS219">
            <v>0.10714285714285715</v>
          </cell>
        </row>
        <row r="220">
          <cell r="AO220">
            <v>6</v>
          </cell>
          <cell r="AP220" t="str">
            <v>S7 KPMG</v>
          </cell>
          <cell r="AQ220">
            <v>0.16666666666666669</v>
          </cell>
          <cell r="AR220">
            <v>0</v>
          </cell>
          <cell r="AS220">
            <v>8.6956521739130432E-2</v>
          </cell>
        </row>
        <row r="221">
          <cell r="AO221">
            <v>7</v>
          </cell>
          <cell r="AP221" t="str">
            <v>S7 IBM</v>
          </cell>
          <cell r="AQ221">
            <v>7.407407407407407E-2</v>
          </cell>
          <cell r="AR221">
            <v>7.4626865671641798E-2</v>
          </cell>
          <cell r="AS221">
            <v>7.4468085106382975E-2</v>
          </cell>
        </row>
        <row r="222">
          <cell r="AO222">
            <v>8</v>
          </cell>
          <cell r="AP222" t="str">
            <v>S7 Atos</v>
          </cell>
          <cell r="AQ222">
            <v>-9.0909090909090912E-2</v>
          </cell>
          <cell r="AR222">
            <v>0.22222222222222221</v>
          </cell>
          <cell r="AS222">
            <v>4.9999999999999989E-2</v>
          </cell>
          <cell r="BG222" t="str">
            <v>Major software upgrade</v>
          </cell>
          <cell r="BH222" t="str">
            <v>Network upgrade</v>
          </cell>
          <cell r="BI222" t="str">
            <v>Security / Cyber</v>
          </cell>
          <cell r="BJ222" t="str">
            <v>Mobile / Tablet</v>
          </cell>
          <cell r="BK222" t="str">
            <v>Hardware refresh</v>
          </cell>
          <cell r="BL222" t="str">
            <v>Cloud computing</v>
          </cell>
          <cell r="BM222" t="str">
            <v>Server virtualization</v>
          </cell>
          <cell r="BN222" t="str">
            <v>Desktop virtualization</v>
          </cell>
          <cell r="BO222" t="str">
            <v>BI / Analytics</v>
          </cell>
          <cell r="BP222" t="str">
            <v>Data center consolidation</v>
          </cell>
          <cell r="BQ222" t="str">
            <v>Rationalizing the software stack</v>
          </cell>
          <cell r="BR222" t="str">
            <v>BPO</v>
          </cell>
        </row>
        <row r="223">
          <cell r="AO223">
            <v>9</v>
          </cell>
          <cell r="AP223" t="str">
            <v>S7 Deloitte</v>
          </cell>
          <cell r="AQ223">
            <v>-5.8823529411764719E-2</v>
          </cell>
          <cell r="AR223">
            <v>7.3170731707317083E-2</v>
          </cell>
          <cell r="AS223">
            <v>3.4482758620689669E-2</v>
          </cell>
          <cell r="BG223" t="str">
            <v>EU</v>
          </cell>
          <cell r="BH223" t="str">
            <v>EU</v>
          </cell>
          <cell r="BI223" t="str">
            <v>EU</v>
          </cell>
          <cell r="BJ223" t="str">
            <v>EU</v>
          </cell>
          <cell r="BK223" t="str">
            <v>EU</v>
          </cell>
          <cell r="BL223" t="str">
            <v>EU</v>
          </cell>
          <cell r="BM223" t="str">
            <v>EU</v>
          </cell>
          <cell r="BN223" t="str">
            <v>EU</v>
          </cell>
          <cell r="BO223" t="str">
            <v>EU</v>
          </cell>
          <cell r="BP223" t="str">
            <v>EU</v>
          </cell>
          <cell r="BQ223" t="str">
            <v>EU</v>
          </cell>
          <cell r="BR223" t="str">
            <v>EU</v>
          </cell>
        </row>
        <row r="224">
          <cell r="AO224">
            <v>10</v>
          </cell>
          <cell r="AP224" t="str">
            <v>S7 Tata Consultancy Services</v>
          </cell>
          <cell r="AQ224">
            <v>-8.3333333333333329E-2</v>
          </cell>
          <cell r="AR224">
            <v>7.69230769230769E-2</v>
          </cell>
          <cell r="AS224">
            <v>2.6315789473684209E-2</v>
          </cell>
          <cell r="BF224" t="str">
            <v>Doing work internally</v>
          </cell>
          <cell r="BG224">
            <v>13</v>
          </cell>
          <cell r="BH224">
            <v>15</v>
          </cell>
          <cell r="BI224">
            <v>23</v>
          </cell>
          <cell r="BJ224">
            <v>22</v>
          </cell>
          <cell r="BK224">
            <v>28</v>
          </cell>
          <cell r="BL224">
            <v>11</v>
          </cell>
          <cell r="BM224">
            <v>28</v>
          </cell>
          <cell r="BN224">
            <v>9</v>
          </cell>
          <cell r="BO224">
            <v>14</v>
          </cell>
          <cell r="BP224">
            <v>17</v>
          </cell>
          <cell r="BQ224">
            <v>21</v>
          </cell>
          <cell r="BR224">
            <v>7</v>
          </cell>
        </row>
        <row r="225">
          <cell r="AO225">
            <v>11</v>
          </cell>
          <cell r="AP225" t="str">
            <v>S7 Accenture</v>
          </cell>
          <cell r="AQ225">
            <v>0</v>
          </cell>
          <cell r="AR225">
            <v>3.2258064516129031E-2</v>
          </cell>
          <cell r="AS225">
            <v>2.1739130434782622E-2</v>
          </cell>
          <cell r="BF225" t="str">
            <v>Will use services provider 1H12</v>
          </cell>
          <cell r="BG225">
            <v>0</v>
          </cell>
          <cell r="BH225">
            <v>0</v>
          </cell>
          <cell r="BI225">
            <v>2</v>
          </cell>
          <cell r="BJ225">
            <v>0</v>
          </cell>
          <cell r="BK225">
            <v>0</v>
          </cell>
          <cell r="BL225">
            <v>2</v>
          </cell>
          <cell r="BM225">
            <v>2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</row>
        <row r="226">
          <cell r="AO226">
            <v>12</v>
          </cell>
          <cell r="AP226" t="str">
            <v>S7 Infosys</v>
          </cell>
          <cell r="AQ226">
            <v>0.17647058823529413</v>
          </cell>
          <cell r="AR226">
            <v>-0.12000000000000001</v>
          </cell>
          <cell r="AS226">
            <v>0</v>
          </cell>
          <cell r="BF226" t="str">
            <v>Will use services provider 2H12</v>
          </cell>
          <cell r="BG226">
            <v>4</v>
          </cell>
          <cell r="BH226">
            <v>5</v>
          </cell>
          <cell r="BI226">
            <v>5</v>
          </cell>
          <cell r="BJ226">
            <v>4</v>
          </cell>
          <cell r="BK226">
            <v>5</v>
          </cell>
          <cell r="BL226">
            <v>4</v>
          </cell>
          <cell r="BM226">
            <v>5</v>
          </cell>
          <cell r="BN226">
            <v>5</v>
          </cell>
          <cell r="BO226">
            <v>6</v>
          </cell>
          <cell r="BP226">
            <v>3</v>
          </cell>
          <cell r="BQ226">
            <v>0</v>
          </cell>
          <cell r="BR226">
            <v>5</v>
          </cell>
        </row>
        <row r="227">
          <cell r="AO227">
            <v>13</v>
          </cell>
          <cell r="AP227" t="str">
            <v>ACS (XRX)</v>
          </cell>
          <cell r="AQ227">
            <v>-0.18181818181818182</v>
          </cell>
          <cell r="AR227">
            <v>6.4516129032258063E-2</v>
          </cell>
          <cell r="AS227">
            <v>0</v>
          </cell>
          <cell r="BF227" t="str">
            <v>Already using services provider</v>
          </cell>
          <cell r="BG227">
            <v>20</v>
          </cell>
          <cell r="BH227">
            <v>7</v>
          </cell>
          <cell r="BI227">
            <v>8</v>
          </cell>
          <cell r="BJ227">
            <v>10</v>
          </cell>
          <cell r="BK227">
            <v>6</v>
          </cell>
          <cell r="BL227">
            <v>15</v>
          </cell>
          <cell r="BM227">
            <v>8</v>
          </cell>
          <cell r="BN227">
            <v>7</v>
          </cell>
          <cell r="BO227">
            <v>14</v>
          </cell>
          <cell r="BP227">
            <v>11</v>
          </cell>
          <cell r="BQ227">
            <v>3</v>
          </cell>
          <cell r="BR227">
            <v>11</v>
          </cell>
        </row>
        <row r="228">
          <cell r="AO228">
            <v>14</v>
          </cell>
          <cell r="AP228" t="str">
            <v>S7 WNS Service Holdings</v>
          </cell>
          <cell r="AQ228">
            <v>0</v>
          </cell>
          <cell r="AR228">
            <v>-0.1</v>
          </cell>
          <cell r="AS228">
            <v>-5.8823529411764705E-2</v>
          </cell>
          <cell r="BF228" t="str">
            <v>Not Priority</v>
          </cell>
          <cell r="BG228">
            <v>13</v>
          </cell>
          <cell r="BH228">
            <v>23</v>
          </cell>
          <cell r="BI228">
            <v>12</v>
          </cell>
          <cell r="BJ228">
            <v>14</v>
          </cell>
          <cell r="BK228">
            <v>11</v>
          </cell>
          <cell r="BL228">
            <v>18</v>
          </cell>
          <cell r="BM228">
            <v>7</v>
          </cell>
          <cell r="BN228">
            <v>29</v>
          </cell>
          <cell r="BO228">
            <v>16</v>
          </cell>
          <cell r="BP228">
            <v>19</v>
          </cell>
          <cell r="BQ228">
            <v>26</v>
          </cell>
          <cell r="BR228">
            <v>27</v>
          </cell>
        </row>
        <row r="229">
          <cell r="AO229">
            <v>15</v>
          </cell>
          <cell r="AP229" t="str">
            <v>S7 ExlService Holdings</v>
          </cell>
          <cell r="AQ229">
            <v>-0.25</v>
          </cell>
          <cell r="AR229">
            <v>0</v>
          </cell>
          <cell r="AS229">
            <v>-9.0909090909090912E-2</v>
          </cell>
        </row>
        <row r="230">
          <cell r="BG230" t="str">
            <v>US</v>
          </cell>
          <cell r="BH230" t="str">
            <v>US</v>
          </cell>
          <cell r="BI230" t="str">
            <v>US</v>
          </cell>
          <cell r="BJ230" t="str">
            <v>US</v>
          </cell>
          <cell r="BK230" t="str">
            <v>US</v>
          </cell>
          <cell r="BL230" t="str">
            <v>US</v>
          </cell>
          <cell r="BM230" t="str">
            <v>US</v>
          </cell>
          <cell r="BN230" t="str">
            <v>US</v>
          </cell>
          <cell r="BO230" t="str">
            <v>US</v>
          </cell>
          <cell r="BP230" t="str">
            <v>US</v>
          </cell>
          <cell r="BQ230" t="str">
            <v>US</v>
          </cell>
          <cell r="BR230" t="str">
            <v>US</v>
          </cell>
        </row>
        <row r="231">
          <cell r="BF231" t="str">
            <v>Doing work internally</v>
          </cell>
          <cell r="BG231">
            <v>37</v>
          </cell>
          <cell r="BH231">
            <v>55</v>
          </cell>
          <cell r="BI231">
            <v>47</v>
          </cell>
          <cell r="BJ231">
            <v>43</v>
          </cell>
          <cell r="BK231">
            <v>53</v>
          </cell>
          <cell r="BL231">
            <v>21</v>
          </cell>
          <cell r="BM231">
            <v>58</v>
          </cell>
          <cell r="BN231">
            <v>22</v>
          </cell>
          <cell r="BO231">
            <v>41</v>
          </cell>
          <cell r="BP231">
            <v>31</v>
          </cell>
          <cell r="BQ231">
            <v>28</v>
          </cell>
          <cell r="BR231">
            <v>8</v>
          </cell>
        </row>
        <row r="232">
          <cell r="BF232" t="str">
            <v>Will use services provider 1H12</v>
          </cell>
          <cell r="BG232">
            <v>0</v>
          </cell>
          <cell r="BH232">
            <v>0</v>
          </cell>
          <cell r="BI232">
            <v>0</v>
          </cell>
          <cell r="BJ232">
            <v>1</v>
          </cell>
          <cell r="BK232">
            <v>0</v>
          </cell>
          <cell r="BL232">
            <v>0</v>
          </cell>
          <cell r="BM232">
            <v>1</v>
          </cell>
          <cell r="BN232">
            <v>4</v>
          </cell>
          <cell r="BO232">
            <v>2</v>
          </cell>
          <cell r="BP232">
            <v>1</v>
          </cell>
          <cell r="BQ232">
            <v>0</v>
          </cell>
          <cell r="BR232">
            <v>0</v>
          </cell>
        </row>
        <row r="233">
          <cell r="BF233" t="str">
            <v>Will use services provider 2H12</v>
          </cell>
          <cell r="BG233">
            <v>11</v>
          </cell>
          <cell r="BH233">
            <v>6</v>
          </cell>
          <cell r="BI233">
            <v>11</v>
          </cell>
          <cell r="BJ233">
            <v>7</v>
          </cell>
          <cell r="BK233">
            <v>5</v>
          </cell>
          <cell r="BL233">
            <v>14</v>
          </cell>
          <cell r="BM233">
            <v>8</v>
          </cell>
          <cell r="BN233">
            <v>11</v>
          </cell>
          <cell r="BO233">
            <v>10</v>
          </cell>
          <cell r="BP233">
            <v>8</v>
          </cell>
          <cell r="BQ233">
            <v>4</v>
          </cell>
          <cell r="BR233">
            <v>6</v>
          </cell>
        </row>
        <row r="234">
          <cell r="BF234" t="str">
            <v>Already using services provider</v>
          </cell>
          <cell r="BG234">
            <v>29</v>
          </cell>
          <cell r="BH234">
            <v>14</v>
          </cell>
          <cell r="BI234">
            <v>14</v>
          </cell>
          <cell r="BJ234">
            <v>9</v>
          </cell>
          <cell r="BK234">
            <v>21</v>
          </cell>
          <cell r="BL234">
            <v>23</v>
          </cell>
          <cell r="BM234">
            <v>15</v>
          </cell>
          <cell r="BN234">
            <v>9</v>
          </cell>
          <cell r="BO234">
            <v>23</v>
          </cell>
          <cell r="BP234">
            <v>10</v>
          </cell>
          <cell r="BQ234">
            <v>8</v>
          </cell>
          <cell r="BR234">
            <v>23</v>
          </cell>
        </row>
        <row r="235">
          <cell r="BF235" t="str">
            <v>Not Priority</v>
          </cell>
          <cell r="BG235">
            <v>23</v>
          </cell>
          <cell r="BH235">
            <v>25</v>
          </cell>
          <cell r="BI235">
            <v>28</v>
          </cell>
          <cell r="BJ235">
            <v>40</v>
          </cell>
          <cell r="BK235">
            <v>21</v>
          </cell>
          <cell r="BL235">
            <v>42</v>
          </cell>
          <cell r="BM235">
            <v>18</v>
          </cell>
          <cell r="BN235">
            <v>54</v>
          </cell>
          <cell r="BO235">
            <v>24</v>
          </cell>
          <cell r="BP235">
            <v>50</v>
          </cell>
          <cell r="BQ235">
            <v>60</v>
          </cell>
          <cell r="BR235">
            <v>63</v>
          </cell>
        </row>
        <row r="237">
          <cell r="BG237" t="str">
            <v>Total</v>
          </cell>
          <cell r="BH237" t="str">
            <v>Total</v>
          </cell>
          <cell r="BI237" t="str">
            <v>Total</v>
          </cell>
          <cell r="BJ237" t="str">
            <v>Total</v>
          </cell>
          <cell r="BK237" t="str">
            <v>Total</v>
          </cell>
          <cell r="BL237" t="str">
            <v>Total</v>
          </cell>
          <cell r="BM237" t="str">
            <v>Total</v>
          </cell>
          <cell r="BN237" t="str">
            <v>Total</v>
          </cell>
          <cell r="BO237" t="str">
            <v>Total</v>
          </cell>
          <cell r="BP237" t="str">
            <v>Total</v>
          </cell>
          <cell r="BQ237" t="str">
            <v>Total</v>
          </cell>
          <cell r="BR237" t="str">
            <v>Total</v>
          </cell>
        </row>
        <row r="238">
          <cell r="BF238" t="str">
            <v>Doing work internally</v>
          </cell>
          <cell r="BG238">
            <v>50</v>
          </cell>
          <cell r="BH238">
            <v>70</v>
          </cell>
          <cell r="BI238">
            <v>70</v>
          </cell>
          <cell r="BJ238">
            <v>65</v>
          </cell>
          <cell r="BK238">
            <v>81</v>
          </cell>
          <cell r="BL238">
            <v>32</v>
          </cell>
          <cell r="BM238">
            <v>86</v>
          </cell>
          <cell r="BN238">
            <v>31</v>
          </cell>
          <cell r="BO238">
            <v>55</v>
          </cell>
          <cell r="BP238">
            <v>48</v>
          </cell>
          <cell r="BQ238">
            <v>49</v>
          </cell>
          <cell r="BR238">
            <v>15</v>
          </cell>
        </row>
        <row r="239">
          <cell r="BF239" t="str">
            <v>Already using services provider</v>
          </cell>
          <cell r="BG239">
            <v>49</v>
          </cell>
          <cell r="BH239">
            <v>21</v>
          </cell>
          <cell r="BI239">
            <v>22</v>
          </cell>
          <cell r="BJ239">
            <v>19</v>
          </cell>
          <cell r="BK239">
            <v>27</v>
          </cell>
          <cell r="BL239">
            <v>38</v>
          </cell>
          <cell r="BM239">
            <v>23</v>
          </cell>
          <cell r="BN239">
            <v>16</v>
          </cell>
          <cell r="BO239">
            <v>37</v>
          </cell>
          <cell r="BP239">
            <v>21</v>
          </cell>
          <cell r="BQ239">
            <v>11</v>
          </cell>
          <cell r="BR239">
            <v>34</v>
          </cell>
        </row>
        <row r="240">
          <cell r="BF240" t="str">
            <v>Will use services provider 1H12</v>
          </cell>
          <cell r="BG240">
            <v>0</v>
          </cell>
          <cell r="BH240">
            <v>0</v>
          </cell>
          <cell r="BI240">
            <v>2</v>
          </cell>
          <cell r="BJ240">
            <v>1</v>
          </cell>
          <cell r="BK240">
            <v>0</v>
          </cell>
          <cell r="BL240">
            <v>2</v>
          </cell>
          <cell r="BM240">
            <v>3</v>
          </cell>
          <cell r="BN240">
            <v>4</v>
          </cell>
          <cell r="BO240">
            <v>2</v>
          </cell>
          <cell r="BP240">
            <v>1</v>
          </cell>
          <cell r="BQ240">
            <v>0</v>
          </cell>
          <cell r="BR240">
            <v>0</v>
          </cell>
        </row>
        <row r="241">
          <cell r="BF241" t="str">
            <v>Will use services provider 2H12</v>
          </cell>
          <cell r="BG241">
            <v>15</v>
          </cell>
          <cell r="BH241">
            <v>11</v>
          </cell>
          <cell r="BI241">
            <v>16</v>
          </cell>
          <cell r="BJ241">
            <v>11</v>
          </cell>
          <cell r="BK241">
            <v>10</v>
          </cell>
          <cell r="BL241">
            <v>18</v>
          </cell>
          <cell r="BM241">
            <v>13</v>
          </cell>
          <cell r="BN241">
            <v>16</v>
          </cell>
          <cell r="BO241">
            <v>16</v>
          </cell>
          <cell r="BP241">
            <v>11</v>
          </cell>
          <cell r="BQ241">
            <v>4</v>
          </cell>
          <cell r="BR241">
            <v>11</v>
          </cell>
        </row>
        <row r="242">
          <cell r="BF242" t="str">
            <v>Not Priority</v>
          </cell>
          <cell r="BG242">
            <v>36</v>
          </cell>
          <cell r="BH242">
            <v>48</v>
          </cell>
          <cell r="BI242">
            <v>40</v>
          </cell>
          <cell r="BJ242">
            <v>54</v>
          </cell>
          <cell r="BK242">
            <v>32</v>
          </cell>
          <cell r="BL242">
            <v>60</v>
          </cell>
          <cell r="BM242">
            <v>25</v>
          </cell>
          <cell r="BN242">
            <v>83</v>
          </cell>
          <cell r="BO242">
            <v>40</v>
          </cell>
          <cell r="BP242">
            <v>69</v>
          </cell>
          <cell r="BQ242">
            <v>86</v>
          </cell>
          <cell r="BR242">
            <v>90</v>
          </cell>
        </row>
      </sheetData>
      <sheetData sheetId="13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S1"/>
      <sheetName val="S2"/>
      <sheetName val="S3"/>
      <sheetName val="S4"/>
      <sheetName val="S5"/>
      <sheetName val="S6"/>
      <sheetName val="S7"/>
      <sheetName val="S8"/>
      <sheetName val="S9"/>
      <sheetName val="S10"/>
      <sheetName val="DATASHEET"/>
    </sheetNames>
    <sheetDataSet>
      <sheetData sheetId="0"/>
      <sheetData sheetId="1">
        <row r="1">
          <cell r="A1" t="str">
            <v>Morgan Stanley CIO Survey - June 2011</v>
          </cell>
        </row>
        <row r="3">
          <cell r="A3" t="str">
            <v>2.  By what percentages did your External IT Spending change for each of the following</v>
          </cell>
        </row>
        <row r="4">
          <cell r="A4" t="str">
            <v xml:space="preserve"> technology areas in 2010 vs. 2009? How would you expect spending to change in 2011 vs. 2010? </v>
          </cell>
        </row>
        <row r="6">
          <cell r="A6" t="str">
            <v>2010 vs. 2009</v>
          </cell>
        </row>
        <row r="7">
          <cell r="A7" t="str">
            <v xml:space="preserve">Hardware </v>
          </cell>
        </row>
        <row r="8">
          <cell r="A8" t="str">
            <v>Industry</v>
          </cell>
          <cell r="D8" t="str">
            <v>Median</v>
          </cell>
          <cell r="E8" t="str">
            <v>Average</v>
          </cell>
          <cell r="F8" t="str">
            <v>total</v>
          </cell>
          <cell r="J8" t="str">
            <v>Dec 08 Survey</v>
          </cell>
          <cell r="L8" t="str">
            <v>Apr 09 Survey</v>
          </cell>
          <cell r="N8" t="str">
            <v>Jul 09 Survey</v>
          </cell>
          <cell r="P8" t="str">
            <v>Oct 09 Survey</v>
          </cell>
          <cell r="R8" t="str">
            <v>Jan 10 Survey</v>
          </cell>
          <cell r="T8" t="str">
            <v>Apr 10 Survey</v>
          </cell>
          <cell r="V8" t="str">
            <v>Oct 10 Survey</v>
          </cell>
          <cell r="X8" t="str">
            <v>Jan 11 Survey</v>
          </cell>
          <cell r="Z8" t="str">
            <v>Apr 11 Survey</v>
          </cell>
          <cell r="AB8" t="str">
            <v>Jul 11 Survey</v>
          </cell>
        </row>
        <row r="9">
          <cell r="A9" t="str">
            <v>Aerospace</v>
          </cell>
          <cell r="D9">
            <v>0.05</v>
          </cell>
          <cell r="E9">
            <v>0.05</v>
          </cell>
          <cell r="F9">
            <v>1</v>
          </cell>
          <cell r="J9">
            <v>2008</v>
          </cell>
          <cell r="K9">
            <v>2009</v>
          </cell>
          <cell r="L9">
            <v>2008</v>
          </cell>
          <cell r="M9">
            <v>2009</v>
          </cell>
          <cell r="N9">
            <v>2008</v>
          </cell>
          <cell r="O9">
            <v>2009</v>
          </cell>
          <cell r="P9">
            <v>2009</v>
          </cell>
          <cell r="Q9">
            <v>2010</v>
          </cell>
          <cell r="R9">
            <v>2009</v>
          </cell>
          <cell r="S9">
            <v>2010</v>
          </cell>
          <cell r="T9">
            <v>2009</v>
          </cell>
          <cell r="U9">
            <v>2010</v>
          </cell>
          <cell r="V9">
            <v>2010</v>
          </cell>
          <cell r="W9">
            <v>2011</v>
          </cell>
          <cell r="X9">
            <v>2010</v>
          </cell>
          <cell r="Y9">
            <v>2011</v>
          </cell>
          <cell r="Z9">
            <v>2010</v>
          </cell>
          <cell r="AA9">
            <v>2011</v>
          </cell>
          <cell r="AB9">
            <v>2010</v>
          </cell>
          <cell r="AC9">
            <v>2011</v>
          </cell>
        </row>
        <row r="10">
          <cell r="A10" t="str">
            <v>Automotive</v>
          </cell>
          <cell r="D10">
            <v>0.11</v>
          </cell>
          <cell r="E10">
            <v>0.11</v>
          </cell>
          <cell r="F10">
            <v>1</v>
          </cell>
          <cell r="I10" t="str">
            <v>Hardware</v>
          </cell>
          <cell r="J10">
            <v>5.0753424657534241E-2</v>
          </cell>
          <cell r="K10">
            <v>-1.4093959731543624E-3</v>
          </cell>
          <cell r="L10">
            <v>4.2133333333333328E-2</v>
          </cell>
          <cell r="M10">
            <v>-1.6733333333333333E-2</v>
          </cell>
          <cell r="N10">
            <v>3.153333333333333E-2</v>
          </cell>
          <cell r="O10">
            <v>-1.5933333333333334E-2</v>
          </cell>
          <cell r="P10">
            <v>-1.6799999999999999E-2</v>
          </cell>
          <cell r="Q10">
            <v>0.02</v>
          </cell>
          <cell r="R10">
            <v>-2.0199999999999999E-2</v>
          </cell>
          <cell r="S10">
            <v>2.4466666666666668E-2</v>
          </cell>
          <cell r="T10">
            <v>-1.8066666666666665E-2</v>
          </cell>
          <cell r="U10">
            <v>4.0999999999999995E-2</v>
          </cell>
          <cell r="V10">
            <v>4.5575000000000004E-2</v>
          </cell>
          <cell r="W10">
            <v>3.5349999999999999E-2</v>
          </cell>
          <cell r="X10">
            <v>4.7100000000000003E-2</v>
          </cell>
          <cell r="Y10">
            <v>3.8450000000000005E-2</v>
          </cell>
          <cell r="Z10">
            <v>3.5549999999999998E-2</v>
          </cell>
          <cell r="AA10">
            <v>3.27E-2</v>
          </cell>
          <cell r="AB10">
            <v>2.775E-2</v>
          </cell>
          <cell r="AC10">
            <v>2.9819999999999999E-2</v>
          </cell>
        </row>
        <row r="11">
          <cell r="A11" t="str">
            <v>Business services</v>
          </cell>
          <cell r="D11">
            <v>0.03</v>
          </cell>
          <cell r="E11">
            <v>2.8181818181818183E-2</v>
          </cell>
          <cell r="F11">
            <v>11</v>
          </cell>
          <cell r="I11" t="str">
            <v>Software</v>
          </cell>
          <cell r="J11">
            <v>4.2517006802721087E-2</v>
          </cell>
          <cell r="K11">
            <v>5.7718120805369134E-3</v>
          </cell>
          <cell r="L11">
            <v>4.36E-2</v>
          </cell>
          <cell r="M11">
            <v>-2.06E-2</v>
          </cell>
          <cell r="N11">
            <v>3.7999999999999999E-2</v>
          </cell>
          <cell r="O11">
            <v>-8.0000000000000002E-3</v>
          </cell>
          <cell r="P11">
            <v>-1.0733333333333333E-2</v>
          </cell>
          <cell r="Q11">
            <v>1.4800000000000001E-2</v>
          </cell>
          <cell r="R11">
            <v>-8.7333333333333325E-3</v>
          </cell>
          <cell r="S11">
            <v>2.6600000000000002E-2</v>
          </cell>
          <cell r="T11">
            <v>-8.1333333333333327E-3</v>
          </cell>
          <cell r="U11">
            <v>3.6666666666666667E-2</v>
          </cell>
          <cell r="V11">
            <v>4.0875000000000002E-2</v>
          </cell>
          <cell r="W11">
            <v>3.9300000000000002E-2</v>
          </cell>
          <cell r="X11">
            <v>4.7125E-2</v>
          </cell>
          <cell r="Y11">
            <v>3.8350000000000002E-2</v>
          </cell>
          <cell r="Z11">
            <v>3.2799999999999996E-2</v>
          </cell>
          <cell r="AA11">
            <v>3.44E-2</v>
          </cell>
          <cell r="AB11">
            <v>2.7999999999999997E-2</v>
          </cell>
          <cell r="AC11">
            <v>3.0200000000000001E-2</v>
          </cell>
        </row>
        <row r="12">
          <cell r="A12" t="str">
            <v>Communications</v>
          </cell>
          <cell r="D12">
            <v>0.05</v>
          </cell>
          <cell r="E12">
            <v>5.2857142857142853E-2</v>
          </cell>
          <cell r="F12">
            <v>7</v>
          </cell>
          <cell r="I12" t="str">
            <v>Communications</v>
          </cell>
          <cell r="J12">
            <v>5.4315068493150688E-2</v>
          </cell>
          <cell r="K12">
            <v>7.7181208053691275E-3</v>
          </cell>
          <cell r="L12">
            <v>4.3933333333333338E-2</v>
          </cell>
          <cell r="M12">
            <v>-2.6666666666666665E-2</v>
          </cell>
          <cell r="N12">
            <v>3.9933333333333335E-2</v>
          </cell>
          <cell r="O12">
            <v>-1.2466666666666666E-2</v>
          </cell>
          <cell r="P12">
            <v>-4.7999999999999996E-3</v>
          </cell>
          <cell r="Q12">
            <v>2.12E-2</v>
          </cell>
          <cell r="R12">
            <v>-1.2066666666666668E-2</v>
          </cell>
          <cell r="S12">
            <v>1.9533333333333333E-2</v>
          </cell>
          <cell r="T12">
            <v>-7.8000000000000005E-3</v>
          </cell>
          <cell r="U12">
            <v>2.9666666666666668E-2</v>
          </cell>
          <cell r="V12">
            <v>3.3125000000000002E-2</v>
          </cell>
          <cell r="W12">
            <v>2.725E-2</v>
          </cell>
          <cell r="X12">
            <v>3.4099999999999998E-2</v>
          </cell>
          <cell r="Y12">
            <v>3.465E-2</v>
          </cell>
          <cell r="Z12">
            <v>2.4750000000000001E-2</v>
          </cell>
          <cell r="AA12">
            <v>2.7349999999999999E-2</v>
          </cell>
          <cell r="AB12">
            <v>2.2099999999999998E-2</v>
          </cell>
          <cell r="AC12">
            <v>2.2749999999999999E-2</v>
          </cell>
        </row>
        <row r="13">
          <cell r="A13" t="str">
            <v>Engineering / Construction</v>
          </cell>
          <cell r="D13">
            <v>0.02</v>
          </cell>
          <cell r="E13">
            <v>0.02</v>
          </cell>
          <cell r="F13">
            <v>2</v>
          </cell>
          <cell r="I13" t="str">
            <v>Services</v>
          </cell>
          <cell r="J13">
            <v>4.9863945578231296E-2</v>
          </cell>
          <cell r="K13">
            <v>1.1564625850340135E-2</v>
          </cell>
          <cell r="L13">
            <v>4.3533333333333334E-2</v>
          </cell>
          <cell r="M13">
            <v>-4.0933333333333335E-2</v>
          </cell>
          <cell r="N13">
            <v>3.5200000000000002E-2</v>
          </cell>
          <cell r="O13">
            <v>-3.3399999999999999E-2</v>
          </cell>
          <cell r="P13">
            <v>-5.0733333333333332E-2</v>
          </cell>
          <cell r="Q13">
            <v>-9.1999999999999998E-3</v>
          </cell>
          <cell r="R13">
            <v>-4.1266666666666667E-2</v>
          </cell>
          <cell r="S13">
            <v>-1.9333333333333333E-3</v>
          </cell>
          <cell r="T13">
            <v>-3.0533333333333332E-2</v>
          </cell>
          <cell r="U13">
            <v>1.6799999999999999E-2</v>
          </cell>
          <cell r="V13">
            <v>2.3799999999999998E-2</v>
          </cell>
          <cell r="W13">
            <v>3.2500000000000001E-2</v>
          </cell>
          <cell r="X13">
            <v>2.6409999999999999E-2</v>
          </cell>
          <cell r="Y13">
            <v>2.46E-2</v>
          </cell>
          <cell r="Z13">
            <v>2.3900000000000001E-2</v>
          </cell>
          <cell r="AA13">
            <v>3.4950000000000002E-2</v>
          </cell>
          <cell r="AB13">
            <v>1.9699999999999999E-2</v>
          </cell>
          <cell r="AC13">
            <v>4.0199999999999993E-2</v>
          </cell>
        </row>
        <row r="14">
          <cell r="A14" t="str">
            <v>Financial services</v>
          </cell>
          <cell r="D14">
            <v>0.04</v>
          </cell>
          <cell r="E14">
            <v>2.4500000000000001E-2</v>
          </cell>
          <cell r="F14">
            <v>20</v>
          </cell>
        </row>
        <row r="15">
          <cell r="A15" t="str">
            <v>Healthcare</v>
          </cell>
          <cell r="D15">
            <v>0.05</v>
          </cell>
          <cell r="E15">
            <v>5.333333333333333E-2</v>
          </cell>
          <cell r="F15">
            <v>6</v>
          </cell>
        </row>
        <row r="16">
          <cell r="A16" t="str">
            <v>Hospitality / Leisure</v>
          </cell>
          <cell r="D16">
            <v>0.05</v>
          </cell>
          <cell r="E16">
            <v>0.05</v>
          </cell>
          <cell r="F16">
            <v>1</v>
          </cell>
        </row>
        <row r="17">
          <cell r="A17" t="str">
            <v>Logistics</v>
          </cell>
          <cell r="D17">
            <v>-0.05</v>
          </cell>
          <cell r="E17">
            <v>-0.05</v>
          </cell>
          <cell r="F17">
            <v>1</v>
          </cell>
        </row>
        <row r="18">
          <cell r="A18" t="str">
            <v>Manufacturing</v>
          </cell>
          <cell r="D18">
            <v>4.4999999999999998E-2</v>
          </cell>
          <cell r="E18">
            <v>3.2272727272727272E-2</v>
          </cell>
          <cell r="F18">
            <v>22</v>
          </cell>
        </row>
        <row r="19">
          <cell r="A19" t="str">
            <v>Media</v>
          </cell>
          <cell r="D19">
            <v>0.02</v>
          </cell>
          <cell r="E19">
            <v>0.02</v>
          </cell>
          <cell r="F19">
            <v>1</v>
          </cell>
        </row>
        <row r="20">
          <cell r="A20" t="str">
            <v>Mining &amp; Minerals</v>
          </cell>
          <cell r="D20">
            <v>0.03</v>
          </cell>
          <cell r="E20">
            <v>0.03</v>
          </cell>
          <cell r="F20">
            <v>1</v>
          </cell>
        </row>
        <row r="21">
          <cell r="A21" t="str">
            <v>Pharmaceuticals</v>
          </cell>
          <cell r="D21">
            <v>-0.05</v>
          </cell>
          <cell r="E21">
            <v>-0.05</v>
          </cell>
          <cell r="F21">
            <v>1</v>
          </cell>
        </row>
        <row r="22">
          <cell r="A22" t="str">
            <v>Retail</v>
          </cell>
          <cell r="D22">
            <v>4.4999999999999998E-2</v>
          </cell>
          <cell r="E22">
            <v>2.2499999999999999E-2</v>
          </cell>
          <cell r="F22">
            <v>8</v>
          </cell>
        </row>
        <row r="23">
          <cell r="A23" t="str">
            <v>Technology</v>
          </cell>
          <cell r="D23">
            <v>-0.03</v>
          </cell>
          <cell r="E23">
            <v>-1.4545454545454545E-2</v>
          </cell>
          <cell r="F23">
            <v>11</v>
          </cell>
        </row>
        <row r="24">
          <cell r="A24" t="str">
            <v>Transportation</v>
          </cell>
          <cell r="D24">
            <v>6.7500000000000004E-2</v>
          </cell>
          <cell r="E24">
            <v>6.7500000000000004E-2</v>
          </cell>
          <cell r="F24">
            <v>2</v>
          </cell>
        </row>
        <row r="25">
          <cell r="A25" t="str">
            <v>Utilities</v>
          </cell>
          <cell r="D25">
            <v>0.01</v>
          </cell>
          <cell r="E25">
            <v>0.01</v>
          </cell>
          <cell r="F25">
            <v>2</v>
          </cell>
        </row>
        <row r="26">
          <cell r="A26" t="str">
            <v>Wholesale / Distribution</v>
          </cell>
          <cell r="D26">
            <v>0.1</v>
          </cell>
          <cell r="E26">
            <v>0.1</v>
          </cell>
          <cell r="F26">
            <v>2</v>
          </cell>
        </row>
        <row r="27">
          <cell r="A27" t="str">
            <v>Overall</v>
          </cell>
          <cell r="D27">
            <v>0.04</v>
          </cell>
          <cell r="E27">
            <v>2.775E-2</v>
          </cell>
          <cell r="F27">
            <v>100</v>
          </cell>
        </row>
        <row r="29">
          <cell r="A29" t="str">
            <v>Revenue</v>
          </cell>
          <cell r="D29" t="str">
            <v>Median</v>
          </cell>
          <cell r="E29" t="str">
            <v>Average</v>
          </cell>
          <cell r="F29" t="str">
            <v>total</v>
          </cell>
        </row>
        <row r="30">
          <cell r="A30" t="str">
            <v>&lt;$500 Million</v>
          </cell>
          <cell r="D30">
            <v>0.05</v>
          </cell>
          <cell r="E30">
            <v>0.05</v>
          </cell>
          <cell r="F30">
            <v>2</v>
          </cell>
        </row>
        <row r="31">
          <cell r="A31" t="str">
            <v>$500 Million - $1 Billion</v>
          </cell>
          <cell r="D31">
            <v>2.5000000000000001E-2</v>
          </cell>
          <cell r="E31">
            <v>1.5357142857142857E-2</v>
          </cell>
          <cell r="F31">
            <v>28</v>
          </cell>
        </row>
        <row r="32">
          <cell r="A32" t="str">
            <v>$1-5 Billion</v>
          </cell>
          <cell r="D32">
            <v>1.4999999999999999E-2</v>
          </cell>
          <cell r="E32">
            <v>1.3999999999999999E-2</v>
          </cell>
          <cell r="F32">
            <v>20</v>
          </cell>
        </row>
        <row r="33">
          <cell r="A33" t="str">
            <v>$5-10 Billion</v>
          </cell>
          <cell r="D33">
            <v>0.05</v>
          </cell>
          <cell r="E33">
            <v>4.5238095238095237E-2</v>
          </cell>
          <cell r="F33">
            <v>21</v>
          </cell>
        </row>
        <row r="34">
          <cell r="A34" t="str">
            <v>$10-15 Billion</v>
          </cell>
          <cell r="D34">
            <v>3.5000000000000003E-2</v>
          </cell>
          <cell r="E34">
            <v>1.9285714285714285E-2</v>
          </cell>
          <cell r="F34">
            <v>14</v>
          </cell>
        </row>
        <row r="35">
          <cell r="A35" t="str">
            <v>$15-20 Billion</v>
          </cell>
          <cell r="D35">
            <v>0.05</v>
          </cell>
          <cell r="E35">
            <v>4.3181818181818182E-2</v>
          </cell>
          <cell r="F35">
            <v>11</v>
          </cell>
        </row>
        <row r="36">
          <cell r="A36" t="str">
            <v>&gt;$20 Billion</v>
          </cell>
          <cell r="D36">
            <v>0.06</v>
          </cell>
          <cell r="E36">
            <v>6.7500000000000004E-2</v>
          </cell>
          <cell r="F36">
            <v>4</v>
          </cell>
        </row>
        <row r="37">
          <cell r="A37" t="str">
            <v>Overall</v>
          </cell>
          <cell r="D37">
            <v>0.04</v>
          </cell>
          <cell r="E37">
            <v>2.775E-2</v>
          </cell>
          <cell r="F37">
            <v>100</v>
          </cell>
        </row>
        <row r="39">
          <cell r="A39" t="str">
            <v>Response</v>
          </cell>
        </row>
        <row r="40">
          <cell r="A40">
            <v>0.2</v>
          </cell>
          <cell r="B40">
            <v>1</v>
          </cell>
        </row>
        <row r="41">
          <cell r="A41">
            <v>0.15</v>
          </cell>
          <cell r="B41">
            <v>2</v>
          </cell>
        </row>
        <row r="42">
          <cell r="A42">
            <v>0.12</v>
          </cell>
          <cell r="B42">
            <v>2</v>
          </cell>
        </row>
        <row r="43">
          <cell r="A43">
            <v>0.11</v>
          </cell>
          <cell r="B43">
            <v>1</v>
          </cell>
        </row>
        <row r="44">
          <cell r="A44">
            <v>0.1</v>
          </cell>
          <cell r="B44">
            <v>10</v>
          </cell>
        </row>
        <row r="45">
          <cell r="A45">
            <v>0.09</v>
          </cell>
          <cell r="B45">
            <v>1</v>
          </cell>
        </row>
        <row r="46">
          <cell r="A46">
            <v>0.08</v>
          </cell>
          <cell r="B46">
            <v>2</v>
          </cell>
        </row>
        <row r="47">
          <cell r="A47">
            <v>7.0000000000000007E-2</v>
          </cell>
          <cell r="B47">
            <v>3</v>
          </cell>
        </row>
        <row r="48">
          <cell r="A48">
            <v>0.06</v>
          </cell>
          <cell r="B48">
            <v>1</v>
          </cell>
        </row>
        <row r="49">
          <cell r="A49">
            <v>0.05</v>
          </cell>
          <cell r="B49">
            <v>26</v>
          </cell>
        </row>
        <row r="50">
          <cell r="A50">
            <v>0.04</v>
          </cell>
          <cell r="B50">
            <v>2</v>
          </cell>
        </row>
        <row r="51">
          <cell r="A51">
            <v>3.5000000000000003E-2</v>
          </cell>
          <cell r="B51">
            <v>1</v>
          </cell>
        </row>
        <row r="52">
          <cell r="A52">
            <v>0.03</v>
          </cell>
          <cell r="B52">
            <v>6</v>
          </cell>
        </row>
        <row r="53">
          <cell r="A53">
            <v>0.02</v>
          </cell>
          <cell r="B53">
            <v>5</v>
          </cell>
        </row>
        <row r="54">
          <cell r="A54">
            <v>0.01</v>
          </cell>
          <cell r="B54">
            <v>1</v>
          </cell>
        </row>
        <row r="55">
          <cell r="A55">
            <v>0</v>
          </cell>
          <cell r="B55">
            <v>11</v>
          </cell>
        </row>
        <row r="56">
          <cell r="A56">
            <v>-0.03</v>
          </cell>
          <cell r="B56">
            <v>5</v>
          </cell>
        </row>
        <row r="57">
          <cell r="A57">
            <v>-0.05</v>
          </cell>
          <cell r="B57">
            <v>17</v>
          </cell>
        </row>
        <row r="58">
          <cell r="A58">
            <v>-0.1</v>
          </cell>
          <cell r="B58">
            <v>3</v>
          </cell>
        </row>
        <row r="59">
          <cell r="B59">
            <v>100</v>
          </cell>
          <cell r="I59">
            <v>2010</v>
          </cell>
          <cell r="J59" t="str">
            <v>Hardware</v>
          </cell>
          <cell r="K59" t="str">
            <v>Software</v>
          </cell>
          <cell r="L59" t="str">
            <v>Communications</v>
          </cell>
          <cell r="M59" t="str">
            <v>Services</v>
          </cell>
          <cell r="P59">
            <v>2010</v>
          </cell>
          <cell r="Q59" t="str">
            <v>Hardware</v>
          </cell>
          <cell r="R59" t="str">
            <v>Software</v>
          </cell>
          <cell r="S59" t="str">
            <v>Communications</v>
          </cell>
          <cell r="T59" t="str">
            <v>Services</v>
          </cell>
        </row>
        <row r="60">
          <cell r="I60" t="str">
            <v>&lt;$500 Million</v>
          </cell>
          <cell r="J60">
            <v>0.05</v>
          </cell>
          <cell r="K60">
            <v>7.4999999999999997E-2</v>
          </cell>
          <cell r="L60">
            <v>0.05</v>
          </cell>
          <cell r="M60">
            <v>0.05</v>
          </cell>
          <cell r="P60" t="str">
            <v>&lt;$500 Million</v>
          </cell>
          <cell r="Q60">
            <v>0.05</v>
          </cell>
          <cell r="R60">
            <v>0.05</v>
          </cell>
          <cell r="S60">
            <v>2.5000000000000001E-2</v>
          </cell>
          <cell r="T60">
            <v>7.4999999999999997E-2</v>
          </cell>
        </row>
        <row r="61">
          <cell r="A61" t="str">
            <v>Software</v>
          </cell>
          <cell r="I61" t="str">
            <v>$500 Million - $1 Billion</v>
          </cell>
          <cell r="J61">
            <v>1.5357142857142857E-2</v>
          </cell>
          <cell r="K61">
            <v>6.0714285714285714E-3</v>
          </cell>
          <cell r="L61">
            <v>-3.5714285714285714E-4</v>
          </cell>
          <cell r="M61">
            <v>-7.1428571428571426E-3</v>
          </cell>
          <cell r="P61" t="str">
            <v>$500 Million - $1 Billion</v>
          </cell>
          <cell r="Q61">
            <v>3.0714285714285715E-2</v>
          </cell>
          <cell r="R61">
            <v>1.6785714285714286E-2</v>
          </cell>
          <cell r="S61">
            <v>0.01</v>
          </cell>
          <cell r="T61">
            <v>2.5357142857142856E-2</v>
          </cell>
        </row>
        <row r="62">
          <cell r="A62" t="str">
            <v>Industry</v>
          </cell>
          <cell r="D62" t="str">
            <v>Median</v>
          </cell>
          <cell r="E62" t="str">
            <v>Average</v>
          </cell>
          <cell r="F62" t="str">
            <v>total</v>
          </cell>
          <cell r="I62" t="str">
            <v>$1-5 Billion</v>
          </cell>
          <cell r="J62">
            <v>1.3999999999999999E-2</v>
          </cell>
          <cell r="K62">
            <v>1.3500000000000002E-2</v>
          </cell>
          <cell r="L62">
            <v>1.0500000000000001E-2</v>
          </cell>
          <cell r="M62">
            <v>1.4499999999999999E-2</v>
          </cell>
          <cell r="P62" t="str">
            <v>$1-5 Billion</v>
          </cell>
          <cell r="Q62">
            <v>2.725E-2</v>
          </cell>
          <cell r="R62">
            <v>3.5499999999999997E-2</v>
          </cell>
          <cell r="S62">
            <v>3.0499999999999999E-2</v>
          </cell>
          <cell r="T62">
            <v>3.85E-2</v>
          </cell>
        </row>
        <row r="63">
          <cell r="A63" t="str">
            <v>Aerospace</v>
          </cell>
          <cell r="D63">
            <v>0.05</v>
          </cell>
          <cell r="E63">
            <v>0.05</v>
          </cell>
          <cell r="F63">
            <v>1</v>
          </cell>
          <cell r="I63" t="str">
            <v>$5-10 Billion</v>
          </cell>
          <cell r="J63">
            <v>4.5238095238095237E-2</v>
          </cell>
          <cell r="K63">
            <v>6.0476190476190475E-2</v>
          </cell>
          <cell r="L63">
            <v>4.4285714285714289E-2</v>
          </cell>
          <cell r="M63">
            <v>6.1904761904761907E-2</v>
          </cell>
          <cell r="P63" t="str">
            <v>$5-10 Billion</v>
          </cell>
          <cell r="Q63">
            <v>4.1428571428571433E-2</v>
          </cell>
          <cell r="R63">
            <v>6.8095238095238098E-2</v>
          </cell>
          <cell r="S63">
            <v>3.9761904761904762E-2</v>
          </cell>
          <cell r="T63">
            <v>6.0952380952380952E-2</v>
          </cell>
        </row>
        <row r="64">
          <cell r="A64" t="str">
            <v>Automotive</v>
          </cell>
          <cell r="D64">
            <v>7.0000000000000007E-2</v>
          </cell>
          <cell r="E64">
            <v>7.0000000000000007E-2</v>
          </cell>
          <cell r="F64">
            <v>1</v>
          </cell>
          <cell r="I64" t="str">
            <v>$10-15 Billion</v>
          </cell>
          <cell r="J64">
            <v>1.9285714285714285E-2</v>
          </cell>
          <cell r="K64">
            <v>3.428571428571428E-2</v>
          </cell>
          <cell r="L64">
            <v>6.4285714285714293E-3</v>
          </cell>
          <cell r="M64">
            <v>1.4285714285714285E-2</v>
          </cell>
          <cell r="P64" t="str">
            <v>$10-15 Billion</v>
          </cell>
          <cell r="Q64">
            <v>-1.3071428571428572E-2</v>
          </cell>
          <cell r="R64">
            <v>-0.01</v>
          </cell>
          <cell r="S64">
            <v>1.0714285714285714E-2</v>
          </cell>
          <cell r="T64">
            <v>3.0714285714285715E-2</v>
          </cell>
        </row>
        <row r="65">
          <cell r="A65" t="str">
            <v>Business services</v>
          </cell>
          <cell r="D65">
            <v>0.03</v>
          </cell>
          <cell r="E65">
            <v>1.5454545454545453E-2</v>
          </cell>
          <cell r="F65">
            <v>11</v>
          </cell>
          <cell r="I65" t="str">
            <v>$15-20 Billion</v>
          </cell>
          <cell r="J65">
            <v>4.3181818181818182E-2</v>
          </cell>
          <cell r="K65">
            <v>3.727272727272727E-2</v>
          </cell>
          <cell r="L65">
            <v>5.2727272727272727E-2</v>
          </cell>
          <cell r="M65">
            <v>1.4545454545454545E-2</v>
          </cell>
          <cell r="P65" t="str">
            <v>$15-20 Billion</v>
          </cell>
          <cell r="Q65">
            <v>4.4545454545454541E-2</v>
          </cell>
          <cell r="R65">
            <v>3.0909090909090907E-2</v>
          </cell>
          <cell r="S65">
            <v>2.0909090909090908E-2</v>
          </cell>
          <cell r="T65">
            <v>4.8181818181818187E-2</v>
          </cell>
        </row>
        <row r="66">
          <cell r="A66" t="str">
            <v>Communications</v>
          </cell>
          <cell r="D66">
            <v>0.05</v>
          </cell>
          <cell r="E66">
            <v>4.2857142857142858E-2</v>
          </cell>
          <cell r="F66">
            <v>7</v>
          </cell>
          <cell r="I66" t="str">
            <v>&gt;$20 Billion</v>
          </cell>
          <cell r="J66">
            <v>6.7500000000000004E-2</v>
          </cell>
          <cell r="K66">
            <v>1.2500000000000001E-2</v>
          </cell>
          <cell r="L66">
            <v>7.7499999999999999E-2</v>
          </cell>
          <cell r="M66">
            <v>0.03</v>
          </cell>
          <cell r="P66" t="str">
            <v>&gt;$20 Billion</v>
          </cell>
          <cell r="Q66">
            <v>7.4999999999999997E-2</v>
          </cell>
          <cell r="R66">
            <v>2.75E-2</v>
          </cell>
          <cell r="S66">
            <v>0.03</v>
          </cell>
          <cell r="T66">
            <v>3.7499999999999999E-2</v>
          </cell>
        </row>
        <row r="67">
          <cell r="A67" t="str">
            <v>Engineering / Construction</v>
          </cell>
          <cell r="D67">
            <v>-0.02</v>
          </cell>
          <cell r="E67">
            <v>-0.02</v>
          </cell>
          <cell r="F67">
            <v>2</v>
          </cell>
          <cell r="I67" t="str">
            <v>Overall</v>
          </cell>
          <cell r="J67">
            <v>2.775E-2</v>
          </cell>
          <cell r="K67">
            <v>2.7999999999999997E-2</v>
          </cell>
          <cell r="L67">
            <v>2.2099999999999998E-2</v>
          </cell>
          <cell r="M67">
            <v>1.9699999999999999E-2</v>
          </cell>
          <cell r="P67" t="str">
            <v>Overall</v>
          </cell>
          <cell r="Q67">
            <v>2.9819999999999999E-2</v>
          </cell>
          <cell r="R67">
            <v>3.0200000000000001E-2</v>
          </cell>
          <cell r="S67">
            <v>2.2749999999999999E-2</v>
          </cell>
          <cell r="T67">
            <v>4.0199999999999993E-2</v>
          </cell>
        </row>
        <row r="68">
          <cell r="A68" t="str">
            <v>Financial services</v>
          </cell>
          <cell r="D68">
            <v>0.05</v>
          </cell>
          <cell r="E68">
            <v>3.2500000000000001E-2</v>
          </cell>
          <cell r="F68">
            <v>20</v>
          </cell>
        </row>
        <row r="69">
          <cell r="A69" t="str">
            <v>Healthcare</v>
          </cell>
          <cell r="D69">
            <v>0.125</v>
          </cell>
          <cell r="E69">
            <v>0.11666666666666665</v>
          </cell>
          <cell r="F69">
            <v>6</v>
          </cell>
        </row>
        <row r="70">
          <cell r="A70" t="str">
            <v>Hospitality / Leisure</v>
          </cell>
          <cell r="D70">
            <v>0.04</v>
          </cell>
          <cell r="E70">
            <v>0.04</v>
          </cell>
          <cell r="F70">
            <v>1</v>
          </cell>
        </row>
        <row r="71">
          <cell r="A71" t="str">
            <v>Logistics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Manufacturing</v>
          </cell>
          <cell r="D72">
            <v>0.02</v>
          </cell>
          <cell r="E72">
            <v>2.5000000000000001E-2</v>
          </cell>
          <cell r="F72">
            <v>22</v>
          </cell>
        </row>
        <row r="73">
          <cell r="A73" t="str">
            <v>Media</v>
          </cell>
          <cell r="D73">
            <v>0.05</v>
          </cell>
          <cell r="E73">
            <v>0.05</v>
          </cell>
          <cell r="F73">
            <v>1</v>
          </cell>
        </row>
        <row r="74">
          <cell r="A74" t="str">
            <v>Mining &amp; Minerals</v>
          </cell>
          <cell r="D74">
            <v>0.03</v>
          </cell>
          <cell r="E74">
            <v>0.03</v>
          </cell>
          <cell r="F74">
            <v>1</v>
          </cell>
        </row>
        <row r="75">
          <cell r="A75" t="str">
            <v>Pharmaceuticals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Retail</v>
          </cell>
          <cell r="D76">
            <v>1.4999999999999999E-2</v>
          </cell>
          <cell r="E76">
            <v>8.7500000000000008E-3</v>
          </cell>
          <cell r="F76">
            <v>8</v>
          </cell>
        </row>
        <row r="77">
          <cell r="A77" t="str">
            <v>Technology</v>
          </cell>
          <cell r="D77">
            <v>0</v>
          </cell>
          <cell r="E77">
            <v>-6.3636363636363638E-3</v>
          </cell>
          <cell r="F77">
            <v>11</v>
          </cell>
        </row>
        <row r="78">
          <cell r="A78" t="str">
            <v>Transportation</v>
          </cell>
          <cell r="D78">
            <v>7.0000000000000007E-2</v>
          </cell>
          <cell r="E78">
            <v>7.0000000000000007E-2</v>
          </cell>
          <cell r="F78">
            <v>2</v>
          </cell>
        </row>
        <row r="79">
          <cell r="A79" t="str">
            <v>Utilities</v>
          </cell>
          <cell r="D79">
            <v>-0.02</v>
          </cell>
          <cell r="E79">
            <v>-0.02</v>
          </cell>
          <cell r="F79">
            <v>2</v>
          </cell>
        </row>
        <row r="80">
          <cell r="A80" t="str">
            <v>Wholesale / Distribution</v>
          </cell>
          <cell r="D80">
            <v>6.5000000000000002E-2</v>
          </cell>
          <cell r="E80">
            <v>6.5000000000000002E-2</v>
          </cell>
          <cell r="F80">
            <v>2</v>
          </cell>
        </row>
        <row r="81">
          <cell r="A81" t="str">
            <v>Overall</v>
          </cell>
          <cell r="D81">
            <v>0.03</v>
          </cell>
          <cell r="E81">
            <v>2.7999999999999997E-2</v>
          </cell>
          <cell r="F81">
            <v>100</v>
          </cell>
        </row>
        <row r="83">
          <cell r="A83" t="str">
            <v>Revenue</v>
          </cell>
          <cell r="D83" t="str">
            <v>Median</v>
          </cell>
          <cell r="E83" t="str">
            <v>Average</v>
          </cell>
          <cell r="F83" t="str">
            <v>total</v>
          </cell>
        </row>
        <row r="84">
          <cell r="A84" t="str">
            <v>&lt;$500 Million</v>
          </cell>
          <cell r="D84">
            <v>7.4999999999999997E-2</v>
          </cell>
          <cell r="E84">
            <v>7.4999999999999997E-2</v>
          </cell>
          <cell r="F84">
            <v>2</v>
          </cell>
        </row>
        <row r="85">
          <cell r="A85" t="str">
            <v>$500 Million - $1 Billion</v>
          </cell>
          <cell r="D85">
            <v>5.0000000000000001E-3</v>
          </cell>
          <cell r="E85">
            <v>6.0714285714285714E-3</v>
          </cell>
          <cell r="F85">
            <v>28</v>
          </cell>
        </row>
        <row r="86">
          <cell r="A86" t="str">
            <v>$1-5 Billion</v>
          </cell>
          <cell r="D86">
            <v>0</v>
          </cell>
          <cell r="E86">
            <v>1.3500000000000002E-2</v>
          </cell>
          <cell r="F86">
            <v>20</v>
          </cell>
        </row>
        <row r="87">
          <cell r="A87" t="str">
            <v>$5-10 Billion</v>
          </cell>
          <cell r="D87">
            <v>0.05</v>
          </cell>
          <cell r="E87">
            <v>6.0476190476190475E-2</v>
          </cell>
          <cell r="F87">
            <v>21</v>
          </cell>
        </row>
        <row r="88">
          <cell r="A88" t="str">
            <v>$10-15 Billion</v>
          </cell>
          <cell r="D88">
            <v>0.04</v>
          </cell>
          <cell r="E88">
            <v>3.428571428571428E-2</v>
          </cell>
          <cell r="F88">
            <v>14</v>
          </cell>
        </row>
        <row r="89">
          <cell r="A89" t="str">
            <v>$15-20 Billion</v>
          </cell>
          <cell r="D89">
            <v>0.05</v>
          </cell>
          <cell r="E89">
            <v>3.727272727272727E-2</v>
          </cell>
          <cell r="F89">
            <v>11</v>
          </cell>
        </row>
        <row r="90">
          <cell r="A90" t="str">
            <v>&gt;$20 Billion</v>
          </cell>
          <cell r="D90">
            <v>0.05</v>
          </cell>
          <cell r="E90">
            <v>1.2500000000000001E-2</v>
          </cell>
          <cell r="F90">
            <v>4</v>
          </cell>
        </row>
        <row r="91">
          <cell r="A91" t="str">
            <v>Overall</v>
          </cell>
          <cell r="D91">
            <v>0.03</v>
          </cell>
          <cell r="E91">
            <v>2.7999999999999997E-2</v>
          </cell>
          <cell r="F91">
            <v>100</v>
          </cell>
        </row>
        <row r="93">
          <cell r="A93" t="str">
            <v>Response</v>
          </cell>
        </row>
        <row r="94">
          <cell r="A94">
            <v>0.2</v>
          </cell>
          <cell r="B94">
            <v>1</v>
          </cell>
        </row>
        <row r="95">
          <cell r="A95">
            <v>0.15</v>
          </cell>
          <cell r="B95">
            <v>4</v>
          </cell>
        </row>
        <row r="96">
          <cell r="A96">
            <v>0.13</v>
          </cell>
          <cell r="B96">
            <v>2</v>
          </cell>
        </row>
        <row r="97">
          <cell r="A97">
            <v>0.12</v>
          </cell>
          <cell r="B97">
            <v>2</v>
          </cell>
        </row>
        <row r="98">
          <cell r="A98">
            <v>0.11</v>
          </cell>
          <cell r="B98">
            <v>1</v>
          </cell>
        </row>
        <row r="99">
          <cell r="A99">
            <v>0.1</v>
          </cell>
          <cell r="B99">
            <v>8</v>
          </cell>
        </row>
        <row r="100">
          <cell r="A100">
            <v>0.08</v>
          </cell>
          <cell r="B100">
            <v>1</v>
          </cell>
        </row>
        <row r="101">
          <cell r="A101">
            <v>7.0000000000000007E-2</v>
          </cell>
          <cell r="B101">
            <v>3</v>
          </cell>
        </row>
        <row r="102">
          <cell r="A102">
            <v>0.06</v>
          </cell>
          <cell r="B102">
            <v>2</v>
          </cell>
        </row>
        <row r="103">
          <cell r="A103">
            <v>0.05</v>
          </cell>
          <cell r="B103">
            <v>21</v>
          </cell>
        </row>
        <row r="104">
          <cell r="A104">
            <v>0.04</v>
          </cell>
          <cell r="B104">
            <v>1</v>
          </cell>
        </row>
        <row r="105">
          <cell r="A105">
            <v>0.03</v>
          </cell>
          <cell r="B105">
            <v>6</v>
          </cell>
        </row>
        <row r="106">
          <cell r="A106">
            <v>0.02</v>
          </cell>
          <cell r="B106">
            <v>5</v>
          </cell>
        </row>
        <row r="107">
          <cell r="A107">
            <v>0.01</v>
          </cell>
          <cell r="B107">
            <v>1</v>
          </cell>
        </row>
        <row r="108">
          <cell r="A108">
            <v>0</v>
          </cell>
          <cell r="B108">
            <v>20</v>
          </cell>
        </row>
        <row r="109">
          <cell r="A109">
            <v>-0.02</v>
          </cell>
          <cell r="B109">
            <v>1</v>
          </cell>
        </row>
        <row r="110">
          <cell r="A110">
            <v>-0.03</v>
          </cell>
          <cell r="B110">
            <v>2</v>
          </cell>
        </row>
        <row r="111">
          <cell r="A111">
            <v>-0.04</v>
          </cell>
          <cell r="B111">
            <v>1</v>
          </cell>
        </row>
        <row r="112">
          <cell r="A112">
            <v>-0.05</v>
          </cell>
          <cell r="B112">
            <v>13</v>
          </cell>
        </row>
        <row r="113">
          <cell r="A113">
            <v>-0.06</v>
          </cell>
          <cell r="B113">
            <v>1</v>
          </cell>
        </row>
        <row r="114">
          <cell r="A114">
            <v>-7.0000000000000007E-2</v>
          </cell>
          <cell r="B114">
            <v>1</v>
          </cell>
        </row>
        <row r="115">
          <cell r="A115">
            <v>-0.1</v>
          </cell>
          <cell r="B115">
            <v>3</v>
          </cell>
          <cell r="D115" t="str">
            <v xml:space="preserve"> </v>
          </cell>
        </row>
        <row r="116">
          <cell r="B116">
            <v>100</v>
          </cell>
        </row>
        <row r="118">
          <cell r="A118" t="str">
            <v>Communications Equipment</v>
          </cell>
        </row>
        <row r="119">
          <cell r="A119" t="str">
            <v>Industry</v>
          </cell>
          <cell r="D119" t="str">
            <v>Median</v>
          </cell>
          <cell r="E119" t="str">
            <v>Average</v>
          </cell>
          <cell r="F119" t="str">
            <v>total</v>
          </cell>
        </row>
        <row r="120">
          <cell r="A120" t="str">
            <v>Aerospace</v>
          </cell>
          <cell r="D120">
            <v>0.05</v>
          </cell>
          <cell r="E120">
            <v>0.05</v>
          </cell>
          <cell r="F120">
            <v>1</v>
          </cell>
        </row>
        <row r="121">
          <cell r="A121" t="str">
            <v>Automotive</v>
          </cell>
          <cell r="D121">
            <v>0.05</v>
          </cell>
          <cell r="E121">
            <v>0.05</v>
          </cell>
          <cell r="F121">
            <v>1</v>
          </cell>
        </row>
        <row r="122">
          <cell r="A122" t="str">
            <v>Business services</v>
          </cell>
          <cell r="D122">
            <v>0</v>
          </cell>
          <cell r="E122">
            <v>-1.8181818181818182E-3</v>
          </cell>
          <cell r="F122">
            <v>11</v>
          </cell>
        </row>
        <row r="123">
          <cell r="A123" t="str">
            <v>Communications</v>
          </cell>
          <cell r="D123">
            <v>0.05</v>
          </cell>
          <cell r="E123">
            <v>4.7142857142857146E-2</v>
          </cell>
          <cell r="F123">
            <v>7</v>
          </cell>
        </row>
        <row r="124">
          <cell r="A124" t="str">
            <v>Engineering / Construction</v>
          </cell>
          <cell r="D124">
            <v>1.4999999999999999E-2</v>
          </cell>
          <cell r="E124">
            <v>1.4999999999999999E-2</v>
          </cell>
          <cell r="F124">
            <v>2</v>
          </cell>
        </row>
        <row r="125">
          <cell r="A125" t="str">
            <v>Financial services</v>
          </cell>
          <cell r="D125">
            <v>3.5000000000000003E-2</v>
          </cell>
          <cell r="E125">
            <v>3.3500000000000002E-2</v>
          </cell>
          <cell r="F125">
            <v>20</v>
          </cell>
        </row>
        <row r="126">
          <cell r="A126" t="str">
            <v>Healthcare</v>
          </cell>
          <cell r="D126">
            <v>3.5000000000000003E-2</v>
          </cell>
          <cell r="E126">
            <v>3.6666666666666667E-2</v>
          </cell>
          <cell r="F126">
            <v>6</v>
          </cell>
        </row>
        <row r="127">
          <cell r="A127" t="str">
            <v>Hospitality / Leisure</v>
          </cell>
          <cell r="D127">
            <v>0</v>
          </cell>
          <cell r="E127">
            <v>0</v>
          </cell>
          <cell r="F127">
            <v>1</v>
          </cell>
        </row>
        <row r="128">
          <cell r="A128" t="str">
            <v>Logistics</v>
          </cell>
          <cell r="D128">
            <v>0</v>
          </cell>
          <cell r="E128">
            <v>0</v>
          </cell>
          <cell r="F128">
            <v>1</v>
          </cell>
        </row>
        <row r="129">
          <cell r="A129" t="str">
            <v>Manufacturing</v>
          </cell>
          <cell r="D129">
            <v>1.4999999999999999E-2</v>
          </cell>
          <cell r="E129">
            <v>1.6363636363636365E-2</v>
          </cell>
          <cell r="F129">
            <v>22</v>
          </cell>
        </row>
        <row r="130">
          <cell r="A130" t="str">
            <v>Media</v>
          </cell>
          <cell r="D130">
            <v>0.08</v>
          </cell>
          <cell r="E130">
            <v>0.08</v>
          </cell>
          <cell r="F130">
            <v>1</v>
          </cell>
        </row>
        <row r="131">
          <cell r="A131" t="str">
            <v>Mining &amp; Minerals</v>
          </cell>
          <cell r="D131">
            <v>0.04</v>
          </cell>
          <cell r="E131">
            <v>0.04</v>
          </cell>
          <cell r="F131">
            <v>1</v>
          </cell>
        </row>
        <row r="132">
          <cell r="A132" t="str">
            <v>Pharmaceuticals</v>
          </cell>
          <cell r="D132">
            <v>-0.05</v>
          </cell>
          <cell r="E132">
            <v>-0.05</v>
          </cell>
          <cell r="F132">
            <v>1</v>
          </cell>
        </row>
        <row r="133">
          <cell r="A133" t="str">
            <v>Retail</v>
          </cell>
          <cell r="D133">
            <v>2.5000000000000001E-2</v>
          </cell>
          <cell r="E133">
            <v>1.7500000000000002E-2</v>
          </cell>
          <cell r="F133">
            <v>8</v>
          </cell>
        </row>
        <row r="134">
          <cell r="A134" t="str">
            <v>Technology</v>
          </cell>
          <cell r="D134">
            <v>0</v>
          </cell>
          <cell r="E134">
            <v>8.1818181818181825E-3</v>
          </cell>
          <cell r="F134">
            <v>11</v>
          </cell>
        </row>
        <row r="135">
          <cell r="A135" t="str">
            <v>Transportation</v>
          </cell>
          <cell r="D135">
            <v>2.5000000000000001E-2</v>
          </cell>
          <cell r="E135">
            <v>2.5000000000000001E-2</v>
          </cell>
          <cell r="F135">
            <v>2</v>
          </cell>
        </row>
        <row r="136">
          <cell r="A136" t="str">
            <v>Utilities</v>
          </cell>
          <cell r="D136">
            <v>3.5000000000000003E-2</v>
          </cell>
          <cell r="E136">
            <v>3.5000000000000003E-2</v>
          </cell>
          <cell r="F136">
            <v>2</v>
          </cell>
        </row>
        <row r="137">
          <cell r="A137" t="str">
            <v>Wholesale / Distribution</v>
          </cell>
          <cell r="D137">
            <v>0.05</v>
          </cell>
          <cell r="E137">
            <v>0.05</v>
          </cell>
          <cell r="F137">
            <v>2</v>
          </cell>
        </row>
        <row r="138">
          <cell r="A138" t="str">
            <v>Overall</v>
          </cell>
          <cell r="D138">
            <v>0.02</v>
          </cell>
          <cell r="E138">
            <v>2.2099999999999998E-2</v>
          </cell>
          <cell r="F138">
            <v>100</v>
          </cell>
        </row>
        <row r="140">
          <cell r="A140" t="str">
            <v>Revenue</v>
          </cell>
          <cell r="D140" t="str">
            <v>Median</v>
          </cell>
          <cell r="E140" t="str">
            <v>Average</v>
          </cell>
          <cell r="F140" t="str">
            <v>total</v>
          </cell>
        </row>
        <row r="141">
          <cell r="A141" t="str">
            <v>&lt;$500 Million</v>
          </cell>
          <cell r="D141">
            <v>0.05</v>
          </cell>
          <cell r="E141">
            <v>0.05</v>
          </cell>
          <cell r="F141">
            <v>2</v>
          </cell>
        </row>
        <row r="142">
          <cell r="A142" t="str">
            <v>$500 Million - $1 Billion</v>
          </cell>
          <cell r="D142">
            <v>0</v>
          </cell>
          <cell r="E142">
            <v>-3.5714285714285714E-4</v>
          </cell>
          <cell r="F142">
            <v>28</v>
          </cell>
        </row>
        <row r="143">
          <cell r="A143" t="str">
            <v>$1-5 Billion</v>
          </cell>
          <cell r="D143">
            <v>0</v>
          </cell>
          <cell r="E143">
            <v>1.0500000000000001E-2</v>
          </cell>
          <cell r="F143">
            <v>20</v>
          </cell>
        </row>
        <row r="144">
          <cell r="A144" t="str">
            <v>$5-10 Billion</v>
          </cell>
          <cell r="D144">
            <v>0.05</v>
          </cell>
          <cell r="E144">
            <v>4.4285714285714289E-2</v>
          </cell>
          <cell r="F144">
            <v>21</v>
          </cell>
        </row>
        <row r="145">
          <cell r="A145" t="str">
            <v>$10-15 Billion</v>
          </cell>
          <cell r="D145">
            <v>0</v>
          </cell>
          <cell r="E145">
            <v>6.4285714285714293E-3</v>
          </cell>
          <cell r="F145">
            <v>14</v>
          </cell>
        </row>
        <row r="146">
          <cell r="A146" t="str">
            <v>$15-20 Billion</v>
          </cell>
          <cell r="D146">
            <v>0.05</v>
          </cell>
          <cell r="E146">
            <v>5.2727272727272727E-2</v>
          </cell>
          <cell r="F146">
            <v>11</v>
          </cell>
        </row>
        <row r="147">
          <cell r="A147" t="str">
            <v>&gt;$20 Billion</v>
          </cell>
          <cell r="D147">
            <v>0.08</v>
          </cell>
          <cell r="E147">
            <v>7.7499999999999999E-2</v>
          </cell>
          <cell r="F147">
            <v>4</v>
          </cell>
        </row>
        <row r="148">
          <cell r="A148" t="str">
            <v>Overall</v>
          </cell>
          <cell r="D148">
            <v>0.02</v>
          </cell>
          <cell r="E148">
            <v>2.2099999999999998E-2</v>
          </cell>
          <cell r="F148">
            <v>100</v>
          </cell>
        </row>
        <row r="150">
          <cell r="A150" t="str">
            <v>Response</v>
          </cell>
        </row>
        <row r="151">
          <cell r="A151">
            <v>0.15</v>
          </cell>
          <cell r="B151">
            <v>3</v>
          </cell>
        </row>
        <row r="152">
          <cell r="A152">
            <v>0.1</v>
          </cell>
          <cell r="B152">
            <v>8</v>
          </cell>
        </row>
        <row r="153">
          <cell r="A153">
            <v>0.08</v>
          </cell>
          <cell r="B153">
            <v>4</v>
          </cell>
        </row>
        <row r="154">
          <cell r="A154">
            <v>7.0000000000000007E-2</v>
          </cell>
          <cell r="B154">
            <v>2</v>
          </cell>
        </row>
        <row r="155">
          <cell r="A155">
            <v>0.06</v>
          </cell>
          <cell r="B155">
            <v>1</v>
          </cell>
        </row>
        <row r="156">
          <cell r="A156">
            <v>0.05</v>
          </cell>
          <cell r="B156">
            <v>24</v>
          </cell>
        </row>
        <row r="157">
          <cell r="A157">
            <v>0.04</v>
          </cell>
          <cell r="B157">
            <v>3</v>
          </cell>
        </row>
        <row r="158">
          <cell r="A158">
            <v>0.03</v>
          </cell>
          <cell r="B158">
            <v>3</v>
          </cell>
        </row>
        <row r="159">
          <cell r="A159">
            <v>0.02</v>
          </cell>
          <cell r="B159">
            <v>5</v>
          </cell>
        </row>
        <row r="160">
          <cell r="A160">
            <v>0.01</v>
          </cell>
          <cell r="B160">
            <v>1</v>
          </cell>
        </row>
        <row r="161">
          <cell r="A161">
            <v>0</v>
          </cell>
          <cell r="B161">
            <v>24</v>
          </cell>
        </row>
        <row r="162">
          <cell r="A162">
            <v>-0.01</v>
          </cell>
          <cell r="B162">
            <v>1</v>
          </cell>
        </row>
        <row r="163">
          <cell r="A163">
            <v>-0.02</v>
          </cell>
          <cell r="B163">
            <v>3</v>
          </cell>
        </row>
        <row r="164">
          <cell r="A164">
            <v>-0.03</v>
          </cell>
          <cell r="B164">
            <v>3</v>
          </cell>
        </row>
        <row r="165">
          <cell r="A165">
            <v>-0.05</v>
          </cell>
          <cell r="B165">
            <v>11</v>
          </cell>
        </row>
        <row r="166">
          <cell r="A166">
            <v>-7.0000000000000007E-2</v>
          </cell>
          <cell r="B166">
            <v>1</v>
          </cell>
        </row>
        <row r="167">
          <cell r="A167">
            <v>-0.1</v>
          </cell>
          <cell r="B167">
            <v>3</v>
          </cell>
        </row>
        <row r="168">
          <cell r="B168">
            <v>100</v>
          </cell>
        </row>
        <row r="170">
          <cell r="A170" t="str">
            <v>Professional Services</v>
          </cell>
        </row>
        <row r="171">
          <cell r="A171" t="str">
            <v>Industry</v>
          </cell>
          <cell r="D171" t="str">
            <v>Median</v>
          </cell>
          <cell r="E171" t="str">
            <v>Average</v>
          </cell>
          <cell r="F171" t="str">
            <v>total</v>
          </cell>
        </row>
        <row r="172">
          <cell r="A172" t="str">
            <v>Aerospace</v>
          </cell>
          <cell r="D172">
            <v>0.05</v>
          </cell>
          <cell r="E172">
            <v>0.05</v>
          </cell>
          <cell r="F172">
            <v>1</v>
          </cell>
        </row>
        <row r="173">
          <cell r="A173" t="str">
            <v>Automotive</v>
          </cell>
          <cell r="D173">
            <v>0.12</v>
          </cell>
          <cell r="E173">
            <v>0.12</v>
          </cell>
          <cell r="F173">
            <v>1</v>
          </cell>
        </row>
        <row r="174">
          <cell r="A174" t="str">
            <v>Business services</v>
          </cell>
          <cell r="D174">
            <v>0</v>
          </cell>
          <cell r="E174">
            <v>1.9090909090909092E-2</v>
          </cell>
          <cell r="F174">
            <v>11</v>
          </cell>
        </row>
        <row r="175">
          <cell r="A175" t="str">
            <v>Communications</v>
          </cell>
          <cell r="D175">
            <v>0.05</v>
          </cell>
          <cell r="E175">
            <v>5.1428571428571435E-2</v>
          </cell>
          <cell r="F175">
            <v>7</v>
          </cell>
        </row>
        <row r="176">
          <cell r="A176" t="str">
            <v>Engineering / Construction</v>
          </cell>
          <cell r="D176">
            <v>-0.01</v>
          </cell>
          <cell r="E176">
            <v>-0.01</v>
          </cell>
          <cell r="F176">
            <v>2</v>
          </cell>
        </row>
        <row r="177">
          <cell r="A177" t="str">
            <v>Financial services</v>
          </cell>
          <cell r="D177">
            <v>0.02</v>
          </cell>
          <cell r="E177">
            <v>1.3500000000000002E-2</v>
          </cell>
          <cell r="F177">
            <v>20</v>
          </cell>
        </row>
        <row r="178">
          <cell r="A178" t="str">
            <v>Healthcare</v>
          </cell>
          <cell r="D178">
            <v>0.05</v>
          </cell>
          <cell r="E178">
            <v>7.8333333333333324E-2</v>
          </cell>
          <cell r="F178">
            <v>6</v>
          </cell>
        </row>
        <row r="179">
          <cell r="A179" t="str">
            <v>Hospitality / Leisure</v>
          </cell>
          <cell r="D179">
            <v>0.04</v>
          </cell>
          <cell r="E179">
            <v>0.04</v>
          </cell>
          <cell r="F179">
            <v>1</v>
          </cell>
        </row>
        <row r="180">
          <cell r="A180" t="str">
            <v>Logistics</v>
          </cell>
          <cell r="D180">
            <v>0.03</v>
          </cell>
          <cell r="E180">
            <v>0.03</v>
          </cell>
          <cell r="F180">
            <v>1</v>
          </cell>
        </row>
        <row r="181">
          <cell r="A181" t="str">
            <v>Manufacturing</v>
          </cell>
          <cell r="D181">
            <v>0</v>
          </cell>
          <cell r="E181">
            <v>0.02</v>
          </cell>
          <cell r="F181">
            <v>22</v>
          </cell>
        </row>
        <row r="182">
          <cell r="A182" t="str">
            <v>Media</v>
          </cell>
          <cell r="D182">
            <v>-0.05</v>
          </cell>
          <cell r="E182">
            <v>-0.05</v>
          </cell>
          <cell r="F182">
            <v>1</v>
          </cell>
        </row>
        <row r="183">
          <cell r="A183" t="str">
            <v>Mining &amp; Minerals</v>
          </cell>
          <cell r="D183">
            <v>0.02</v>
          </cell>
          <cell r="E183">
            <v>0.02</v>
          </cell>
          <cell r="F183">
            <v>1</v>
          </cell>
        </row>
        <row r="184">
          <cell r="A184" t="str">
            <v>Pharmaceuticals</v>
          </cell>
          <cell r="D184">
            <v>0.02</v>
          </cell>
          <cell r="E184">
            <v>0.02</v>
          </cell>
          <cell r="F184">
            <v>1</v>
          </cell>
        </row>
        <row r="185">
          <cell r="A185" t="str">
            <v>Retail</v>
          </cell>
          <cell r="D185">
            <v>0</v>
          </cell>
          <cell r="E185">
            <v>-1.375E-2</v>
          </cell>
          <cell r="F185">
            <v>8</v>
          </cell>
        </row>
        <row r="186">
          <cell r="A186" t="str">
            <v>Technology</v>
          </cell>
          <cell r="D186">
            <v>0</v>
          </cell>
          <cell r="E186">
            <v>-1.8181818181818181E-2</v>
          </cell>
          <cell r="F186">
            <v>11</v>
          </cell>
        </row>
        <row r="187">
          <cell r="A187" t="str">
            <v>Transportation</v>
          </cell>
          <cell r="D187">
            <v>8.5000000000000006E-2</v>
          </cell>
          <cell r="E187">
            <v>8.5000000000000006E-2</v>
          </cell>
          <cell r="F187">
            <v>2</v>
          </cell>
        </row>
        <row r="188">
          <cell r="A188" t="str">
            <v>Utilities</v>
          </cell>
          <cell r="D188">
            <v>0.05</v>
          </cell>
          <cell r="E188">
            <v>0.05</v>
          </cell>
          <cell r="F188">
            <v>2</v>
          </cell>
        </row>
        <row r="189">
          <cell r="A189" t="str">
            <v>Wholesale / Distribution</v>
          </cell>
          <cell r="D189">
            <v>2.5000000000000001E-2</v>
          </cell>
          <cell r="E189">
            <v>2.5000000000000001E-2</v>
          </cell>
          <cell r="F189">
            <v>2</v>
          </cell>
        </row>
        <row r="190">
          <cell r="A190" t="str">
            <v>Overall</v>
          </cell>
          <cell r="D190">
            <v>0.03</v>
          </cell>
          <cell r="E190">
            <v>1.9699999999999999E-2</v>
          </cell>
          <cell r="F190">
            <v>100</v>
          </cell>
        </row>
        <row r="192">
          <cell r="A192" t="str">
            <v>Revenue</v>
          </cell>
          <cell r="D192" t="str">
            <v>Median</v>
          </cell>
          <cell r="E192" t="str">
            <v>Average</v>
          </cell>
          <cell r="F192" t="str">
            <v>total</v>
          </cell>
        </row>
        <row r="193">
          <cell r="A193" t="str">
            <v>&lt;$500 Million</v>
          </cell>
          <cell r="D193">
            <v>0.05</v>
          </cell>
          <cell r="E193">
            <v>0.05</v>
          </cell>
          <cell r="F193">
            <v>2</v>
          </cell>
        </row>
        <row r="194">
          <cell r="A194" t="str">
            <v>$500 Million - $1 Billion</v>
          </cell>
          <cell r="D194">
            <v>0</v>
          </cell>
          <cell r="E194">
            <v>-7.1428571428571426E-3</v>
          </cell>
          <cell r="F194">
            <v>28</v>
          </cell>
        </row>
        <row r="195">
          <cell r="A195" t="str">
            <v>$1-5 Billion</v>
          </cell>
          <cell r="D195">
            <v>0.03</v>
          </cell>
          <cell r="E195">
            <v>1.4499999999999999E-2</v>
          </cell>
          <cell r="F195">
            <v>20</v>
          </cell>
        </row>
        <row r="196">
          <cell r="A196" t="str">
            <v>$5-10 Billion</v>
          </cell>
          <cell r="D196">
            <v>7.0000000000000007E-2</v>
          </cell>
          <cell r="E196">
            <v>6.1904761904761907E-2</v>
          </cell>
          <cell r="F196">
            <v>21</v>
          </cell>
        </row>
        <row r="197">
          <cell r="A197" t="str">
            <v>$10-15 Billion</v>
          </cell>
          <cell r="D197">
            <v>0.05</v>
          </cell>
          <cell r="E197">
            <v>1.4285714285714285E-2</v>
          </cell>
          <cell r="F197">
            <v>14</v>
          </cell>
        </row>
        <row r="198">
          <cell r="A198" t="str">
            <v>$15-20 Billion</v>
          </cell>
          <cell r="D198">
            <v>0.03</v>
          </cell>
          <cell r="E198">
            <v>1.4545454545454545E-2</v>
          </cell>
          <cell r="F198">
            <v>11</v>
          </cell>
        </row>
        <row r="199">
          <cell r="A199" t="str">
            <v>&gt;$20 Billion</v>
          </cell>
          <cell r="D199">
            <v>2.5000000000000001E-2</v>
          </cell>
          <cell r="E199">
            <v>0.03</v>
          </cell>
          <cell r="F199">
            <v>4</v>
          </cell>
        </row>
        <row r="200">
          <cell r="A200" t="str">
            <v>Overall</v>
          </cell>
          <cell r="D200">
            <v>0.03</v>
          </cell>
          <cell r="E200">
            <v>1.9699999999999999E-2</v>
          </cell>
          <cell r="F200">
            <v>100</v>
          </cell>
        </row>
        <row r="202">
          <cell r="A202" t="str">
            <v>Response</v>
          </cell>
        </row>
        <row r="203">
          <cell r="A203">
            <v>0.2</v>
          </cell>
          <cell r="B203">
            <v>2</v>
          </cell>
        </row>
        <row r="204">
          <cell r="A204">
            <v>0.12</v>
          </cell>
          <cell r="B204">
            <v>6</v>
          </cell>
        </row>
        <row r="205">
          <cell r="A205">
            <v>0.1</v>
          </cell>
          <cell r="B205">
            <v>10</v>
          </cell>
        </row>
        <row r="206">
          <cell r="A206">
            <v>0.08</v>
          </cell>
          <cell r="B206">
            <v>1</v>
          </cell>
        </row>
        <row r="207">
          <cell r="A207">
            <v>7.0000000000000007E-2</v>
          </cell>
          <cell r="B207">
            <v>6</v>
          </cell>
        </row>
        <row r="208">
          <cell r="A208">
            <v>0.05</v>
          </cell>
          <cell r="B208">
            <v>18</v>
          </cell>
        </row>
        <row r="209">
          <cell r="A209">
            <v>0.04</v>
          </cell>
          <cell r="B209">
            <v>2</v>
          </cell>
        </row>
        <row r="210">
          <cell r="A210">
            <v>0.03</v>
          </cell>
          <cell r="B210">
            <v>6</v>
          </cell>
        </row>
        <row r="211">
          <cell r="A211">
            <v>0.02</v>
          </cell>
          <cell r="B211">
            <v>5</v>
          </cell>
        </row>
        <row r="212">
          <cell r="A212">
            <v>0</v>
          </cell>
          <cell r="B212">
            <v>17</v>
          </cell>
        </row>
        <row r="213">
          <cell r="A213">
            <v>-0.02</v>
          </cell>
          <cell r="B213">
            <v>1</v>
          </cell>
        </row>
        <row r="214">
          <cell r="A214">
            <v>-0.03</v>
          </cell>
          <cell r="B214">
            <v>1</v>
          </cell>
        </row>
        <row r="215">
          <cell r="A215">
            <v>-0.05</v>
          </cell>
          <cell r="B215">
            <v>12</v>
          </cell>
        </row>
        <row r="216">
          <cell r="A216">
            <v>-7.0000000000000007E-2</v>
          </cell>
          <cell r="B216">
            <v>3</v>
          </cell>
        </row>
        <row r="217">
          <cell r="A217">
            <v>-0.1</v>
          </cell>
          <cell r="B217">
            <v>8</v>
          </cell>
        </row>
        <row r="218">
          <cell r="A218">
            <v>-0.12</v>
          </cell>
          <cell r="B218">
            <v>1</v>
          </cell>
        </row>
        <row r="219">
          <cell r="A219">
            <v>-0.13</v>
          </cell>
          <cell r="B219">
            <v>1</v>
          </cell>
        </row>
        <row r="220">
          <cell r="B220">
            <v>100</v>
          </cell>
        </row>
        <row r="222">
          <cell r="A222" t="str">
            <v>2011 vs. 2010</v>
          </cell>
        </row>
        <row r="223">
          <cell r="A223" t="str">
            <v>Hardware</v>
          </cell>
        </row>
        <row r="224">
          <cell r="A224" t="str">
            <v>Industry</v>
          </cell>
          <cell r="D224" t="str">
            <v>Median</v>
          </cell>
          <cell r="E224" t="str">
            <v>Average</v>
          </cell>
          <cell r="F224" t="str">
            <v>total</v>
          </cell>
        </row>
        <row r="225">
          <cell r="A225" t="str">
            <v>Aerospace</v>
          </cell>
          <cell r="D225">
            <v>-0.03</v>
          </cell>
          <cell r="E225">
            <v>-0.03</v>
          </cell>
          <cell r="F225">
            <v>1</v>
          </cell>
        </row>
        <row r="226">
          <cell r="A226" t="str">
            <v>Automotive</v>
          </cell>
          <cell r="D226">
            <v>0.05</v>
          </cell>
          <cell r="E226">
            <v>0.05</v>
          </cell>
          <cell r="F226">
            <v>1</v>
          </cell>
        </row>
        <row r="227">
          <cell r="A227" t="str">
            <v>Business services</v>
          </cell>
          <cell r="D227">
            <v>0</v>
          </cell>
          <cell r="E227">
            <v>2.7272727272727271E-2</v>
          </cell>
          <cell r="F227">
            <v>11</v>
          </cell>
        </row>
        <row r="228">
          <cell r="A228" t="str">
            <v>Communications</v>
          </cell>
          <cell r="D228">
            <v>0</v>
          </cell>
          <cell r="E228">
            <v>1.0714285714285714E-2</v>
          </cell>
          <cell r="F228">
            <v>7</v>
          </cell>
        </row>
        <row r="229">
          <cell r="A229" t="str">
            <v>Engineering / Construction</v>
          </cell>
          <cell r="D229">
            <v>8.5000000000000006E-2</v>
          </cell>
          <cell r="E229">
            <v>8.5000000000000006E-2</v>
          </cell>
          <cell r="F229">
            <v>2</v>
          </cell>
        </row>
        <row r="230">
          <cell r="A230" t="str">
            <v>Financial services</v>
          </cell>
          <cell r="D230">
            <v>0.03</v>
          </cell>
          <cell r="E230">
            <v>2.5000000000000001E-2</v>
          </cell>
          <cell r="F230">
            <v>20</v>
          </cell>
        </row>
        <row r="231">
          <cell r="A231" t="str">
            <v>Healthcare</v>
          </cell>
          <cell r="D231">
            <v>3.5000000000000003E-2</v>
          </cell>
          <cell r="E231">
            <v>4.4999999999999998E-2</v>
          </cell>
          <cell r="F231">
            <v>6</v>
          </cell>
        </row>
        <row r="232">
          <cell r="A232" t="str">
            <v>Hospitality / Leisure</v>
          </cell>
          <cell r="D232">
            <v>0.05</v>
          </cell>
          <cell r="E232">
            <v>0.05</v>
          </cell>
          <cell r="F232">
            <v>1</v>
          </cell>
        </row>
        <row r="233">
          <cell r="A233" t="str">
            <v>Logistics</v>
          </cell>
          <cell r="D233">
            <v>0</v>
          </cell>
          <cell r="E233">
            <v>0</v>
          </cell>
          <cell r="F233">
            <v>1</v>
          </cell>
        </row>
        <row r="234">
          <cell r="A234" t="str">
            <v>Manufacturing</v>
          </cell>
          <cell r="D234">
            <v>0.05</v>
          </cell>
          <cell r="E234">
            <v>4.3045454545454546E-2</v>
          </cell>
          <cell r="F234">
            <v>22</v>
          </cell>
        </row>
        <row r="235">
          <cell r="A235" t="str">
            <v>Media</v>
          </cell>
          <cell r="D235">
            <v>0.12</v>
          </cell>
          <cell r="E235">
            <v>0.12</v>
          </cell>
          <cell r="F235">
            <v>1</v>
          </cell>
        </row>
        <row r="236">
          <cell r="A236" t="str">
            <v>Mining &amp; Minerals</v>
          </cell>
          <cell r="D236">
            <v>0.05</v>
          </cell>
          <cell r="E236">
            <v>0.05</v>
          </cell>
          <cell r="F236">
            <v>1</v>
          </cell>
        </row>
        <row r="237">
          <cell r="A237" t="str">
            <v>Pharmaceuticals</v>
          </cell>
          <cell r="D237">
            <v>0.05</v>
          </cell>
          <cell r="E237">
            <v>0.05</v>
          </cell>
          <cell r="F237">
            <v>1</v>
          </cell>
        </row>
        <row r="238">
          <cell r="A238" t="str">
            <v>Retail</v>
          </cell>
          <cell r="D238">
            <v>0.04</v>
          </cell>
          <cell r="E238">
            <v>3.5000000000000003E-2</v>
          </cell>
          <cell r="F238">
            <v>8</v>
          </cell>
        </row>
        <row r="239">
          <cell r="A239" t="str">
            <v>Technology</v>
          </cell>
          <cell r="D239">
            <v>0</v>
          </cell>
          <cell r="E239">
            <v>-1.8181818181818182E-3</v>
          </cell>
          <cell r="F239">
            <v>11</v>
          </cell>
        </row>
        <row r="240">
          <cell r="A240" t="str">
            <v>Transportation</v>
          </cell>
          <cell r="D240">
            <v>0.01</v>
          </cell>
          <cell r="E240">
            <v>0.01</v>
          </cell>
          <cell r="F240">
            <v>2</v>
          </cell>
        </row>
        <row r="241">
          <cell r="A241" t="str">
            <v>Utilities</v>
          </cell>
          <cell r="D241">
            <v>0.09</v>
          </cell>
          <cell r="E241">
            <v>0.09</v>
          </cell>
          <cell r="F241">
            <v>2</v>
          </cell>
        </row>
        <row r="242">
          <cell r="A242" t="str">
            <v>Wholesale / Distribution</v>
          </cell>
          <cell r="D242">
            <v>-1.4999999999999999E-2</v>
          </cell>
          <cell r="E242">
            <v>-1.4999999999999999E-2</v>
          </cell>
          <cell r="F242">
            <v>2</v>
          </cell>
        </row>
        <row r="243">
          <cell r="A243" t="str">
            <v>Overall</v>
          </cell>
          <cell r="D243">
            <v>3.5000000000000003E-2</v>
          </cell>
          <cell r="E243">
            <v>2.9819999999999999E-2</v>
          </cell>
          <cell r="F243">
            <v>100</v>
          </cell>
        </row>
        <row r="245">
          <cell r="A245" t="str">
            <v>Revenue</v>
          </cell>
          <cell r="D245" t="str">
            <v>Median</v>
          </cell>
          <cell r="E245" t="str">
            <v>Average</v>
          </cell>
          <cell r="F245" t="str">
            <v>total</v>
          </cell>
        </row>
        <row r="246">
          <cell r="A246" t="str">
            <v>&lt;$500 Million</v>
          </cell>
          <cell r="D246">
            <v>0.05</v>
          </cell>
          <cell r="E246">
            <v>0.05</v>
          </cell>
          <cell r="F246">
            <v>2</v>
          </cell>
        </row>
        <row r="247">
          <cell r="A247" t="str">
            <v>$500 Million - $1 Billion</v>
          </cell>
          <cell r="D247">
            <v>0.05</v>
          </cell>
          <cell r="E247">
            <v>3.0714285714285715E-2</v>
          </cell>
          <cell r="F247">
            <v>28</v>
          </cell>
        </row>
        <row r="248">
          <cell r="A248" t="str">
            <v>$1-5 Billion</v>
          </cell>
          <cell r="D248">
            <v>0.05</v>
          </cell>
          <cell r="E248">
            <v>2.725E-2</v>
          </cell>
          <cell r="F248">
            <v>20</v>
          </cell>
        </row>
        <row r="249">
          <cell r="A249" t="str">
            <v>$5-10 Billion</v>
          </cell>
          <cell r="D249">
            <v>0.03</v>
          </cell>
          <cell r="E249">
            <v>4.1428571428571433E-2</v>
          </cell>
          <cell r="F249">
            <v>21</v>
          </cell>
        </row>
        <row r="250">
          <cell r="A250" t="str">
            <v>$10-15 Billion</v>
          </cell>
          <cell r="D250">
            <v>-1.4999999999999999E-2</v>
          </cell>
          <cell r="E250">
            <v>-1.3071428571428572E-2</v>
          </cell>
          <cell r="F250">
            <v>14</v>
          </cell>
        </row>
        <row r="251">
          <cell r="A251" t="str">
            <v>$15-20 Billion</v>
          </cell>
          <cell r="D251">
            <v>0.05</v>
          </cell>
          <cell r="E251">
            <v>4.4545454545454541E-2</v>
          </cell>
          <cell r="F251">
            <v>11</v>
          </cell>
        </row>
        <row r="252">
          <cell r="A252" t="str">
            <v>&gt;$20 Billion</v>
          </cell>
          <cell r="D252">
            <v>7.4999999999999997E-2</v>
          </cell>
          <cell r="E252">
            <v>7.4999999999999997E-2</v>
          </cell>
          <cell r="F252">
            <v>4</v>
          </cell>
        </row>
        <row r="253">
          <cell r="A253" t="str">
            <v>Overall</v>
          </cell>
          <cell r="D253">
            <v>3.5000000000000003E-2</v>
          </cell>
          <cell r="E253">
            <v>2.9819999999999999E-2</v>
          </cell>
          <cell r="F253">
            <v>100</v>
          </cell>
        </row>
        <row r="255">
          <cell r="A255" t="str">
            <v>Response</v>
          </cell>
        </row>
        <row r="256">
          <cell r="A256">
            <v>0.2</v>
          </cell>
          <cell r="B256">
            <v>1</v>
          </cell>
        </row>
        <row r="257">
          <cell r="A257">
            <v>0.15</v>
          </cell>
          <cell r="B257">
            <v>1</v>
          </cell>
        </row>
        <row r="258">
          <cell r="A258">
            <v>0.12</v>
          </cell>
          <cell r="B258">
            <v>2</v>
          </cell>
        </row>
        <row r="259">
          <cell r="A259">
            <v>0.1</v>
          </cell>
          <cell r="B259">
            <v>11</v>
          </cell>
        </row>
        <row r="260">
          <cell r="A260">
            <v>0.08</v>
          </cell>
          <cell r="B260">
            <v>2</v>
          </cell>
        </row>
        <row r="261">
          <cell r="A261">
            <v>7.0000000000000007E-2</v>
          </cell>
          <cell r="B261">
            <v>2</v>
          </cell>
        </row>
        <row r="262">
          <cell r="A262">
            <v>0.05</v>
          </cell>
          <cell r="B262">
            <v>30</v>
          </cell>
          <cell r="F262" t="str">
            <v xml:space="preserve"> </v>
          </cell>
        </row>
        <row r="263">
          <cell r="A263">
            <v>0.04</v>
          </cell>
          <cell r="B263">
            <v>1</v>
          </cell>
        </row>
        <row r="264">
          <cell r="A264">
            <v>0.03</v>
          </cell>
          <cell r="B264">
            <v>11</v>
          </cell>
        </row>
        <row r="265">
          <cell r="A265">
            <v>2.7E-2</v>
          </cell>
          <cell r="B265">
            <v>1</v>
          </cell>
        </row>
        <row r="266">
          <cell r="A266">
            <v>0.02</v>
          </cell>
          <cell r="B266">
            <v>3</v>
          </cell>
        </row>
        <row r="267">
          <cell r="A267">
            <v>0</v>
          </cell>
          <cell r="B267">
            <v>16</v>
          </cell>
        </row>
        <row r="268">
          <cell r="A268">
            <v>-0.01</v>
          </cell>
          <cell r="B268">
            <v>1</v>
          </cell>
        </row>
        <row r="269">
          <cell r="A269">
            <v>-2.5000000000000001E-2</v>
          </cell>
          <cell r="B269">
            <v>1</v>
          </cell>
        </row>
        <row r="270">
          <cell r="A270">
            <v>-0.03</v>
          </cell>
          <cell r="B270">
            <v>3</v>
          </cell>
        </row>
        <row r="271">
          <cell r="A271">
            <v>-0.05</v>
          </cell>
          <cell r="B271">
            <v>10</v>
          </cell>
        </row>
        <row r="272">
          <cell r="A272">
            <v>-7.0000000000000007E-2</v>
          </cell>
          <cell r="B272">
            <v>2</v>
          </cell>
        </row>
        <row r="273">
          <cell r="A273">
            <v>-0.1</v>
          </cell>
          <cell r="B273">
            <v>2</v>
          </cell>
        </row>
        <row r="274">
          <cell r="B274">
            <v>100</v>
          </cell>
        </row>
        <row r="276">
          <cell r="A276" t="str">
            <v>Software</v>
          </cell>
        </row>
        <row r="277">
          <cell r="A277" t="str">
            <v>Industry</v>
          </cell>
          <cell r="D277" t="str">
            <v>Median</v>
          </cell>
          <cell r="E277" t="str">
            <v>Average</v>
          </cell>
          <cell r="F277" t="str">
            <v>total</v>
          </cell>
        </row>
        <row r="278">
          <cell r="A278" t="str">
            <v>Aerospace</v>
          </cell>
          <cell r="D278">
            <v>-0.03</v>
          </cell>
          <cell r="E278">
            <v>-0.03</v>
          </cell>
          <cell r="F278">
            <v>1</v>
          </cell>
        </row>
        <row r="279">
          <cell r="A279" t="str">
            <v>Automotive</v>
          </cell>
          <cell r="D279">
            <v>0.08</v>
          </cell>
          <cell r="E279">
            <v>0.08</v>
          </cell>
          <cell r="F279">
            <v>1</v>
          </cell>
        </row>
        <row r="280">
          <cell r="A280" t="str">
            <v>Business services</v>
          </cell>
          <cell r="D280">
            <v>-0.05</v>
          </cell>
          <cell r="E280">
            <v>-4.6363636363636364E-2</v>
          </cell>
          <cell r="F280">
            <v>11</v>
          </cell>
        </row>
        <row r="281">
          <cell r="A281" t="str">
            <v>Communications</v>
          </cell>
          <cell r="D281">
            <v>0</v>
          </cell>
          <cell r="E281">
            <v>8.5714285714285701E-3</v>
          </cell>
          <cell r="F281">
            <v>7</v>
          </cell>
        </row>
        <row r="282">
          <cell r="A282" t="str">
            <v>Engineering / Construction</v>
          </cell>
          <cell r="D282">
            <v>0.04</v>
          </cell>
          <cell r="E282">
            <v>0.04</v>
          </cell>
          <cell r="F282">
            <v>2</v>
          </cell>
        </row>
        <row r="283">
          <cell r="A283" t="str">
            <v>Financial services</v>
          </cell>
          <cell r="D283">
            <v>0.04</v>
          </cell>
          <cell r="E283">
            <v>3.5000000000000003E-2</v>
          </cell>
          <cell r="F283">
            <v>20</v>
          </cell>
        </row>
        <row r="284">
          <cell r="A284" t="str">
            <v>Healthcare</v>
          </cell>
          <cell r="D284">
            <v>0.05</v>
          </cell>
          <cell r="E284">
            <v>7.4999999999999997E-2</v>
          </cell>
          <cell r="F284">
            <v>6</v>
          </cell>
        </row>
        <row r="285">
          <cell r="A285" t="str">
            <v>Hospitality / Leisure</v>
          </cell>
          <cell r="D285">
            <v>0.05</v>
          </cell>
          <cell r="E285">
            <v>0.05</v>
          </cell>
          <cell r="F285">
            <v>1</v>
          </cell>
        </row>
        <row r="286">
          <cell r="A286" t="str">
            <v>Logistics</v>
          </cell>
          <cell r="D286">
            <v>-0.08</v>
          </cell>
          <cell r="E286">
            <v>-0.08</v>
          </cell>
          <cell r="F286">
            <v>1</v>
          </cell>
        </row>
        <row r="287">
          <cell r="A287" t="str">
            <v>Manufacturing</v>
          </cell>
          <cell r="D287">
            <v>6.5000000000000002E-2</v>
          </cell>
          <cell r="E287">
            <v>6.4545454545454545E-2</v>
          </cell>
          <cell r="F287">
            <v>22</v>
          </cell>
        </row>
        <row r="288">
          <cell r="A288" t="str">
            <v>Media</v>
          </cell>
          <cell r="D288">
            <v>0.1</v>
          </cell>
          <cell r="E288">
            <v>0.1</v>
          </cell>
          <cell r="F288">
            <v>1</v>
          </cell>
        </row>
        <row r="289">
          <cell r="A289" t="str">
            <v>Mining &amp; Minerals</v>
          </cell>
          <cell r="D289">
            <v>0.1</v>
          </cell>
          <cell r="E289">
            <v>0.1</v>
          </cell>
          <cell r="F289">
            <v>1</v>
          </cell>
        </row>
        <row r="290">
          <cell r="A290" t="str">
            <v>Pharmaceuticals</v>
          </cell>
          <cell r="D290">
            <v>0.02</v>
          </cell>
          <cell r="E290">
            <v>0.02</v>
          </cell>
          <cell r="F290">
            <v>1</v>
          </cell>
        </row>
        <row r="291">
          <cell r="A291" t="str">
            <v>Retail</v>
          </cell>
          <cell r="D291">
            <v>0.05</v>
          </cell>
          <cell r="E291">
            <v>2.8750000000000001E-2</v>
          </cell>
          <cell r="F291">
            <v>8</v>
          </cell>
        </row>
        <row r="292">
          <cell r="A292" t="str">
            <v>Technology</v>
          </cell>
          <cell r="D292">
            <v>0.02</v>
          </cell>
          <cell r="E292">
            <v>0.01</v>
          </cell>
          <cell r="F292">
            <v>11</v>
          </cell>
        </row>
        <row r="293">
          <cell r="A293" t="str">
            <v>Transportation</v>
          </cell>
          <cell r="D293">
            <v>0.06</v>
          </cell>
          <cell r="E293">
            <v>0.06</v>
          </cell>
          <cell r="F293">
            <v>2</v>
          </cell>
        </row>
        <row r="294">
          <cell r="A294" t="str">
            <v>Utilities</v>
          </cell>
          <cell r="D294">
            <v>0.1</v>
          </cell>
          <cell r="E294">
            <v>0.1</v>
          </cell>
          <cell r="F294">
            <v>2</v>
          </cell>
        </row>
        <row r="295">
          <cell r="A295" t="str">
            <v>Wholesale / Distribution</v>
          </cell>
          <cell r="D295">
            <v>-0.04</v>
          </cell>
          <cell r="E295">
            <v>-0.04</v>
          </cell>
          <cell r="F295">
            <v>2</v>
          </cell>
        </row>
        <row r="296">
          <cell r="A296" t="str">
            <v>Overall</v>
          </cell>
          <cell r="D296">
            <v>0.05</v>
          </cell>
          <cell r="E296">
            <v>3.0200000000000001E-2</v>
          </cell>
          <cell r="F296">
            <v>100</v>
          </cell>
        </row>
        <row r="298">
          <cell r="A298" t="str">
            <v>Revenue</v>
          </cell>
          <cell r="D298" t="str">
            <v>Median</v>
          </cell>
          <cell r="E298" t="str">
            <v>Average</v>
          </cell>
          <cell r="F298" t="str">
            <v>total</v>
          </cell>
        </row>
        <row r="299">
          <cell r="A299" t="str">
            <v>&lt;$500 Million</v>
          </cell>
          <cell r="D299">
            <v>0.05</v>
          </cell>
          <cell r="E299">
            <v>0.05</v>
          </cell>
          <cell r="F299">
            <v>2</v>
          </cell>
        </row>
        <row r="300">
          <cell r="A300" t="str">
            <v>$500 Million - $1 Billion</v>
          </cell>
          <cell r="D300">
            <v>2.5000000000000001E-2</v>
          </cell>
          <cell r="E300">
            <v>1.6785714285714286E-2</v>
          </cell>
          <cell r="F300">
            <v>28</v>
          </cell>
        </row>
        <row r="301">
          <cell r="A301" t="str">
            <v>$1-5 Billion</v>
          </cell>
          <cell r="D301">
            <v>0.05</v>
          </cell>
          <cell r="E301">
            <v>3.5499999999999997E-2</v>
          </cell>
          <cell r="F301">
            <v>20</v>
          </cell>
        </row>
        <row r="302">
          <cell r="A302" t="str">
            <v>$5-10 Billion</v>
          </cell>
          <cell r="D302">
            <v>0.05</v>
          </cell>
          <cell r="E302">
            <v>6.8095238095238098E-2</v>
          </cell>
          <cell r="F302">
            <v>21</v>
          </cell>
        </row>
        <row r="303">
          <cell r="A303" t="str">
            <v>$10-15 Billion</v>
          </cell>
          <cell r="D303">
            <v>-1.4999999999999999E-2</v>
          </cell>
          <cell r="E303">
            <v>-0.01</v>
          </cell>
          <cell r="F303">
            <v>14</v>
          </cell>
        </row>
        <row r="304">
          <cell r="A304" t="str">
            <v>$15-20 Billion</v>
          </cell>
          <cell r="D304">
            <v>0.02</v>
          </cell>
          <cell r="E304">
            <v>3.0909090909090907E-2</v>
          </cell>
          <cell r="F304">
            <v>11</v>
          </cell>
        </row>
        <row r="305">
          <cell r="A305" t="str">
            <v>&gt;$20 Billion</v>
          </cell>
          <cell r="D305">
            <v>5.5E-2</v>
          </cell>
          <cell r="E305">
            <v>2.75E-2</v>
          </cell>
          <cell r="F305">
            <v>4</v>
          </cell>
        </row>
        <row r="306">
          <cell r="A306" t="str">
            <v>Overall</v>
          </cell>
          <cell r="D306">
            <v>0.05</v>
          </cell>
          <cell r="E306">
            <v>3.0200000000000001E-2</v>
          </cell>
          <cell r="F306">
            <v>100</v>
          </cell>
        </row>
        <row r="308">
          <cell r="A308" t="str">
            <v>Response</v>
          </cell>
        </row>
        <row r="309">
          <cell r="A309">
            <v>0.2</v>
          </cell>
          <cell r="B309">
            <v>2</v>
          </cell>
        </row>
        <row r="310">
          <cell r="A310">
            <v>0.15</v>
          </cell>
          <cell r="B310">
            <v>5</v>
          </cell>
        </row>
        <row r="311">
          <cell r="A311">
            <v>0.12</v>
          </cell>
          <cell r="B311">
            <v>1</v>
          </cell>
        </row>
        <row r="312">
          <cell r="A312">
            <v>0.1</v>
          </cell>
          <cell r="B312">
            <v>12</v>
          </cell>
        </row>
        <row r="313">
          <cell r="A313">
            <v>0.08</v>
          </cell>
          <cell r="B313">
            <v>5</v>
          </cell>
        </row>
        <row r="314">
          <cell r="A314">
            <v>7.0000000000000007E-2</v>
          </cell>
          <cell r="B314">
            <v>2</v>
          </cell>
        </row>
        <row r="315">
          <cell r="A315">
            <v>0.05</v>
          </cell>
          <cell r="B315">
            <v>25</v>
          </cell>
        </row>
        <row r="316">
          <cell r="A316">
            <v>0.03</v>
          </cell>
          <cell r="B316">
            <v>7</v>
          </cell>
        </row>
        <row r="317">
          <cell r="A317">
            <v>0.02</v>
          </cell>
          <cell r="B317">
            <v>7</v>
          </cell>
        </row>
        <row r="318">
          <cell r="A318">
            <v>0</v>
          </cell>
          <cell r="B318">
            <v>16</v>
          </cell>
        </row>
        <row r="319">
          <cell r="A319">
            <v>-0.01</v>
          </cell>
          <cell r="B319">
            <v>2</v>
          </cell>
        </row>
        <row r="320">
          <cell r="A320">
            <v>-0.03</v>
          </cell>
          <cell r="B320">
            <v>1</v>
          </cell>
        </row>
        <row r="321">
          <cell r="A321">
            <v>-0.05</v>
          </cell>
          <cell r="B321">
            <v>6</v>
          </cell>
        </row>
        <row r="322">
          <cell r="A322">
            <v>-0.08</v>
          </cell>
          <cell r="B322">
            <v>3</v>
          </cell>
        </row>
        <row r="323">
          <cell r="A323">
            <v>-0.1</v>
          </cell>
          <cell r="B323">
            <v>5</v>
          </cell>
        </row>
        <row r="324">
          <cell r="A324">
            <v>-0.5</v>
          </cell>
          <cell r="B324">
            <v>1</v>
          </cell>
        </row>
        <row r="325">
          <cell r="B325">
            <v>100</v>
          </cell>
        </row>
        <row r="327">
          <cell r="A327" t="str">
            <v>Communications Equipment</v>
          </cell>
        </row>
        <row r="328">
          <cell r="A328" t="str">
            <v>Industry</v>
          </cell>
          <cell r="D328" t="str">
            <v>Median</v>
          </cell>
          <cell r="E328" t="str">
            <v>Average</v>
          </cell>
          <cell r="F328" t="str">
            <v>total</v>
          </cell>
        </row>
        <row r="329">
          <cell r="A329" t="str">
            <v>Aerospace</v>
          </cell>
          <cell r="D329">
            <v>-0.05</v>
          </cell>
          <cell r="E329">
            <v>-0.05</v>
          </cell>
          <cell r="F329">
            <v>1</v>
          </cell>
        </row>
        <row r="330">
          <cell r="A330" t="str">
            <v>Automotive</v>
          </cell>
          <cell r="D330">
            <v>0.05</v>
          </cell>
          <cell r="E330">
            <v>0.05</v>
          </cell>
          <cell r="F330">
            <v>1</v>
          </cell>
        </row>
        <row r="331">
          <cell r="A331" t="str">
            <v>Business services</v>
          </cell>
          <cell r="D331">
            <v>0</v>
          </cell>
          <cell r="E331">
            <v>-3.9090909090909093E-2</v>
          </cell>
          <cell r="F331">
            <v>11</v>
          </cell>
        </row>
        <row r="332">
          <cell r="A332" t="str">
            <v>Communications</v>
          </cell>
          <cell r="D332">
            <v>0</v>
          </cell>
          <cell r="E332">
            <v>-8.5714285714285701E-3</v>
          </cell>
          <cell r="F332">
            <v>7</v>
          </cell>
        </row>
        <row r="333">
          <cell r="A333" t="str">
            <v>Engineering / Construction</v>
          </cell>
          <cell r="D333">
            <v>7.4999999999999997E-2</v>
          </cell>
          <cell r="E333">
            <v>7.4999999999999997E-2</v>
          </cell>
          <cell r="F333">
            <v>2</v>
          </cell>
        </row>
        <row r="334">
          <cell r="A334" t="str">
            <v>Financial services</v>
          </cell>
          <cell r="D334">
            <v>0.04</v>
          </cell>
          <cell r="E334">
            <v>3.5000000000000003E-2</v>
          </cell>
          <cell r="F334">
            <v>20</v>
          </cell>
        </row>
        <row r="335">
          <cell r="A335" t="str">
            <v>Healthcare</v>
          </cell>
          <cell r="D335">
            <v>3.2500000000000001E-2</v>
          </cell>
          <cell r="E335">
            <v>4.4166666666666667E-2</v>
          </cell>
          <cell r="F335">
            <v>6</v>
          </cell>
        </row>
        <row r="336">
          <cell r="A336" t="str">
            <v>Hospitality / Leisure</v>
          </cell>
          <cell r="D336">
            <v>0.05</v>
          </cell>
          <cell r="E336">
            <v>0.05</v>
          </cell>
          <cell r="F336">
            <v>1</v>
          </cell>
        </row>
        <row r="337">
          <cell r="A337" t="str">
            <v>Logistics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Manufacturing</v>
          </cell>
          <cell r="D338">
            <v>0.05</v>
          </cell>
          <cell r="E338">
            <v>4.5454545454545456E-2</v>
          </cell>
          <cell r="F338">
            <v>22</v>
          </cell>
        </row>
        <row r="339">
          <cell r="A339" t="str">
            <v>Media</v>
          </cell>
          <cell r="D339">
            <v>0.1</v>
          </cell>
          <cell r="E339">
            <v>0.1</v>
          </cell>
          <cell r="F339">
            <v>1</v>
          </cell>
        </row>
        <row r="340">
          <cell r="A340" t="str">
            <v>Mining &amp; Minerals</v>
          </cell>
          <cell r="D340">
            <v>0.02</v>
          </cell>
          <cell r="E340">
            <v>0.02</v>
          </cell>
          <cell r="F340">
            <v>1</v>
          </cell>
        </row>
        <row r="341">
          <cell r="A341" t="str">
            <v>Pharmaceuticals</v>
          </cell>
          <cell r="D341">
            <v>7.0000000000000007E-2</v>
          </cell>
          <cell r="E341">
            <v>7.0000000000000007E-2</v>
          </cell>
          <cell r="F341">
            <v>1</v>
          </cell>
        </row>
        <row r="342">
          <cell r="A342" t="str">
            <v>Retail</v>
          </cell>
          <cell r="D342">
            <v>0.04</v>
          </cell>
          <cell r="E342">
            <v>1.8749999999999999E-2</v>
          </cell>
          <cell r="F342">
            <v>8</v>
          </cell>
        </row>
        <row r="343">
          <cell r="A343" t="str">
            <v>Technology</v>
          </cell>
          <cell r="D343">
            <v>0</v>
          </cell>
          <cell r="E343">
            <v>7.2727272727272727E-3</v>
          </cell>
          <cell r="F343">
            <v>11</v>
          </cell>
        </row>
        <row r="344">
          <cell r="A344" t="str">
            <v>Transportation</v>
          </cell>
          <cell r="D344">
            <v>1.4999999999999999E-2</v>
          </cell>
          <cell r="E344">
            <v>1.4999999999999999E-2</v>
          </cell>
          <cell r="F344">
            <v>2</v>
          </cell>
        </row>
        <row r="345">
          <cell r="A345" t="str">
            <v>Utilities</v>
          </cell>
          <cell r="D345">
            <v>0.05</v>
          </cell>
          <cell r="E345">
            <v>0.05</v>
          </cell>
          <cell r="F345">
            <v>2</v>
          </cell>
        </row>
        <row r="346">
          <cell r="A346" t="str">
            <v>Wholesale / Distribution</v>
          </cell>
          <cell r="D346">
            <v>2.5000000000000001E-2</v>
          </cell>
          <cell r="E346">
            <v>2.5000000000000001E-2</v>
          </cell>
          <cell r="F346">
            <v>2</v>
          </cell>
        </row>
        <row r="347">
          <cell r="A347" t="str">
            <v>Overall</v>
          </cell>
          <cell r="D347">
            <v>0.03</v>
          </cell>
          <cell r="E347">
            <v>2.2749999999999999E-2</v>
          </cell>
          <cell r="F347">
            <v>100</v>
          </cell>
        </row>
        <row r="349">
          <cell r="A349" t="str">
            <v>Revenue</v>
          </cell>
          <cell r="D349" t="str">
            <v>Median</v>
          </cell>
          <cell r="E349" t="str">
            <v>Average</v>
          </cell>
          <cell r="F349" t="str">
            <v>total</v>
          </cell>
        </row>
        <row r="350">
          <cell r="A350" t="str">
            <v>&lt;$500 Million</v>
          </cell>
          <cell r="D350">
            <v>2.5000000000000001E-2</v>
          </cell>
          <cell r="E350">
            <v>2.5000000000000001E-2</v>
          </cell>
          <cell r="F350">
            <v>2</v>
          </cell>
        </row>
        <row r="351">
          <cell r="A351" t="str">
            <v>$500 Million - $1 Billion</v>
          </cell>
          <cell r="D351">
            <v>0.03</v>
          </cell>
          <cell r="E351">
            <v>0.01</v>
          </cell>
          <cell r="F351">
            <v>28</v>
          </cell>
        </row>
        <row r="352">
          <cell r="A352" t="str">
            <v>$1-5 Billion</v>
          </cell>
          <cell r="D352">
            <v>0.05</v>
          </cell>
          <cell r="E352">
            <v>3.0499999999999999E-2</v>
          </cell>
          <cell r="F352">
            <v>20</v>
          </cell>
        </row>
        <row r="353">
          <cell r="A353" t="str">
            <v>$5-10 Billion</v>
          </cell>
          <cell r="D353">
            <v>0.05</v>
          </cell>
          <cell r="E353">
            <v>3.9761904761904762E-2</v>
          </cell>
          <cell r="F353">
            <v>21</v>
          </cell>
        </row>
        <row r="354">
          <cell r="A354" t="str">
            <v>$10-15 Billion</v>
          </cell>
          <cell r="D354">
            <v>0</v>
          </cell>
          <cell r="E354">
            <v>1.0714285714285714E-2</v>
          </cell>
          <cell r="F354">
            <v>14</v>
          </cell>
        </row>
        <row r="355">
          <cell r="A355" t="str">
            <v>$15-20 Billion</v>
          </cell>
          <cell r="D355">
            <v>0.02</v>
          </cell>
          <cell r="E355">
            <v>2.0909090909090908E-2</v>
          </cell>
          <cell r="F355">
            <v>11</v>
          </cell>
        </row>
        <row r="356">
          <cell r="A356" t="str">
            <v>&gt;$20 Billion</v>
          </cell>
          <cell r="D356">
            <v>0.06</v>
          </cell>
          <cell r="E356">
            <v>0.03</v>
          </cell>
          <cell r="F356">
            <v>4</v>
          </cell>
        </row>
        <row r="357">
          <cell r="A357" t="str">
            <v>Overall</v>
          </cell>
          <cell r="D357">
            <v>0.03</v>
          </cell>
          <cell r="E357">
            <v>2.2749999999999999E-2</v>
          </cell>
          <cell r="F357">
            <v>100</v>
          </cell>
        </row>
        <row r="359">
          <cell r="A359" t="str">
            <v>Response</v>
          </cell>
        </row>
        <row r="360">
          <cell r="A360">
            <v>0.15</v>
          </cell>
          <cell r="B360">
            <v>4</v>
          </cell>
        </row>
        <row r="361">
          <cell r="A361">
            <v>0.1</v>
          </cell>
          <cell r="B361">
            <v>8</v>
          </cell>
        </row>
        <row r="362">
          <cell r="A362">
            <v>0.08</v>
          </cell>
          <cell r="B362">
            <v>2</v>
          </cell>
        </row>
        <row r="363">
          <cell r="A363">
            <v>7.0000000000000007E-2</v>
          </cell>
          <cell r="B363">
            <v>3</v>
          </cell>
        </row>
        <row r="364">
          <cell r="A364">
            <v>0.05</v>
          </cell>
          <cell r="B364">
            <v>29</v>
          </cell>
        </row>
        <row r="365">
          <cell r="A365">
            <v>0.03</v>
          </cell>
          <cell r="B365">
            <v>8</v>
          </cell>
        </row>
        <row r="366">
          <cell r="A366">
            <v>0.02</v>
          </cell>
          <cell r="B366">
            <v>3</v>
          </cell>
        </row>
        <row r="367">
          <cell r="A367">
            <v>1.4999999999999999E-2</v>
          </cell>
          <cell r="B367">
            <v>1</v>
          </cell>
        </row>
        <row r="368">
          <cell r="A368">
            <v>0.01</v>
          </cell>
          <cell r="B368">
            <v>2</v>
          </cell>
        </row>
        <row r="369">
          <cell r="A369">
            <v>0</v>
          </cell>
          <cell r="B369">
            <v>24</v>
          </cell>
        </row>
        <row r="370">
          <cell r="A370">
            <v>-0.01</v>
          </cell>
          <cell r="B370">
            <v>1</v>
          </cell>
        </row>
        <row r="371">
          <cell r="A371">
            <v>-0.03</v>
          </cell>
          <cell r="B371">
            <v>2</v>
          </cell>
        </row>
        <row r="372">
          <cell r="A372">
            <v>-0.05</v>
          </cell>
          <cell r="B372">
            <v>9</v>
          </cell>
        </row>
        <row r="373">
          <cell r="A373">
            <v>-0.08</v>
          </cell>
          <cell r="B373">
            <v>2</v>
          </cell>
        </row>
        <row r="374">
          <cell r="A374">
            <v>-0.1</v>
          </cell>
          <cell r="B374">
            <v>1</v>
          </cell>
        </row>
        <row r="375">
          <cell r="A375">
            <v>-0.5</v>
          </cell>
          <cell r="B375">
            <v>1</v>
          </cell>
        </row>
        <row r="376">
          <cell r="B376">
            <v>100</v>
          </cell>
        </row>
        <row r="378">
          <cell r="A378" t="str">
            <v>Professional Services</v>
          </cell>
        </row>
        <row r="379">
          <cell r="A379" t="str">
            <v>Industry</v>
          </cell>
          <cell r="D379" t="str">
            <v>Median</v>
          </cell>
          <cell r="E379" t="str">
            <v>Average</v>
          </cell>
          <cell r="F379" t="str">
            <v>total</v>
          </cell>
        </row>
        <row r="380">
          <cell r="A380" t="str">
            <v>Aerospace</v>
          </cell>
          <cell r="D380">
            <v>-0.05</v>
          </cell>
          <cell r="E380">
            <v>-0.05</v>
          </cell>
          <cell r="F380">
            <v>1</v>
          </cell>
        </row>
        <row r="381">
          <cell r="A381" t="str">
            <v>Automotive</v>
          </cell>
          <cell r="D381">
            <v>0.03</v>
          </cell>
          <cell r="E381">
            <v>0.03</v>
          </cell>
          <cell r="F381">
            <v>1</v>
          </cell>
        </row>
        <row r="382">
          <cell r="A382" t="str">
            <v>Business services</v>
          </cell>
          <cell r="D382">
            <v>0.05</v>
          </cell>
          <cell r="E382">
            <v>0</v>
          </cell>
          <cell r="F382">
            <v>11</v>
          </cell>
        </row>
        <row r="383">
          <cell r="A383" t="str">
            <v>Communications</v>
          </cell>
          <cell r="D383">
            <v>0</v>
          </cell>
          <cell r="E383">
            <v>4.2857142857142851E-3</v>
          </cell>
          <cell r="F383">
            <v>7</v>
          </cell>
        </row>
        <row r="384">
          <cell r="A384" t="str">
            <v>Engineering / Construction</v>
          </cell>
          <cell r="D384">
            <v>0.05</v>
          </cell>
          <cell r="E384">
            <v>0.05</v>
          </cell>
          <cell r="F384">
            <v>2</v>
          </cell>
        </row>
        <row r="385">
          <cell r="A385" t="str">
            <v>Financial services</v>
          </cell>
          <cell r="D385">
            <v>0.03</v>
          </cell>
          <cell r="E385">
            <v>3.2500000000000001E-2</v>
          </cell>
          <cell r="F385">
            <v>20</v>
          </cell>
        </row>
        <row r="386">
          <cell r="A386" t="str">
            <v>Healthcare</v>
          </cell>
          <cell r="D386">
            <v>0.11</v>
          </cell>
          <cell r="E386">
            <v>0.11666666666666665</v>
          </cell>
          <cell r="F386">
            <v>6</v>
          </cell>
        </row>
        <row r="387">
          <cell r="A387" t="str">
            <v>Hospitality / Leisure</v>
          </cell>
          <cell r="D387">
            <v>0.05</v>
          </cell>
          <cell r="E387">
            <v>0.05</v>
          </cell>
          <cell r="F387">
            <v>1</v>
          </cell>
        </row>
        <row r="388">
          <cell r="A388" t="str">
            <v>Logistics</v>
          </cell>
          <cell r="D388">
            <v>-0.1</v>
          </cell>
          <cell r="E388">
            <v>-0.1</v>
          </cell>
          <cell r="F388">
            <v>1</v>
          </cell>
        </row>
        <row r="389">
          <cell r="A389" t="str">
            <v>Manufacturing</v>
          </cell>
          <cell r="D389">
            <v>0.05</v>
          </cell>
          <cell r="E389">
            <v>6.2727272727272729E-2</v>
          </cell>
          <cell r="F389">
            <v>22</v>
          </cell>
        </row>
        <row r="390">
          <cell r="A390" t="str">
            <v>Media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Mining &amp; Minerals</v>
          </cell>
          <cell r="D391">
            <v>0.03</v>
          </cell>
          <cell r="E391">
            <v>0.03</v>
          </cell>
          <cell r="F391">
            <v>1</v>
          </cell>
        </row>
        <row r="392">
          <cell r="A392" t="str">
            <v>Pharmaceuticals</v>
          </cell>
          <cell r="D392">
            <v>0.1</v>
          </cell>
          <cell r="E392">
            <v>0.1</v>
          </cell>
          <cell r="F392">
            <v>1</v>
          </cell>
        </row>
        <row r="393">
          <cell r="A393" t="str">
            <v>Retail</v>
          </cell>
          <cell r="D393">
            <v>0.05</v>
          </cell>
          <cell r="E393">
            <v>4.3749999999999997E-2</v>
          </cell>
          <cell r="F393">
            <v>8</v>
          </cell>
        </row>
        <row r="394">
          <cell r="A394" t="str">
            <v>Technology</v>
          </cell>
          <cell r="D394">
            <v>0</v>
          </cell>
          <cell r="E394">
            <v>2.8181818181818183E-2</v>
          </cell>
          <cell r="F394">
            <v>11</v>
          </cell>
        </row>
        <row r="395">
          <cell r="A395" t="str">
            <v>Transportation</v>
          </cell>
          <cell r="D395">
            <v>0.09</v>
          </cell>
          <cell r="E395">
            <v>0.09</v>
          </cell>
          <cell r="F395">
            <v>2</v>
          </cell>
        </row>
        <row r="396">
          <cell r="A396" t="str">
            <v>Utilities</v>
          </cell>
          <cell r="D396">
            <v>7.4999999999999997E-2</v>
          </cell>
          <cell r="E396">
            <v>7.4999999999999997E-2</v>
          </cell>
          <cell r="F396">
            <v>2</v>
          </cell>
        </row>
        <row r="397">
          <cell r="A397" t="str">
            <v>Wholesale / Distribution</v>
          </cell>
          <cell r="D397">
            <v>5.5E-2</v>
          </cell>
          <cell r="E397">
            <v>5.5E-2</v>
          </cell>
          <cell r="F397">
            <v>2</v>
          </cell>
        </row>
        <row r="398">
          <cell r="A398" t="str">
            <v>Overall</v>
          </cell>
          <cell r="D398">
            <v>0.05</v>
          </cell>
          <cell r="E398">
            <v>4.0199999999999993E-2</v>
          </cell>
          <cell r="F398">
            <v>100</v>
          </cell>
        </row>
        <row r="400">
          <cell r="A400" t="str">
            <v>Revenue</v>
          </cell>
          <cell r="D400" t="str">
            <v>Median</v>
          </cell>
          <cell r="E400" t="str">
            <v>Average</v>
          </cell>
          <cell r="F400" t="str">
            <v>total</v>
          </cell>
        </row>
        <row r="401">
          <cell r="A401" t="str">
            <v>&lt;$500 Million</v>
          </cell>
          <cell r="D401">
            <v>7.4999999999999997E-2</v>
          </cell>
          <cell r="E401">
            <v>7.4999999999999997E-2</v>
          </cell>
          <cell r="F401">
            <v>2</v>
          </cell>
        </row>
        <row r="402">
          <cell r="A402" t="str">
            <v>$500 Million - $1 Billion</v>
          </cell>
          <cell r="D402">
            <v>0.03</v>
          </cell>
          <cell r="E402">
            <v>2.5357142857142856E-2</v>
          </cell>
          <cell r="F402">
            <v>28</v>
          </cell>
        </row>
        <row r="403">
          <cell r="A403" t="str">
            <v>$1-5 Billion</v>
          </cell>
          <cell r="D403">
            <v>0.05</v>
          </cell>
          <cell r="E403">
            <v>3.85E-2</v>
          </cell>
          <cell r="F403">
            <v>20</v>
          </cell>
        </row>
        <row r="404">
          <cell r="A404" t="str">
            <v>$5-10 Billion</v>
          </cell>
          <cell r="D404">
            <v>0.03</v>
          </cell>
          <cell r="E404">
            <v>6.0952380952380952E-2</v>
          </cell>
          <cell r="F404">
            <v>21</v>
          </cell>
        </row>
        <row r="405">
          <cell r="A405" t="str">
            <v>$10-15 Billion</v>
          </cell>
          <cell r="D405">
            <v>0.04</v>
          </cell>
          <cell r="E405">
            <v>3.0714285714285715E-2</v>
          </cell>
          <cell r="F405">
            <v>14</v>
          </cell>
        </row>
        <row r="406">
          <cell r="A406" t="str">
            <v>$15-20 Billion</v>
          </cell>
          <cell r="D406">
            <v>0.05</v>
          </cell>
          <cell r="E406">
            <v>4.8181818181818187E-2</v>
          </cell>
          <cell r="F406">
            <v>11</v>
          </cell>
        </row>
        <row r="407">
          <cell r="A407" t="str">
            <v>&gt;$20 Billion</v>
          </cell>
          <cell r="D407">
            <v>0.04</v>
          </cell>
          <cell r="E407">
            <v>3.7499999999999999E-2</v>
          </cell>
          <cell r="F407">
            <v>4</v>
          </cell>
        </row>
        <row r="408">
          <cell r="A408" t="str">
            <v>Overall</v>
          </cell>
          <cell r="D408">
            <v>0.05</v>
          </cell>
          <cell r="E408">
            <v>4.0199999999999993E-2</v>
          </cell>
          <cell r="F408">
            <v>100</v>
          </cell>
        </row>
        <row r="410">
          <cell r="A410" t="str">
            <v>Response</v>
          </cell>
        </row>
        <row r="411">
          <cell r="A411">
            <v>0.2</v>
          </cell>
          <cell r="B411">
            <v>5</v>
          </cell>
        </row>
        <row r="412">
          <cell r="A412">
            <v>0.15</v>
          </cell>
          <cell r="B412">
            <v>3</v>
          </cell>
        </row>
        <row r="413">
          <cell r="A413">
            <v>0.13</v>
          </cell>
          <cell r="B413">
            <v>1</v>
          </cell>
        </row>
        <row r="414">
          <cell r="A414">
            <v>0.12</v>
          </cell>
          <cell r="B414">
            <v>3</v>
          </cell>
        </row>
        <row r="415">
          <cell r="A415">
            <v>0.1</v>
          </cell>
          <cell r="B415">
            <v>12</v>
          </cell>
        </row>
        <row r="416">
          <cell r="A416">
            <v>0.08</v>
          </cell>
          <cell r="B416">
            <v>5</v>
          </cell>
        </row>
        <row r="417">
          <cell r="A417">
            <v>7.0000000000000007E-2</v>
          </cell>
          <cell r="B417">
            <v>1</v>
          </cell>
        </row>
        <row r="418">
          <cell r="A418">
            <v>0.05</v>
          </cell>
          <cell r="B418">
            <v>23</v>
          </cell>
        </row>
        <row r="419">
          <cell r="A419">
            <v>0.03</v>
          </cell>
          <cell r="B419">
            <v>10</v>
          </cell>
        </row>
        <row r="420">
          <cell r="A420">
            <v>0.02</v>
          </cell>
          <cell r="B420">
            <v>6</v>
          </cell>
        </row>
        <row r="421">
          <cell r="A421">
            <v>0</v>
          </cell>
          <cell r="B421">
            <v>16</v>
          </cell>
        </row>
        <row r="422">
          <cell r="A422">
            <v>-0.03</v>
          </cell>
          <cell r="B422">
            <v>1</v>
          </cell>
        </row>
        <row r="423">
          <cell r="A423">
            <v>-0.05</v>
          </cell>
          <cell r="B423">
            <v>8</v>
          </cell>
        </row>
        <row r="424">
          <cell r="A424">
            <v>-0.08</v>
          </cell>
          <cell r="B424">
            <v>1</v>
          </cell>
        </row>
        <row r="425">
          <cell r="A425">
            <v>-0.1</v>
          </cell>
          <cell r="B425">
            <v>4</v>
          </cell>
        </row>
        <row r="426">
          <cell r="A426">
            <v>-0.25</v>
          </cell>
          <cell r="B426">
            <v>1</v>
          </cell>
        </row>
        <row r="427">
          <cell r="B427">
            <v>100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#11"/>
      <sheetName val="#12"/>
      <sheetName val="#13"/>
      <sheetName val="#14"/>
      <sheetName val="#15"/>
      <sheetName val="Macro #2"/>
      <sheetName val="DATASHEET"/>
    </sheetNames>
    <sheetDataSet>
      <sheetData sheetId="0">
        <row r="1">
          <cell r="A1" t="str">
            <v>Morgan Stanley Hardware Survey - Q1 2012</v>
          </cell>
        </row>
        <row r="2">
          <cell r="A2" t="str">
            <v xml:space="preserve"> </v>
          </cell>
        </row>
        <row r="3">
          <cell r="A3" t="str">
            <v>1.  How do you expect your spending on PCs, Servers, and Storage to change in the next 12 months?</v>
          </cell>
          <cell r="I3" t="str">
            <v>PCs</v>
          </cell>
          <cell r="J3" t="str">
            <v>Servers</v>
          </cell>
          <cell r="K3" t="str">
            <v>Storage</v>
          </cell>
        </row>
        <row r="4">
          <cell r="H4" t="str">
            <v>Up 21-30%</v>
          </cell>
          <cell r="I4">
            <v>1</v>
          </cell>
          <cell r="J4">
            <v>1</v>
          </cell>
          <cell r="K4">
            <v>1</v>
          </cell>
          <cell r="M4">
            <v>0.25</v>
          </cell>
        </row>
        <row r="5">
          <cell r="A5" t="str">
            <v>US / EU</v>
          </cell>
          <cell r="B5" t="str">
            <v>EU</v>
          </cell>
          <cell r="D5" t="str">
            <v>US / EU</v>
          </cell>
          <cell r="E5" t="str">
            <v>EU</v>
          </cell>
          <cell r="H5" t="str">
            <v>Up 11-20%</v>
          </cell>
          <cell r="I5">
            <v>3</v>
          </cell>
          <cell r="J5">
            <v>6</v>
          </cell>
          <cell r="K5">
            <v>6</v>
          </cell>
          <cell r="M5">
            <v>0.15</v>
          </cell>
        </row>
        <row r="6">
          <cell r="A6" t="str">
            <v>Industry</v>
          </cell>
          <cell r="B6" t="str">
            <v>(All)</v>
          </cell>
          <cell r="D6" t="str">
            <v>Industry</v>
          </cell>
          <cell r="E6" t="str">
            <v>(All)</v>
          </cell>
          <cell r="H6" t="str">
            <v>Up 1-10%</v>
          </cell>
          <cell r="I6">
            <v>15</v>
          </cell>
          <cell r="J6">
            <v>14</v>
          </cell>
          <cell r="K6">
            <v>16</v>
          </cell>
          <cell r="M6">
            <v>0.05</v>
          </cell>
        </row>
        <row r="7">
          <cell r="A7" t="str">
            <v>Revenue</v>
          </cell>
          <cell r="B7" t="str">
            <v>(All)</v>
          </cell>
          <cell r="D7" t="str">
            <v>Revenue</v>
          </cell>
          <cell r="E7" t="str">
            <v>(All)</v>
          </cell>
          <cell r="H7" t="str">
            <v>Flat</v>
          </cell>
          <cell r="I7">
            <v>22</v>
          </cell>
          <cell r="J7">
            <v>22</v>
          </cell>
          <cell r="K7">
            <v>20</v>
          </cell>
          <cell r="M7">
            <v>0</v>
          </cell>
        </row>
        <row r="8">
          <cell r="H8" t="str">
            <v>Down 1-10%</v>
          </cell>
          <cell r="I8">
            <v>7</v>
          </cell>
          <cell r="J8">
            <v>5</v>
          </cell>
          <cell r="K8">
            <v>6</v>
          </cell>
          <cell r="M8">
            <v>-0.05</v>
          </cell>
        </row>
        <row r="9">
          <cell r="A9" t="str">
            <v>Count of 1 PCs</v>
          </cell>
          <cell r="D9" t="str">
            <v>Count of 1 Servers</v>
          </cell>
          <cell r="H9" t="str">
            <v>Down 11-20%</v>
          </cell>
          <cell r="I9">
            <v>2</v>
          </cell>
          <cell r="J9">
            <v>2</v>
          </cell>
          <cell r="K9">
            <v>1</v>
          </cell>
          <cell r="M9">
            <v>-0.15</v>
          </cell>
        </row>
        <row r="10">
          <cell r="A10" t="str">
            <v>1 PCs</v>
          </cell>
          <cell r="B10" t="str">
            <v>Total</v>
          </cell>
          <cell r="D10" t="str">
            <v>1 Servers</v>
          </cell>
          <cell r="E10" t="str">
            <v>Total</v>
          </cell>
        </row>
        <row r="11">
          <cell r="A11" t="str">
            <v>Up 11-20%</v>
          </cell>
          <cell r="B11">
            <v>1</v>
          </cell>
          <cell r="D11" t="str">
            <v>Up 1-10%</v>
          </cell>
          <cell r="E11">
            <v>6</v>
          </cell>
          <cell r="I11" t="str">
            <v>PCs</v>
          </cell>
          <cell r="J11" t="str">
            <v>Servers</v>
          </cell>
          <cell r="K11" t="str">
            <v>Storage</v>
          </cell>
        </row>
        <row r="12">
          <cell r="A12" t="str">
            <v>Up 1-10%</v>
          </cell>
          <cell r="B12">
            <v>6</v>
          </cell>
          <cell r="D12" t="str">
            <v>Flat</v>
          </cell>
          <cell r="E12">
            <v>10</v>
          </cell>
          <cell r="H12" t="str">
            <v>Apr 11 Survey</v>
          </cell>
          <cell r="I12">
            <v>2.3000000000000003E-2</v>
          </cell>
          <cell r="J12">
            <v>2.3000000000000003E-2</v>
          </cell>
          <cell r="K12">
            <v>0.03</v>
          </cell>
          <cell r="L12">
            <v>2.5333333333333336E-2</v>
          </cell>
        </row>
        <row r="13">
          <cell r="A13" t="str">
            <v>Flat</v>
          </cell>
          <cell r="B13">
            <v>10</v>
          </cell>
          <cell r="D13" t="str">
            <v>Down 1-10%</v>
          </cell>
          <cell r="E13">
            <v>7</v>
          </cell>
          <cell r="H13" t="str">
            <v>Jul 11 Survey</v>
          </cell>
          <cell r="I13">
            <v>3.5000000000000003E-2</v>
          </cell>
          <cell r="J13">
            <v>3.2000000000000001E-2</v>
          </cell>
          <cell r="K13">
            <v>4.4000000000000004E-2</v>
          </cell>
          <cell r="L13">
            <v>3.7000000000000005E-2</v>
          </cell>
        </row>
        <row r="14">
          <cell r="A14" t="str">
            <v>Down 1-10%</v>
          </cell>
          <cell r="B14">
            <v>7</v>
          </cell>
          <cell r="D14" t="str">
            <v>Down 11-20%</v>
          </cell>
          <cell r="E14">
            <v>2</v>
          </cell>
          <cell r="H14" t="str">
            <v>Oct 11 Survey</v>
          </cell>
          <cell r="I14">
            <v>2.6000000000000002E-2</v>
          </cell>
          <cell r="J14">
            <v>2.3000000000000003E-2</v>
          </cell>
          <cell r="K14">
            <v>2.9000000000000005E-2</v>
          </cell>
          <cell r="L14">
            <v>2.6000000000000006E-2</v>
          </cell>
        </row>
        <row r="15">
          <cell r="A15" t="str">
            <v>Down 11-20%</v>
          </cell>
          <cell r="B15">
            <v>1</v>
          </cell>
          <cell r="D15" t="str">
            <v>Grand Total</v>
          </cell>
          <cell r="E15">
            <v>25</v>
          </cell>
          <cell r="H15" t="str">
            <v>Jan 12 Survey</v>
          </cell>
          <cell r="I15">
            <v>1.5999999999999997E-2</v>
          </cell>
          <cell r="J15">
            <v>2.6000000000000002E-2</v>
          </cell>
          <cell r="K15">
            <v>0.03</v>
          </cell>
          <cell r="L15">
            <v>2.3999999999999997E-2</v>
          </cell>
        </row>
        <row r="16">
          <cell r="A16" t="str">
            <v>Grand Total</v>
          </cell>
          <cell r="B16">
            <v>25</v>
          </cell>
        </row>
        <row r="17">
          <cell r="I17" t="str">
            <v>PCs</v>
          </cell>
          <cell r="N17" t="str">
            <v>Servers</v>
          </cell>
          <cell r="S17" t="str">
            <v>Storage</v>
          </cell>
        </row>
        <row r="18">
          <cell r="I18" t="str">
            <v>Apr 11</v>
          </cell>
          <cell r="J18" t="str">
            <v>Jul 11</v>
          </cell>
          <cell r="K18" t="str">
            <v>Oct 11</v>
          </cell>
          <cell r="L18" t="str">
            <v>Jan 12</v>
          </cell>
          <cell r="N18" t="str">
            <v>Apr 11</v>
          </cell>
          <cell r="O18" t="str">
            <v>Jul 11</v>
          </cell>
          <cell r="P18" t="str">
            <v>Oct 11</v>
          </cell>
          <cell r="Q18" t="str">
            <v>Jan 12</v>
          </cell>
          <cell r="S18" t="str">
            <v>Apr 11</v>
          </cell>
          <cell r="T18" t="str">
            <v>Jul 11</v>
          </cell>
          <cell r="U18" t="str">
            <v>Oct 11</v>
          </cell>
          <cell r="V18" t="str">
            <v>Jan 12</v>
          </cell>
        </row>
        <row r="19">
          <cell r="A19" t="str">
            <v>US / EU</v>
          </cell>
          <cell r="B19" t="str">
            <v>EU</v>
          </cell>
        </row>
        <row r="20">
          <cell r="A20" t="str">
            <v>Industry</v>
          </cell>
          <cell r="B20" t="str">
            <v>(All)</v>
          </cell>
          <cell r="H20" t="str">
            <v>Up</v>
          </cell>
          <cell r="I20">
            <v>0.42</v>
          </cell>
          <cell r="J20">
            <v>0.48</v>
          </cell>
          <cell r="K20">
            <v>0.42</v>
          </cell>
          <cell r="L20">
            <v>0.38</v>
          </cell>
          <cell r="N20">
            <v>0.4</v>
          </cell>
          <cell r="O20">
            <v>0.48</v>
          </cell>
          <cell r="P20">
            <v>0.4</v>
          </cell>
          <cell r="Q20">
            <v>0.42</v>
          </cell>
          <cell r="S20">
            <v>0.44</v>
          </cell>
          <cell r="T20">
            <v>0.52</v>
          </cell>
          <cell r="U20">
            <v>0.4</v>
          </cell>
          <cell r="V20">
            <v>0.46</v>
          </cell>
        </row>
        <row r="21">
          <cell r="A21" t="str">
            <v>Revenue</v>
          </cell>
          <cell r="B21" t="str">
            <v>(All)</v>
          </cell>
          <cell r="H21" t="str">
            <v>Flat</v>
          </cell>
          <cell r="I21">
            <v>0.46</v>
          </cell>
          <cell r="J21">
            <v>0.42</v>
          </cell>
          <cell r="K21">
            <v>0.44</v>
          </cell>
          <cell r="L21">
            <v>0.44</v>
          </cell>
          <cell r="N21">
            <v>0.42</v>
          </cell>
          <cell r="O21">
            <v>0.4</v>
          </cell>
          <cell r="P21">
            <v>0.46</v>
          </cell>
          <cell r="Q21">
            <v>0.44</v>
          </cell>
          <cell r="S21">
            <v>0.44</v>
          </cell>
          <cell r="T21">
            <v>0.32</v>
          </cell>
          <cell r="U21">
            <v>0.42</v>
          </cell>
          <cell r="V21">
            <v>0.4</v>
          </cell>
        </row>
        <row r="22">
          <cell r="H22" t="str">
            <v>Down</v>
          </cell>
          <cell r="I22">
            <v>0.12</v>
          </cell>
          <cell r="J22">
            <v>0.1</v>
          </cell>
          <cell r="K22">
            <v>0.14000000000000001</v>
          </cell>
          <cell r="L22">
            <v>0.18</v>
          </cell>
          <cell r="N22">
            <v>0.18</v>
          </cell>
          <cell r="O22">
            <v>0.12</v>
          </cell>
          <cell r="P22">
            <v>0.14000000000000001</v>
          </cell>
          <cell r="Q22">
            <v>0.14000000000000001</v>
          </cell>
          <cell r="S22">
            <v>0.12</v>
          </cell>
          <cell r="T22">
            <v>0.16</v>
          </cell>
          <cell r="U22">
            <v>0.18</v>
          </cell>
          <cell r="V22">
            <v>0.14000000000000001</v>
          </cell>
        </row>
        <row r="23">
          <cell r="A23" t="str">
            <v>Count of 1 Storage</v>
          </cell>
          <cell r="S23">
            <v>3.666666666666667</v>
          </cell>
          <cell r="T23">
            <v>3.25</v>
          </cell>
          <cell r="U23">
            <v>2.2222222222222223</v>
          </cell>
          <cell r="V23">
            <v>3.2857142857142856</v>
          </cell>
        </row>
        <row r="24">
          <cell r="A24" t="str">
            <v>1 Storage</v>
          </cell>
          <cell r="B24" t="str">
            <v>Total</v>
          </cell>
        </row>
        <row r="25">
          <cell r="A25" t="str">
            <v>Up 1-10%</v>
          </cell>
          <cell r="B25">
            <v>7</v>
          </cell>
        </row>
        <row r="26">
          <cell r="A26" t="str">
            <v>Flat</v>
          </cell>
          <cell r="B26">
            <v>11</v>
          </cell>
        </row>
        <row r="27">
          <cell r="A27" t="str">
            <v>Down 1-10%</v>
          </cell>
          <cell r="B27">
            <v>4</v>
          </cell>
        </row>
        <row r="28">
          <cell r="A28" t="str">
            <v>Down 11-20%</v>
          </cell>
          <cell r="B28">
            <v>3</v>
          </cell>
        </row>
        <row r="29">
          <cell r="A29" t="str">
            <v>Grand Total</v>
          </cell>
          <cell r="B29">
            <v>25</v>
          </cell>
        </row>
        <row r="49">
          <cell r="I49" t="str">
            <v>PCs</v>
          </cell>
          <cell r="J49" t="str">
            <v>Servers</v>
          </cell>
          <cell r="K49" t="str">
            <v>Storage</v>
          </cell>
        </row>
        <row r="50">
          <cell r="H50" t="str">
            <v>Up 21-30%</v>
          </cell>
          <cell r="I50">
            <v>0</v>
          </cell>
          <cell r="J50">
            <v>0</v>
          </cell>
          <cell r="K50">
            <v>0</v>
          </cell>
          <cell r="M50">
            <v>0.25</v>
          </cell>
        </row>
        <row r="51">
          <cell r="H51" t="str">
            <v>Up 11-20%</v>
          </cell>
          <cell r="I51">
            <v>2</v>
          </cell>
          <cell r="J51">
            <v>0</v>
          </cell>
          <cell r="K51">
            <v>0</v>
          </cell>
          <cell r="M51">
            <v>0.15</v>
          </cell>
        </row>
        <row r="52">
          <cell r="H52" t="str">
            <v>Up 1-10%</v>
          </cell>
          <cell r="I52">
            <v>6</v>
          </cell>
          <cell r="J52">
            <v>7</v>
          </cell>
          <cell r="K52">
            <v>8</v>
          </cell>
          <cell r="M52">
            <v>0.05</v>
          </cell>
        </row>
        <row r="53">
          <cell r="H53" t="str">
            <v>Flat</v>
          </cell>
          <cell r="I53">
            <v>10</v>
          </cell>
          <cell r="J53">
            <v>9</v>
          </cell>
          <cell r="K53">
            <v>8</v>
          </cell>
          <cell r="M53">
            <v>0</v>
          </cell>
        </row>
        <row r="54">
          <cell r="H54" t="str">
            <v>Down 1-10%</v>
          </cell>
          <cell r="I54">
            <v>6</v>
          </cell>
          <cell r="J54">
            <v>7</v>
          </cell>
          <cell r="K54">
            <v>8</v>
          </cell>
          <cell r="M54">
            <v>-0.05</v>
          </cell>
        </row>
        <row r="55">
          <cell r="H55" t="str">
            <v>Down 11-20%</v>
          </cell>
          <cell r="I55">
            <v>1</v>
          </cell>
          <cell r="J55">
            <v>2</v>
          </cell>
          <cell r="K55">
            <v>1</v>
          </cell>
          <cell r="M55">
            <v>-0.15</v>
          </cell>
        </row>
        <row r="57">
          <cell r="H57" t="str">
            <v>Oct 11 Survey</v>
          </cell>
          <cell r="I57">
            <v>6.0000000000000019E-3</v>
          </cell>
          <cell r="J57">
            <v>-1.2E-2</v>
          </cell>
          <cell r="K57">
            <v>-6.0000000000000001E-3</v>
          </cell>
        </row>
        <row r="59">
          <cell r="I59" t="str">
            <v>PCs</v>
          </cell>
          <cell r="J59" t="str">
            <v>Servers</v>
          </cell>
          <cell r="K59" t="str">
            <v>Storage</v>
          </cell>
        </row>
        <row r="60">
          <cell r="H60" t="str">
            <v>Up 21-30%</v>
          </cell>
          <cell r="I60">
            <v>0</v>
          </cell>
          <cell r="J60">
            <v>0</v>
          </cell>
          <cell r="K60">
            <v>0</v>
          </cell>
          <cell r="M60">
            <v>0.25</v>
          </cell>
        </row>
        <row r="61">
          <cell r="H61" t="str">
            <v>Up 11-20%</v>
          </cell>
          <cell r="I61">
            <v>1</v>
          </cell>
          <cell r="J61">
            <v>0</v>
          </cell>
          <cell r="K61">
            <v>0</v>
          </cell>
          <cell r="M61">
            <v>0.15</v>
          </cell>
        </row>
        <row r="62">
          <cell r="H62" t="str">
            <v>Up 1-10%</v>
          </cell>
          <cell r="I62">
            <v>6</v>
          </cell>
          <cell r="J62">
            <v>6</v>
          </cell>
          <cell r="K62">
            <v>7</v>
          </cell>
          <cell r="M62">
            <v>0.05</v>
          </cell>
        </row>
        <row r="63">
          <cell r="H63" t="str">
            <v>Flat</v>
          </cell>
          <cell r="I63">
            <v>10</v>
          </cell>
          <cell r="J63">
            <v>10</v>
          </cell>
          <cell r="K63">
            <v>11</v>
          </cell>
          <cell r="M63">
            <v>0</v>
          </cell>
        </row>
        <row r="64">
          <cell r="H64" t="str">
            <v>Down 1-10%</v>
          </cell>
          <cell r="I64">
            <v>7</v>
          </cell>
          <cell r="J64">
            <v>7</v>
          </cell>
          <cell r="K64">
            <v>4</v>
          </cell>
          <cell r="M64">
            <v>-0.05</v>
          </cell>
        </row>
        <row r="65">
          <cell r="H65" t="str">
            <v>Down 11-20%</v>
          </cell>
          <cell r="I65">
            <v>1</v>
          </cell>
          <cell r="J65">
            <v>2</v>
          </cell>
          <cell r="K65">
            <v>3</v>
          </cell>
          <cell r="M65">
            <v>-0.15</v>
          </cell>
        </row>
        <row r="67">
          <cell r="H67" t="str">
            <v>Jan 12 Survey</v>
          </cell>
          <cell r="I67">
            <v>-1.9999999999999983E-3</v>
          </cell>
          <cell r="J67">
            <v>-1.3999999999999999E-2</v>
          </cell>
          <cell r="K67">
            <v>-1.1999999999999997E-2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Morgan Stanley Hardware Survey - Q1 2012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1"/>
      <sheetName val="#2"/>
      <sheetName val="#3"/>
      <sheetName val="#4"/>
      <sheetName val="#5"/>
      <sheetName val="#6"/>
      <sheetName val="#7"/>
      <sheetName val="#8"/>
      <sheetName val="#9"/>
      <sheetName val="#10"/>
      <sheetName val="S1"/>
      <sheetName val="S2"/>
      <sheetName val="S3"/>
      <sheetName val="S4"/>
      <sheetName val="S5"/>
      <sheetName val="S6"/>
      <sheetName val="S7"/>
      <sheetName val="S8"/>
      <sheetName val="S9"/>
      <sheetName val="S10"/>
      <sheetName val="DATA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Morgan Stanley CIO Survey - September 2010</v>
          </cell>
        </row>
        <row r="3">
          <cell r="A3" t="str">
            <v>9.  How do you perceive technology vendors willingness to discount in the past three months</v>
          </cell>
        </row>
        <row r="4">
          <cell r="A4" t="str">
            <v xml:space="preserve"> versus prior three months (i.e. Q3 versus Q2)?</v>
          </cell>
        </row>
        <row r="6">
          <cell r="A6" t="str">
            <v>Industry</v>
          </cell>
          <cell r="B6" t="str">
            <v>(All)</v>
          </cell>
        </row>
        <row r="7">
          <cell r="A7" t="str">
            <v>Revenue</v>
          </cell>
          <cell r="B7" t="str">
            <v>(All)</v>
          </cell>
        </row>
        <row r="9">
          <cell r="A9" t="str">
            <v>Count of 9 Vendors willingness to discount</v>
          </cell>
        </row>
        <row r="10">
          <cell r="A10" t="str">
            <v>9 Vendors willingness to discount</v>
          </cell>
          <cell r="B10" t="str">
            <v>Total</v>
          </cell>
        </row>
        <row r="11">
          <cell r="A11" t="str">
            <v>significantly more aggressive in discounting</v>
          </cell>
          <cell r="B11">
            <v>4</v>
          </cell>
          <cell r="D11" t="str">
            <v>Significantly more aggressive</v>
          </cell>
          <cell r="E11">
            <v>0.04</v>
          </cell>
          <cell r="G11">
            <v>15.333333333333332</v>
          </cell>
        </row>
        <row r="12">
          <cell r="A12" t="str">
            <v>somewhat more aggressive in discounting</v>
          </cell>
          <cell r="B12">
            <v>42</v>
          </cell>
          <cell r="D12" t="str">
            <v>Somewhat more aggressive</v>
          </cell>
          <cell r="E12">
            <v>0.42</v>
          </cell>
        </row>
        <row r="13">
          <cell r="A13" t="str">
            <v>no change in level of discounting</v>
          </cell>
          <cell r="B13">
            <v>51</v>
          </cell>
          <cell r="D13" t="str">
            <v>No change</v>
          </cell>
          <cell r="E13">
            <v>0.51</v>
          </cell>
        </row>
        <row r="14">
          <cell r="A14" t="str">
            <v>somewhat less aggressive in discounting</v>
          </cell>
          <cell r="B14">
            <v>3</v>
          </cell>
          <cell r="D14" t="str">
            <v>Somewhat less aggressive</v>
          </cell>
          <cell r="E14">
            <v>0.03</v>
          </cell>
        </row>
        <row r="15">
          <cell r="A15" t="str">
            <v>Grand Total</v>
          </cell>
          <cell r="B15">
            <v>100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GWP"/>
      <sheetName val="Sheet1"/>
      <sheetName val="Scenario"/>
      <sheetName val="ImportantDisclosures"/>
      <sheetName val="IndexInformation"/>
      <sheetName val="Income"/>
      <sheetName val="Income Statement"/>
      <sheetName val="Margins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Comps"/>
      <sheetName val="Switches"/>
      <sheetName val="EBITDA"/>
      <sheetName val="TimeSeries"/>
      <sheetName val="Valuation Analyzer"/>
      <sheetName val="GWP-WLine"/>
      <sheetName val="SSB Nielsen Sales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F TAM - Base"/>
      <sheetName val="RF TAM - Bear"/>
      <sheetName val="RF TAM - Bull"/>
      <sheetName val="Filter TAM"/>
      <sheetName val="Feature Phones by Region"/>
      <sheetName val="Population"/>
      <sheetName val="RF Company Mobile revenue"/>
    </sheetNames>
    <sheetDataSet>
      <sheetData sheetId="0"/>
      <sheetData sheetId="1">
        <row r="4">
          <cell r="D4">
            <v>2014</v>
          </cell>
          <cell r="E4">
            <v>2015</v>
          </cell>
          <cell r="F4" t="str">
            <v>2016e</v>
          </cell>
          <cell r="G4" t="str">
            <v>2017e</v>
          </cell>
          <cell r="H4" t="str">
            <v>2018e</v>
          </cell>
          <cell r="I4" t="str">
            <v>2015-18  CAGR</v>
          </cell>
        </row>
        <row r="5">
          <cell r="D5">
            <v>1878818.3519972137</v>
          </cell>
          <cell r="E5">
            <v>1917267.5543200464</v>
          </cell>
          <cell r="F5">
            <v>1942779.4615999036</v>
          </cell>
          <cell r="G5">
            <v>1983358.2478997528</v>
          </cell>
          <cell r="H5">
            <v>2021584.3839999505</v>
          </cell>
        </row>
        <row r="6">
          <cell r="C6" t="str">
            <v>Mobile Handsets (mn)</v>
          </cell>
          <cell r="D6">
            <v>1878.8183519972138</v>
          </cell>
          <cell r="E6">
            <v>1917.2675543200464</v>
          </cell>
          <cell r="F6">
            <v>1907.6812165484462</v>
          </cell>
          <cell r="G6">
            <v>1898.1428104657039</v>
          </cell>
          <cell r="H6">
            <v>1888.6520964133754</v>
          </cell>
          <cell r="I6">
            <v>-5.0000000000000044E-3</v>
          </cell>
        </row>
        <row r="7">
          <cell r="C7" t="str">
            <v>y/y change</v>
          </cell>
          <cell r="E7">
            <v>2.0464566083230107E-2</v>
          </cell>
          <cell r="F7">
            <v>-5.0000000000000001E-3</v>
          </cell>
          <cell r="G7">
            <v>-5.0000000000000001E-3</v>
          </cell>
          <cell r="H7">
            <v>-5.0000000000000001E-3</v>
          </cell>
        </row>
        <row r="9">
          <cell r="C9" t="str">
            <v>Smartphone Units (mn)</v>
          </cell>
          <cell r="D9">
            <v>1301.662415172</v>
          </cell>
          <cell r="E9">
            <v>1438.1233521015299</v>
          </cell>
          <cell r="F9">
            <v>1438.1233521015299</v>
          </cell>
          <cell r="G9">
            <v>1409.3608850594992</v>
          </cell>
          <cell r="H9">
            <v>1367.0800585077143</v>
          </cell>
          <cell r="I9">
            <v>-1.6745513679453317E-2</v>
          </cell>
        </row>
        <row r="10">
          <cell r="C10" t="str">
            <v>y/y change</v>
          </cell>
          <cell r="E10">
            <v>0.10483588935115562</v>
          </cell>
          <cell r="F10">
            <v>0</v>
          </cell>
          <cell r="G10">
            <v>-0.02</v>
          </cell>
          <cell r="H10">
            <v>-0.03</v>
          </cell>
        </row>
        <row r="12">
          <cell r="C12" t="str">
            <v>Apple</v>
          </cell>
          <cell r="D12">
            <v>192.66</v>
          </cell>
          <cell r="E12">
            <v>231.5</v>
          </cell>
          <cell r="F12">
            <v>206.2</v>
          </cell>
          <cell r="G12">
            <v>206.2</v>
          </cell>
          <cell r="H12">
            <v>197.95199999999997</v>
          </cell>
          <cell r="I12">
            <v>-5.0846836549573782E-2</v>
          </cell>
        </row>
        <row r="13">
          <cell r="C13" t="str">
            <v>y/y change</v>
          </cell>
          <cell r="E13">
            <v>0.20159867123429875</v>
          </cell>
          <cell r="F13">
            <v>-0.10928725701943853</v>
          </cell>
          <cell r="G13">
            <v>0</v>
          </cell>
          <cell r="H13">
            <v>-0.04</v>
          </cell>
        </row>
        <row r="15">
          <cell r="C15" t="str">
            <v>RF content per device</v>
          </cell>
          <cell r="D15">
            <v>17</v>
          </cell>
          <cell r="E15">
            <v>18.5</v>
          </cell>
          <cell r="F15">
            <v>21</v>
          </cell>
          <cell r="G15">
            <v>22.05</v>
          </cell>
          <cell r="H15">
            <v>22.491</v>
          </cell>
        </row>
        <row r="16">
          <cell r="C16" t="str">
            <v>y/y change</v>
          </cell>
          <cell r="E16">
            <v>8.8235294117646967E-2</v>
          </cell>
          <cell r="F16">
            <v>0.13513513513513509</v>
          </cell>
          <cell r="G16">
            <v>0.05</v>
          </cell>
          <cell r="H16">
            <v>0.02</v>
          </cell>
        </row>
        <row r="18">
          <cell r="C18" t="str">
            <v>Samsung (mn)</v>
          </cell>
          <cell r="D18">
            <v>318.17193500000002</v>
          </cell>
          <cell r="E18">
            <v>320.88540602749953</v>
          </cell>
          <cell r="F18">
            <v>320.88540602749953</v>
          </cell>
          <cell r="G18">
            <v>308.04998978639952</v>
          </cell>
          <cell r="H18">
            <v>292.64749029707951</v>
          </cell>
          <cell r="I18">
            <v>-3.0238482832024238E-2</v>
          </cell>
        </row>
        <row r="19">
          <cell r="C19" t="str">
            <v>y/y change</v>
          </cell>
          <cell r="E19">
            <v>8.5283167024128304E-3</v>
          </cell>
          <cell r="F19">
            <v>0</v>
          </cell>
          <cell r="G19">
            <v>-0.04</v>
          </cell>
          <cell r="H19">
            <v>-0.05</v>
          </cell>
        </row>
        <row r="21">
          <cell r="C21" t="str">
            <v>Samsung - High end (mn)</v>
          </cell>
          <cell r="D21">
            <v>104.99673855000002</v>
          </cell>
          <cell r="E21">
            <v>105.89218398907485</v>
          </cell>
          <cell r="F21">
            <v>105.89218398907485</v>
          </cell>
          <cell r="G21">
            <v>102.71541846940261</v>
          </cell>
          <cell r="H21">
            <v>97.579647545932474</v>
          </cell>
          <cell r="I21">
            <v>-2.6882879909621016E-2</v>
          </cell>
        </row>
        <row r="22">
          <cell r="C22" t="str">
            <v>y/y change</v>
          </cell>
          <cell r="E22">
            <v>8.5283167024128304E-3</v>
          </cell>
          <cell r="F22">
            <v>0</v>
          </cell>
          <cell r="G22">
            <v>-0.03</v>
          </cell>
          <cell r="H22">
            <v>-0.05</v>
          </cell>
        </row>
        <row r="23">
          <cell r="C23" t="str">
            <v>RF content per device</v>
          </cell>
          <cell r="D23">
            <v>10</v>
          </cell>
          <cell r="E23">
            <v>12</v>
          </cell>
          <cell r="F23">
            <v>13.799999999999999</v>
          </cell>
          <cell r="G23">
            <v>14.49</v>
          </cell>
          <cell r="H23">
            <v>14.924700000000001</v>
          </cell>
        </row>
        <row r="24">
          <cell r="C24" t="str">
            <v>y/y change</v>
          </cell>
          <cell r="E24">
            <v>0.19999999999999996</v>
          </cell>
          <cell r="F24">
            <v>0.15</v>
          </cell>
          <cell r="G24">
            <v>0.05</v>
          </cell>
          <cell r="H24">
            <v>0.03</v>
          </cell>
        </row>
        <row r="26">
          <cell r="C26" t="str">
            <v>Samsung mid/low end (mn)</v>
          </cell>
          <cell r="D26">
            <v>213.17519644999999</v>
          </cell>
          <cell r="E26">
            <v>214.99322203842468</v>
          </cell>
          <cell r="F26">
            <v>214.99322203842468</v>
          </cell>
          <cell r="G26">
            <v>205.33457131699691</v>
          </cell>
          <cell r="H26">
            <v>195.06784275114705</v>
          </cell>
          <cell r="I26">
            <v>-3.1899812465721156E-2</v>
          </cell>
        </row>
        <row r="27">
          <cell r="C27" t="str">
            <v>y/y change</v>
          </cell>
          <cell r="E27">
            <v>8.5283167024128304E-3</v>
          </cell>
          <cell r="F27">
            <v>0</v>
          </cell>
          <cell r="G27">
            <v>-4.4925373134328428E-2</v>
          </cell>
          <cell r="H27">
            <v>-5.0000000000000044E-2</v>
          </cell>
        </row>
        <row r="28">
          <cell r="C28" t="str">
            <v>RF content per device</v>
          </cell>
          <cell r="D28">
            <v>3.5</v>
          </cell>
          <cell r="E28">
            <v>3.8500000000000005</v>
          </cell>
          <cell r="F28">
            <v>4.2350000000000012</v>
          </cell>
          <cell r="G28">
            <v>4.5314500000000013</v>
          </cell>
          <cell r="H28">
            <v>4.7580225000000018</v>
          </cell>
        </row>
        <row r="29">
          <cell r="C29" t="str">
            <v>y/y change</v>
          </cell>
          <cell r="E29">
            <v>0.1</v>
          </cell>
          <cell r="F29">
            <v>0.1</v>
          </cell>
          <cell r="G29">
            <v>7.0000000000000007E-2</v>
          </cell>
          <cell r="H29">
            <v>0.05</v>
          </cell>
        </row>
        <row r="31">
          <cell r="C31" t="str">
            <v>China Branded OEMs (mn)</v>
          </cell>
          <cell r="D31">
            <v>359</v>
          </cell>
          <cell r="E31">
            <v>401</v>
          </cell>
          <cell r="F31">
            <v>425.06</v>
          </cell>
          <cell r="G31">
            <v>425.06</v>
          </cell>
          <cell r="H31">
            <v>425.06</v>
          </cell>
          <cell r="I31">
            <v>1.9612822422216292E-2</v>
          </cell>
        </row>
        <row r="32">
          <cell r="C32" t="str">
            <v>y/y change</v>
          </cell>
          <cell r="E32">
            <v>0.11699164345403901</v>
          </cell>
          <cell r="F32">
            <v>0.06</v>
          </cell>
          <cell r="G32">
            <v>0</v>
          </cell>
          <cell r="H32">
            <v>0</v>
          </cell>
        </row>
        <row r="34">
          <cell r="C34" t="str">
            <v>RF content per device</v>
          </cell>
          <cell r="D34">
            <v>2.5</v>
          </cell>
          <cell r="E34">
            <v>3.5</v>
          </cell>
          <cell r="F34">
            <v>5.5</v>
          </cell>
          <cell r="G34">
            <v>6.3249999999999993</v>
          </cell>
          <cell r="H34">
            <v>6.6412499999999994</v>
          </cell>
        </row>
        <row r="35">
          <cell r="C35" t="str">
            <v>y/y change</v>
          </cell>
          <cell r="E35">
            <v>0.39999999999999991</v>
          </cell>
          <cell r="F35">
            <v>0.5714285714285714</v>
          </cell>
          <cell r="G35">
            <v>0.15</v>
          </cell>
          <cell r="H35">
            <v>0.05</v>
          </cell>
        </row>
        <row r="37">
          <cell r="C37" t="str">
            <v>Other Global Branded OEMs (mn)</v>
          </cell>
          <cell r="D37">
            <v>224.52404665000003</v>
          </cell>
          <cell r="E37">
            <v>181.98860515245701</v>
          </cell>
          <cell r="F37">
            <v>145.59088412196562</v>
          </cell>
          <cell r="G37">
            <v>120.84043382123146</v>
          </cell>
          <cell r="H37">
            <v>102.71436874804674</v>
          </cell>
          <cell r="I37">
            <v>-0.17358980091412379</v>
          </cell>
        </row>
        <row r="38">
          <cell r="C38" t="str">
            <v>y/y change</v>
          </cell>
          <cell r="E38">
            <v>-0.18944715335480089</v>
          </cell>
          <cell r="F38">
            <v>-0.2</v>
          </cell>
          <cell r="G38">
            <v>-0.17</v>
          </cell>
          <cell r="H38">
            <v>-0.15</v>
          </cell>
        </row>
        <row r="40">
          <cell r="C40" t="str">
            <v>RF content per device</v>
          </cell>
          <cell r="D40">
            <v>7.5</v>
          </cell>
          <cell r="E40">
            <v>8.25</v>
          </cell>
          <cell r="F40">
            <v>8.91</v>
          </cell>
          <cell r="G40">
            <v>9.1773000000000007</v>
          </cell>
          <cell r="H40">
            <v>9.3608460000000004</v>
          </cell>
        </row>
        <row r="41">
          <cell r="C41" t="str">
            <v>y/y change</v>
          </cell>
          <cell r="E41">
            <v>0.1</v>
          </cell>
          <cell r="F41">
            <v>0.08</v>
          </cell>
          <cell r="G41">
            <v>0.03</v>
          </cell>
          <cell r="H41">
            <v>0.02</v>
          </cell>
        </row>
        <row r="43">
          <cell r="C43" t="str">
            <v>Other Smartphones (mn)</v>
          </cell>
          <cell r="D43">
            <v>207.30643352199982</v>
          </cell>
          <cell r="E43">
            <v>302.74934092157332</v>
          </cell>
          <cell r="F43">
            <v>340.38706195206464</v>
          </cell>
          <cell r="G43">
            <v>349.21046145186824</v>
          </cell>
          <cell r="H43">
            <v>348.70619946258807</v>
          </cell>
          <cell r="I43">
            <v>4.8235396457436908E-2</v>
          </cell>
        </row>
        <row r="44">
          <cell r="C44" t="str">
            <v>y/y change</v>
          </cell>
          <cell r="E44">
            <v>0.46039529877612262</v>
          </cell>
          <cell r="F44">
            <v>0.12431974555558578</v>
          </cell>
          <cell r="G44">
            <v>2.5921665321833487E-2</v>
          </cell>
          <cell r="H44">
            <v>-1.4440059647229386E-3</v>
          </cell>
        </row>
        <row r="45">
          <cell r="C45" t="str">
            <v>RF content per device</v>
          </cell>
          <cell r="D45">
            <v>1</v>
          </cell>
          <cell r="E45">
            <v>2</v>
          </cell>
          <cell r="F45">
            <v>2.5</v>
          </cell>
          <cell r="G45">
            <v>2.875</v>
          </cell>
          <cell r="H45">
            <v>3.1625000000000001</v>
          </cell>
        </row>
        <row r="46">
          <cell r="C46" t="str">
            <v>y/y change</v>
          </cell>
          <cell r="F46">
            <v>0.25</v>
          </cell>
          <cell r="G46">
            <v>0.15</v>
          </cell>
          <cell r="H46">
            <v>0.1</v>
          </cell>
        </row>
        <row r="48">
          <cell r="C48" t="str">
            <v>Feature Phones</v>
          </cell>
          <cell r="D48">
            <v>577.15593682521376</v>
          </cell>
          <cell r="E48">
            <v>479.14420221851651</v>
          </cell>
          <cell r="F48">
            <v>469.55786444691626</v>
          </cell>
          <cell r="G48">
            <v>488.78192540620466</v>
          </cell>
          <cell r="H48">
            <v>521.57203790566109</v>
          </cell>
        </row>
        <row r="49">
          <cell r="C49" t="str">
            <v>y/y change</v>
          </cell>
          <cell r="E49">
            <v>-0.16981846387275257</v>
          </cell>
          <cell r="F49">
            <v>-2.000720811650003E-2</v>
          </cell>
          <cell r="G49">
            <v>4.0940770914213331E-2</v>
          </cell>
          <cell r="H49">
            <v>6.7085362193387343E-2</v>
          </cell>
        </row>
        <row r="50">
          <cell r="C50" t="str">
            <v>RF content per device</v>
          </cell>
          <cell r="D50">
            <v>0.65</v>
          </cell>
          <cell r="E50">
            <v>0.75</v>
          </cell>
          <cell r="F50">
            <v>0.85</v>
          </cell>
          <cell r="G50">
            <v>0.95</v>
          </cell>
          <cell r="H50">
            <v>1</v>
          </cell>
        </row>
        <row r="52">
          <cell r="C52" t="str">
            <v>MS Mobile RF TAM ($mn)</v>
          </cell>
          <cell r="D52">
            <v>8235.1887154083888</v>
          </cell>
          <cell r="E52">
            <v>10250.942938731638</v>
          </cell>
          <cell r="F52">
            <v>11587.145051568716</v>
          </cell>
          <cell r="G52">
            <v>12231.33607593365</v>
          </cell>
          <cell r="H52">
            <v>12245.401089108971</v>
          </cell>
          <cell r="I52">
            <v>6.1051343362549693E-2</v>
          </cell>
        </row>
        <row r="53">
          <cell r="C53" t="str">
            <v>y/y change</v>
          </cell>
          <cell r="E53">
            <v>0.2447732885042071</v>
          </cell>
          <cell r="F53">
            <v>0.13034919039383586</v>
          </cell>
          <cell r="G53">
            <v>5.5595318907112556E-2</v>
          </cell>
          <cell r="H53">
            <v>1.1499163368582366E-3</v>
          </cell>
        </row>
      </sheetData>
      <sheetData sheetId="2">
        <row r="3">
          <cell r="C3" t="str">
            <v>RF Mobile TAM - Bull Case</v>
          </cell>
        </row>
        <row r="4">
          <cell r="D4">
            <v>2014</v>
          </cell>
          <cell r="E4">
            <v>2015</v>
          </cell>
          <cell r="F4" t="str">
            <v>2016e</v>
          </cell>
          <cell r="G4" t="str">
            <v>2017e</v>
          </cell>
          <cell r="H4" t="str">
            <v>2018e</v>
          </cell>
          <cell r="I4" t="str">
            <v>2015-18  CAGR</v>
          </cell>
        </row>
        <row r="5">
          <cell r="D5">
            <v>1878818.3519972137</v>
          </cell>
          <cell r="E5">
            <v>1917267.5543200464</v>
          </cell>
          <cell r="F5">
            <v>1942779.4615999036</v>
          </cell>
          <cell r="G5">
            <v>1983358.2478997528</v>
          </cell>
          <cell r="H5">
            <v>2021584.3839999505</v>
          </cell>
        </row>
        <row r="6">
          <cell r="C6" t="str">
            <v>Mobile Handsets (mn)</v>
          </cell>
          <cell r="D6">
            <v>1878.8183519972138</v>
          </cell>
          <cell r="E6">
            <v>1917.2675543200464</v>
          </cell>
          <cell r="F6">
            <v>1917.2675543200464</v>
          </cell>
          <cell r="G6">
            <v>1917.2675543200464</v>
          </cell>
          <cell r="H6">
            <v>1917.2675543200464</v>
          </cell>
          <cell r="I6">
            <v>0</v>
          </cell>
        </row>
        <row r="7">
          <cell r="C7" t="str">
            <v>y/y change</v>
          </cell>
          <cell r="E7">
            <v>2.0464566083230107E-2</v>
          </cell>
          <cell r="F7">
            <v>0</v>
          </cell>
          <cell r="G7">
            <v>0</v>
          </cell>
          <cell r="H7">
            <v>0</v>
          </cell>
        </row>
        <row r="9">
          <cell r="C9" t="str">
            <v>Smartphone Units (mn)</v>
          </cell>
          <cell r="D9">
            <v>1301.662415172</v>
          </cell>
          <cell r="E9">
            <v>1438.1233521015299</v>
          </cell>
          <cell r="F9">
            <v>1488.4576694250834</v>
          </cell>
          <cell r="G9">
            <v>1570.3228412434628</v>
          </cell>
          <cell r="H9">
            <v>1648.838983305636</v>
          </cell>
          <cell r="I9">
            <v>4.6632065854611326E-2</v>
          </cell>
        </row>
        <row r="10">
          <cell r="C10" t="str">
            <v>y/y change</v>
          </cell>
          <cell r="D10" t="e">
            <v>#REF!</v>
          </cell>
          <cell r="E10">
            <v>0.10483588935115562</v>
          </cell>
          <cell r="F10">
            <v>3.5000000000000003E-2</v>
          </cell>
          <cell r="G10">
            <v>5.5E-2</v>
          </cell>
          <cell r="H10">
            <v>0.05</v>
          </cell>
        </row>
        <row r="12">
          <cell r="C12" t="str">
            <v>Apple</v>
          </cell>
          <cell r="D12">
            <v>192.66</v>
          </cell>
          <cell r="E12">
            <v>231.5</v>
          </cell>
          <cell r="F12">
            <v>206.2</v>
          </cell>
          <cell r="G12">
            <v>226.82</v>
          </cell>
          <cell r="H12">
            <v>238.161</v>
          </cell>
          <cell r="I12">
            <v>9.5005268642653906E-3</v>
          </cell>
        </row>
        <row r="13">
          <cell r="C13" t="str">
            <v>y/y change</v>
          </cell>
          <cell r="E13">
            <v>0.20159867123429875</v>
          </cell>
          <cell r="F13">
            <v>-0.10928725701943853</v>
          </cell>
          <cell r="G13">
            <v>0.1</v>
          </cell>
          <cell r="H13">
            <v>0.05</v>
          </cell>
        </row>
        <row r="15">
          <cell r="C15" t="str">
            <v>RF content per device</v>
          </cell>
          <cell r="D15">
            <v>17</v>
          </cell>
          <cell r="E15">
            <v>18.5</v>
          </cell>
          <cell r="F15">
            <v>21</v>
          </cell>
          <cell r="G15">
            <v>23.520000000000003</v>
          </cell>
          <cell r="H15">
            <v>25.872000000000007</v>
          </cell>
        </row>
        <row r="16">
          <cell r="C16" t="str">
            <v>y/y change</v>
          </cell>
          <cell r="E16">
            <v>8.8235294117646967E-2</v>
          </cell>
          <cell r="F16">
            <v>0.15</v>
          </cell>
          <cell r="G16">
            <v>0.12</v>
          </cell>
          <cell r="H16">
            <v>0.1</v>
          </cell>
        </row>
        <row r="18">
          <cell r="C18" t="str">
            <v>Samsung (mn)</v>
          </cell>
          <cell r="D18">
            <v>318.17193500000002</v>
          </cell>
          <cell r="E18">
            <v>320.88540602749953</v>
          </cell>
          <cell r="F18">
            <v>324.0942600877745</v>
          </cell>
          <cell r="G18">
            <v>327.33520268865226</v>
          </cell>
          <cell r="H18">
            <v>327.33520268865226</v>
          </cell>
          <cell r="I18">
            <v>6.6556046521124568E-3</v>
          </cell>
        </row>
        <row r="19">
          <cell r="C19" t="str">
            <v>y/y change</v>
          </cell>
          <cell r="E19">
            <v>8.5283167024128304E-3</v>
          </cell>
          <cell r="F19">
            <v>0.01</v>
          </cell>
          <cell r="G19">
            <v>0.01</v>
          </cell>
          <cell r="H19">
            <v>0</v>
          </cell>
        </row>
        <row r="21">
          <cell r="C21" t="str">
            <v>Samsung - High end (mn)</v>
          </cell>
          <cell r="D21">
            <v>104.99673855000002</v>
          </cell>
          <cell r="E21">
            <v>105.89218398907485</v>
          </cell>
          <cell r="F21">
            <v>106.95110582896559</v>
          </cell>
          <cell r="G21">
            <v>108.02061688725526</v>
          </cell>
          <cell r="H21">
            <v>108.02061688725526</v>
          </cell>
          <cell r="I21">
            <v>6.6556046521124568E-3</v>
          </cell>
        </row>
        <row r="22">
          <cell r="C22" t="str">
            <v>y/y change</v>
          </cell>
          <cell r="E22">
            <v>8.5283167024128304E-3</v>
          </cell>
          <cell r="F22">
            <v>0.01</v>
          </cell>
          <cell r="G22">
            <v>0.01</v>
          </cell>
          <cell r="H22">
            <v>0</v>
          </cell>
        </row>
        <row r="23">
          <cell r="C23" t="str">
            <v>RF content per device</v>
          </cell>
          <cell r="D23">
            <v>10</v>
          </cell>
          <cell r="E23">
            <v>12</v>
          </cell>
          <cell r="F23">
            <v>14.04</v>
          </cell>
          <cell r="G23">
            <v>16.145999999999997</v>
          </cell>
          <cell r="H23">
            <v>18.08352</v>
          </cell>
        </row>
        <row r="24">
          <cell r="C24" t="str">
            <v>y/y change</v>
          </cell>
          <cell r="E24">
            <v>0.19999999999999996</v>
          </cell>
          <cell r="F24">
            <v>0.17</v>
          </cell>
          <cell r="G24">
            <v>0.15</v>
          </cell>
          <cell r="H24">
            <v>0.12</v>
          </cell>
        </row>
        <row r="26">
          <cell r="C26" t="str">
            <v>Samsung mid/low end (mn)</v>
          </cell>
          <cell r="D26">
            <v>213.17519644999999</v>
          </cell>
          <cell r="E26">
            <v>214.99322203842468</v>
          </cell>
          <cell r="F26">
            <v>217.14315425880892</v>
          </cell>
          <cell r="G26">
            <v>219.31458580139702</v>
          </cell>
          <cell r="H26">
            <v>219.31458580139702</v>
          </cell>
          <cell r="I26">
            <v>6.6556046521124568E-3</v>
          </cell>
        </row>
        <row r="27">
          <cell r="C27" t="str">
            <v>y/y change</v>
          </cell>
          <cell r="E27">
            <v>8.5283167024128304E-3</v>
          </cell>
          <cell r="F27">
            <v>1.0000000000000009E-2</v>
          </cell>
          <cell r="G27">
            <v>1.0000000000000009E-2</v>
          </cell>
          <cell r="H27">
            <v>0</v>
          </cell>
        </row>
        <row r="28">
          <cell r="C28" t="str">
            <v>RF content per device</v>
          </cell>
          <cell r="D28">
            <v>3.5</v>
          </cell>
          <cell r="E28">
            <v>3.8500000000000005</v>
          </cell>
          <cell r="F28">
            <v>4.4275000000000002</v>
          </cell>
          <cell r="G28">
            <v>4.958800000000001</v>
          </cell>
          <cell r="H28">
            <v>5.4546800000000015</v>
          </cell>
        </row>
        <row r="29">
          <cell r="C29" t="str">
            <v>y/y change</v>
          </cell>
          <cell r="E29">
            <v>0.1</v>
          </cell>
          <cell r="F29">
            <v>0.15</v>
          </cell>
          <cell r="G29">
            <v>0.12</v>
          </cell>
          <cell r="H29">
            <v>0.1</v>
          </cell>
        </row>
        <row r="31">
          <cell r="C31" t="str">
            <v>China Branded OEMs (mn)</v>
          </cell>
          <cell r="D31">
            <v>359</v>
          </cell>
          <cell r="E31">
            <v>401</v>
          </cell>
          <cell r="F31">
            <v>433.08000000000004</v>
          </cell>
          <cell r="G31">
            <v>454.73400000000004</v>
          </cell>
          <cell r="H31">
            <v>477.47070000000008</v>
          </cell>
          <cell r="I31">
            <v>5.9906245416183834E-2</v>
          </cell>
        </row>
        <row r="32">
          <cell r="C32" t="str">
            <v>y/y change</v>
          </cell>
          <cell r="E32">
            <v>0.11699164345403901</v>
          </cell>
          <cell r="F32">
            <v>0.08</v>
          </cell>
          <cell r="G32">
            <v>0.05</v>
          </cell>
          <cell r="H32">
            <v>0.05</v>
          </cell>
        </row>
        <row r="34">
          <cell r="C34" t="str">
            <v>RF content per device</v>
          </cell>
          <cell r="D34">
            <v>2.5</v>
          </cell>
          <cell r="E34">
            <v>3.5</v>
          </cell>
          <cell r="F34">
            <v>6</v>
          </cell>
          <cell r="G34">
            <v>8.1000000000000014</v>
          </cell>
          <cell r="H34">
            <v>10.125000000000002</v>
          </cell>
        </row>
        <row r="35">
          <cell r="C35" t="str">
            <v>y/y change</v>
          </cell>
          <cell r="E35">
            <v>0.39999999999999991</v>
          </cell>
          <cell r="F35">
            <v>0.71428571428571419</v>
          </cell>
          <cell r="G35">
            <v>0.35</v>
          </cell>
          <cell r="H35">
            <v>0.25</v>
          </cell>
        </row>
        <row r="37">
          <cell r="C37" t="str">
            <v>Other Global Branded OEMs (mn)</v>
          </cell>
          <cell r="D37">
            <v>224.52404665000003</v>
          </cell>
          <cell r="E37">
            <v>181.98860515245701</v>
          </cell>
          <cell r="F37">
            <v>163.78974463721133</v>
          </cell>
          <cell r="G37">
            <v>147.41077017349019</v>
          </cell>
          <cell r="H37">
            <v>132.66969315614116</v>
          </cell>
          <cell r="I37">
            <v>-9.9999999999999978E-2</v>
          </cell>
        </row>
        <row r="38">
          <cell r="C38" t="str">
            <v>y/y change</v>
          </cell>
          <cell r="E38">
            <v>-0.18944715335480089</v>
          </cell>
          <cell r="F38">
            <v>-0.1</v>
          </cell>
          <cell r="G38">
            <v>-0.1</v>
          </cell>
          <cell r="H38">
            <v>-0.1</v>
          </cell>
        </row>
        <row r="40">
          <cell r="C40" t="str">
            <v>RF content per device</v>
          </cell>
          <cell r="D40">
            <v>7.5</v>
          </cell>
          <cell r="E40">
            <v>8.25</v>
          </cell>
          <cell r="F40">
            <v>9.0750000000000011</v>
          </cell>
          <cell r="G40">
            <v>9.8010000000000019</v>
          </cell>
          <cell r="H40">
            <v>10.585080000000003</v>
          </cell>
        </row>
        <row r="41">
          <cell r="C41" t="str">
            <v>y/y change</v>
          </cell>
          <cell r="E41">
            <v>0.1</v>
          </cell>
          <cell r="F41">
            <v>0.1</v>
          </cell>
          <cell r="G41">
            <v>0.08</v>
          </cell>
          <cell r="H41">
            <v>0.08</v>
          </cell>
        </row>
        <row r="43">
          <cell r="C43" t="str">
            <v>Other Smartphones (mn)</v>
          </cell>
          <cell r="D43">
            <v>207.30643352199982</v>
          </cell>
          <cell r="E43">
            <v>302.74934092157332</v>
          </cell>
          <cell r="F43">
            <v>361.29366470009745</v>
          </cell>
          <cell r="G43">
            <v>414.02286838132034</v>
          </cell>
          <cell r="H43">
            <v>473.20238746084237</v>
          </cell>
          <cell r="I43">
            <v>0.16052519542043098</v>
          </cell>
        </row>
        <row r="44">
          <cell r="C44" t="str">
            <v>y/y change</v>
          </cell>
          <cell r="E44">
            <v>0.46039529877612262</v>
          </cell>
          <cell r="F44">
            <v>0.19337556144734913</v>
          </cell>
          <cell r="G44">
            <v>0.14594555297556155</v>
          </cell>
          <cell r="H44">
            <v>0.14293780271339251</v>
          </cell>
        </row>
        <row r="45">
          <cell r="C45" t="str">
            <v>RF content per device</v>
          </cell>
          <cell r="D45">
            <v>1</v>
          </cell>
          <cell r="E45">
            <v>2</v>
          </cell>
          <cell r="F45">
            <v>2.5</v>
          </cell>
          <cell r="G45">
            <v>3.25</v>
          </cell>
          <cell r="H45">
            <v>4.0625</v>
          </cell>
        </row>
        <row r="46">
          <cell r="C46" t="str">
            <v>y/y change</v>
          </cell>
          <cell r="F46">
            <v>0.35</v>
          </cell>
          <cell r="G46">
            <v>0.3</v>
          </cell>
          <cell r="H46">
            <v>0.25</v>
          </cell>
        </row>
        <row r="48">
          <cell r="C48" t="str">
            <v>Feature Phones</v>
          </cell>
          <cell r="D48">
            <v>577.15593682521376</v>
          </cell>
          <cell r="E48">
            <v>479.14420221851651</v>
          </cell>
          <cell r="F48">
            <v>428.80988489496303</v>
          </cell>
          <cell r="G48">
            <v>346.94471307658364</v>
          </cell>
          <cell r="H48">
            <v>268.42857101441041</v>
          </cell>
        </row>
        <row r="49">
          <cell r="C49" t="str">
            <v>y/y change</v>
          </cell>
          <cell r="E49">
            <v>-0.16981846387275257</v>
          </cell>
          <cell r="F49">
            <v>-0.10505045681550007</v>
          </cell>
          <cell r="G49">
            <v>-0.19091251088680539</v>
          </cell>
          <cell r="H49">
            <v>-0.22630735994193341</v>
          </cell>
        </row>
        <row r="50">
          <cell r="C50" t="str">
            <v>RF content per device</v>
          </cell>
          <cell r="D50">
            <v>0.65</v>
          </cell>
          <cell r="E50">
            <v>0.75</v>
          </cell>
          <cell r="F50">
            <v>0.85</v>
          </cell>
          <cell r="G50">
            <v>0.95</v>
          </cell>
          <cell r="H50">
            <v>1</v>
          </cell>
        </row>
        <row r="52">
          <cell r="C52" t="str">
            <v>MS Mobile RF TAM ($mn)</v>
          </cell>
          <cell r="D52">
            <v>8235.1887154083888</v>
          </cell>
          <cell r="E52">
            <v>10250.942938731638</v>
          </cell>
          <cell r="F52">
            <v>12145.78933781321</v>
          </cell>
          <cell r="G52">
            <v>14969.734606466016</v>
          </cell>
          <cell r="H52">
            <v>17740.908685979477</v>
          </cell>
          <cell r="I52">
            <v>0.20061569079234975</v>
          </cell>
        </row>
        <row r="53">
          <cell r="C53" t="str">
            <v>y/y change</v>
          </cell>
          <cell r="E53">
            <v>0.2447732885042071</v>
          </cell>
          <cell r="F53">
            <v>0.18484605859254</v>
          </cell>
          <cell r="G53">
            <v>0.23250405470652136</v>
          </cell>
          <cell r="H53">
            <v>0.18511845081852574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5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84"/>
  <sheetViews>
    <sheetView showGridLines="0" tabSelected="1" workbookViewId="0">
      <selection activeCell="Z1" sqref="Z1"/>
    </sheetView>
  </sheetViews>
  <sheetFormatPr defaultRowHeight="12.75"/>
  <cols>
    <col min="1" max="1" width="25.7109375" style="976" customWidth="1"/>
    <col min="2" max="5" width="9.140625" style="976"/>
    <col min="6" max="6" width="18.7109375" style="976" customWidth="1"/>
    <col min="7" max="256" width="9.140625" style="976"/>
    <col min="257" max="257" width="100.7109375" style="976" customWidth="1"/>
    <col min="258" max="512" width="9.140625" style="976"/>
    <col min="513" max="513" width="100.7109375" style="976" customWidth="1"/>
    <col min="514" max="768" width="9.140625" style="976"/>
    <col min="769" max="769" width="100.7109375" style="976" customWidth="1"/>
    <col min="770" max="1024" width="9.140625" style="976"/>
    <col min="1025" max="1025" width="100.7109375" style="976" customWidth="1"/>
    <col min="1026" max="1280" width="9.140625" style="976"/>
    <col min="1281" max="1281" width="100.7109375" style="976" customWidth="1"/>
    <col min="1282" max="1536" width="9.140625" style="976"/>
    <col min="1537" max="1537" width="100.7109375" style="976" customWidth="1"/>
    <col min="1538" max="1792" width="9.140625" style="976"/>
    <col min="1793" max="1793" width="100.7109375" style="976" customWidth="1"/>
    <col min="1794" max="2048" width="9.140625" style="976"/>
    <col min="2049" max="2049" width="100.7109375" style="976" customWidth="1"/>
    <col min="2050" max="2304" width="9.140625" style="976"/>
    <col min="2305" max="2305" width="100.7109375" style="976" customWidth="1"/>
    <col min="2306" max="2560" width="9.140625" style="976"/>
    <col min="2561" max="2561" width="100.7109375" style="976" customWidth="1"/>
    <col min="2562" max="2816" width="9.140625" style="976"/>
    <col min="2817" max="2817" width="100.7109375" style="976" customWidth="1"/>
    <col min="2818" max="3072" width="9.140625" style="976"/>
    <col min="3073" max="3073" width="100.7109375" style="976" customWidth="1"/>
    <col min="3074" max="3328" width="9.140625" style="976"/>
    <col min="3329" max="3329" width="100.7109375" style="976" customWidth="1"/>
    <col min="3330" max="3584" width="9.140625" style="976"/>
    <col min="3585" max="3585" width="100.7109375" style="976" customWidth="1"/>
    <col min="3586" max="3840" width="9.140625" style="976"/>
    <col min="3841" max="3841" width="100.7109375" style="976" customWidth="1"/>
    <col min="3842" max="4096" width="9.140625" style="976"/>
    <col min="4097" max="4097" width="100.7109375" style="976" customWidth="1"/>
    <col min="4098" max="4352" width="9.140625" style="976"/>
    <col min="4353" max="4353" width="100.7109375" style="976" customWidth="1"/>
    <col min="4354" max="4608" width="9.140625" style="976"/>
    <col min="4609" max="4609" width="100.7109375" style="976" customWidth="1"/>
    <col min="4610" max="4864" width="9.140625" style="976"/>
    <col min="4865" max="4865" width="100.7109375" style="976" customWidth="1"/>
    <col min="4866" max="5120" width="9.140625" style="976"/>
    <col min="5121" max="5121" width="100.7109375" style="976" customWidth="1"/>
    <col min="5122" max="5376" width="9.140625" style="976"/>
    <col min="5377" max="5377" width="100.7109375" style="976" customWidth="1"/>
    <col min="5378" max="5632" width="9.140625" style="976"/>
    <col min="5633" max="5633" width="100.7109375" style="976" customWidth="1"/>
    <col min="5634" max="5888" width="9.140625" style="976"/>
    <col min="5889" max="5889" width="100.7109375" style="976" customWidth="1"/>
    <col min="5890" max="6144" width="9.140625" style="976"/>
    <col min="6145" max="6145" width="100.7109375" style="976" customWidth="1"/>
    <col min="6146" max="6400" width="9.140625" style="976"/>
    <col min="6401" max="6401" width="100.7109375" style="976" customWidth="1"/>
    <col min="6402" max="6656" width="9.140625" style="976"/>
    <col min="6657" max="6657" width="100.7109375" style="976" customWidth="1"/>
    <col min="6658" max="6912" width="9.140625" style="976"/>
    <col min="6913" max="6913" width="100.7109375" style="976" customWidth="1"/>
    <col min="6914" max="7168" width="9.140625" style="976"/>
    <col min="7169" max="7169" width="100.7109375" style="976" customWidth="1"/>
    <col min="7170" max="7424" width="9.140625" style="976"/>
    <col min="7425" max="7425" width="100.7109375" style="976" customWidth="1"/>
    <col min="7426" max="7680" width="9.140625" style="976"/>
    <col min="7681" max="7681" width="100.7109375" style="976" customWidth="1"/>
    <col min="7682" max="7936" width="9.140625" style="976"/>
    <col min="7937" max="7937" width="100.7109375" style="976" customWidth="1"/>
    <col min="7938" max="8192" width="9.140625" style="976"/>
    <col min="8193" max="8193" width="100.7109375" style="976" customWidth="1"/>
    <col min="8194" max="8448" width="9.140625" style="976"/>
    <col min="8449" max="8449" width="100.7109375" style="976" customWidth="1"/>
    <col min="8450" max="8704" width="9.140625" style="976"/>
    <col min="8705" max="8705" width="100.7109375" style="976" customWidth="1"/>
    <col min="8706" max="8960" width="9.140625" style="976"/>
    <col min="8961" max="8961" width="100.7109375" style="976" customWidth="1"/>
    <col min="8962" max="9216" width="9.140625" style="976"/>
    <col min="9217" max="9217" width="100.7109375" style="976" customWidth="1"/>
    <col min="9218" max="9472" width="9.140625" style="976"/>
    <col min="9473" max="9473" width="100.7109375" style="976" customWidth="1"/>
    <col min="9474" max="9728" width="9.140625" style="976"/>
    <col min="9729" max="9729" width="100.7109375" style="976" customWidth="1"/>
    <col min="9730" max="9984" width="9.140625" style="976"/>
    <col min="9985" max="9985" width="100.7109375" style="976" customWidth="1"/>
    <col min="9986" max="10240" width="9.140625" style="976"/>
    <col min="10241" max="10241" width="100.7109375" style="976" customWidth="1"/>
    <col min="10242" max="10496" width="9.140625" style="976"/>
    <col min="10497" max="10497" width="100.7109375" style="976" customWidth="1"/>
    <col min="10498" max="10752" width="9.140625" style="976"/>
    <col min="10753" max="10753" width="100.7109375" style="976" customWidth="1"/>
    <col min="10754" max="11008" width="9.140625" style="976"/>
    <col min="11009" max="11009" width="100.7109375" style="976" customWidth="1"/>
    <col min="11010" max="11264" width="9.140625" style="976"/>
    <col min="11265" max="11265" width="100.7109375" style="976" customWidth="1"/>
    <col min="11266" max="11520" width="9.140625" style="976"/>
    <col min="11521" max="11521" width="100.7109375" style="976" customWidth="1"/>
    <col min="11522" max="11776" width="9.140625" style="976"/>
    <col min="11777" max="11777" width="100.7109375" style="976" customWidth="1"/>
    <col min="11778" max="12032" width="9.140625" style="976"/>
    <col min="12033" max="12033" width="100.7109375" style="976" customWidth="1"/>
    <col min="12034" max="12288" width="9.140625" style="976"/>
    <col min="12289" max="12289" width="100.7109375" style="976" customWidth="1"/>
    <col min="12290" max="12544" width="9.140625" style="976"/>
    <col min="12545" max="12545" width="100.7109375" style="976" customWidth="1"/>
    <col min="12546" max="12800" width="9.140625" style="976"/>
    <col min="12801" max="12801" width="100.7109375" style="976" customWidth="1"/>
    <col min="12802" max="13056" width="9.140625" style="976"/>
    <col min="13057" max="13057" width="100.7109375" style="976" customWidth="1"/>
    <col min="13058" max="13312" width="9.140625" style="976"/>
    <col min="13313" max="13313" width="100.7109375" style="976" customWidth="1"/>
    <col min="13314" max="13568" width="9.140625" style="976"/>
    <col min="13569" max="13569" width="100.7109375" style="976" customWidth="1"/>
    <col min="13570" max="13824" width="9.140625" style="976"/>
    <col min="13825" max="13825" width="100.7109375" style="976" customWidth="1"/>
    <col min="13826" max="14080" width="9.140625" style="976"/>
    <col min="14081" max="14081" width="100.7109375" style="976" customWidth="1"/>
    <col min="14082" max="14336" width="9.140625" style="976"/>
    <col min="14337" max="14337" width="100.7109375" style="976" customWidth="1"/>
    <col min="14338" max="14592" width="9.140625" style="976"/>
    <col min="14593" max="14593" width="100.7109375" style="976" customWidth="1"/>
    <col min="14594" max="14848" width="9.140625" style="976"/>
    <col min="14849" max="14849" width="100.7109375" style="976" customWidth="1"/>
    <col min="14850" max="15104" width="9.140625" style="976"/>
    <col min="15105" max="15105" width="100.7109375" style="976" customWidth="1"/>
    <col min="15106" max="15360" width="9.140625" style="976"/>
    <col min="15361" max="15361" width="100.7109375" style="976" customWidth="1"/>
    <col min="15362" max="15616" width="9.140625" style="976"/>
    <col min="15617" max="15617" width="100.7109375" style="976" customWidth="1"/>
    <col min="15618" max="15872" width="9.140625" style="976"/>
    <col min="15873" max="15873" width="100.7109375" style="976" customWidth="1"/>
    <col min="15874" max="16128" width="9.140625" style="976"/>
    <col min="16129" max="16129" width="100.7109375" style="976" customWidth="1"/>
    <col min="16130" max="16384" width="9.140625" style="976"/>
  </cols>
  <sheetData>
    <row r="1" spans="1:8" ht="30" customHeight="1">
      <c r="A1" s="974"/>
      <c r="B1" s="975"/>
      <c r="C1" s="975"/>
      <c r="D1" s="975"/>
      <c r="E1" s="975"/>
      <c r="F1" s="975"/>
      <c r="G1" s="975"/>
      <c r="H1" s="975"/>
    </row>
    <row r="2" spans="1:8" ht="14.25">
      <c r="A2" s="977" t="s">
        <v>540</v>
      </c>
      <c r="B2" s="975"/>
      <c r="C2" s="975"/>
      <c r="D2" s="975"/>
      <c r="E2" s="975"/>
      <c r="F2" s="975"/>
      <c r="G2" s="975"/>
      <c r="H2" s="975"/>
    </row>
    <row r="3" spans="1:8" ht="14.25">
      <c r="A3" s="977" t="s">
        <v>541</v>
      </c>
      <c r="B3" s="975"/>
      <c r="C3" s="975"/>
      <c r="D3" s="975"/>
      <c r="E3" s="975"/>
      <c r="F3" s="975"/>
      <c r="G3" s="975"/>
      <c r="H3" s="975"/>
    </row>
    <row r="4" spans="1:8" ht="14.25">
      <c r="A4" s="977" t="s">
        <v>461</v>
      </c>
      <c r="B4" s="975"/>
      <c r="C4" s="975"/>
      <c r="D4" s="975"/>
      <c r="E4" s="975"/>
      <c r="F4" s="975"/>
      <c r="G4" s="975"/>
      <c r="H4" s="975"/>
    </row>
    <row r="5" spans="1:8" ht="14.25">
      <c r="A5" s="977" t="s">
        <v>542</v>
      </c>
      <c r="B5" s="975"/>
      <c r="C5" s="975"/>
      <c r="D5" s="975"/>
      <c r="E5" s="975"/>
      <c r="F5" s="975"/>
      <c r="G5" s="975"/>
      <c r="H5" s="975"/>
    </row>
    <row r="6" spans="1:8" ht="14.25">
      <c r="A6" s="977"/>
      <c r="B6" s="975"/>
      <c r="C6" s="975"/>
      <c r="D6" s="975"/>
      <c r="E6" s="975"/>
      <c r="F6" s="975"/>
      <c r="G6" s="975"/>
      <c r="H6" s="975"/>
    </row>
    <row r="7" spans="1:8">
      <c r="A7" s="974" t="s">
        <v>543</v>
      </c>
      <c r="B7" s="975"/>
      <c r="C7" s="975"/>
      <c r="D7" s="975"/>
      <c r="E7" s="975"/>
      <c r="F7" s="975"/>
      <c r="G7" s="975"/>
      <c r="H7" s="975"/>
    </row>
    <row r="8" spans="1:8">
      <c r="A8" s="974" t="s">
        <v>544</v>
      </c>
      <c r="B8" s="975"/>
      <c r="C8" s="975"/>
      <c r="D8" s="975"/>
      <c r="E8" s="975"/>
      <c r="F8" s="975"/>
      <c r="G8" s="975"/>
      <c r="H8" s="975"/>
    </row>
    <row r="9" spans="1:8">
      <c r="A9" s="974"/>
      <c r="B9" s="975"/>
      <c r="C9" s="975"/>
      <c r="D9" s="975"/>
      <c r="E9" s="975"/>
      <c r="F9" s="975"/>
      <c r="G9" s="975"/>
      <c r="H9" s="975"/>
    </row>
    <row r="10" spans="1:8">
      <c r="A10" s="978" t="s">
        <v>545</v>
      </c>
      <c r="B10" s="975"/>
      <c r="C10" s="975"/>
      <c r="D10" s="975"/>
      <c r="E10" s="975"/>
      <c r="F10" s="975"/>
      <c r="G10" s="975"/>
      <c r="H10" s="975"/>
    </row>
    <row r="11" spans="1:8">
      <c r="A11" s="978" t="s">
        <v>546</v>
      </c>
      <c r="B11" s="975"/>
      <c r="C11" s="975"/>
      <c r="D11" s="975"/>
      <c r="E11" s="975"/>
      <c r="F11" s="975"/>
      <c r="G11" s="975"/>
      <c r="H11" s="975"/>
    </row>
    <row r="12" spans="1:8">
      <c r="A12" s="978" t="s">
        <v>547</v>
      </c>
      <c r="B12" s="975"/>
      <c r="C12" s="975"/>
      <c r="D12" s="975"/>
      <c r="E12" s="975"/>
      <c r="F12" s="975"/>
      <c r="G12" s="975"/>
      <c r="H12" s="975"/>
    </row>
    <row r="13" spans="1:8">
      <c r="A13" s="978" t="s">
        <v>548</v>
      </c>
      <c r="B13" s="975"/>
      <c r="C13" s="975"/>
      <c r="D13" s="975"/>
      <c r="E13" s="975"/>
      <c r="F13" s="975"/>
      <c r="G13" s="975"/>
      <c r="H13" s="975"/>
    </row>
    <row r="14" spans="1:8">
      <c r="A14" s="978" t="s">
        <v>549</v>
      </c>
      <c r="B14" s="975"/>
      <c r="C14" s="975"/>
      <c r="D14" s="975"/>
      <c r="E14" s="975"/>
      <c r="F14" s="975"/>
      <c r="G14" s="975"/>
      <c r="H14" s="975"/>
    </row>
    <row r="15" spans="1:8">
      <c r="A15" s="978" t="s">
        <v>550</v>
      </c>
      <c r="B15" s="975"/>
      <c r="C15" s="975"/>
      <c r="D15" s="975"/>
      <c r="E15" s="975"/>
      <c r="F15" s="975"/>
      <c r="G15" s="975"/>
      <c r="H15" s="975"/>
    </row>
    <row r="16" spans="1:8">
      <c r="A16" s="978"/>
      <c r="B16" s="975"/>
      <c r="C16" s="975"/>
      <c r="D16" s="975"/>
      <c r="E16" s="975"/>
      <c r="F16" s="975"/>
      <c r="G16" s="975"/>
      <c r="H16" s="975"/>
    </row>
    <row r="17" spans="1:8">
      <c r="A17" s="978" t="s">
        <v>537</v>
      </c>
      <c r="B17" s="975"/>
      <c r="C17" s="975"/>
      <c r="D17" s="975"/>
      <c r="E17" s="975"/>
      <c r="F17" s="975"/>
      <c r="G17" s="975"/>
      <c r="H17" s="975"/>
    </row>
    <row r="18" spans="1:8">
      <c r="A18" s="978"/>
      <c r="B18" s="975"/>
      <c r="C18" s="975"/>
      <c r="D18" s="975"/>
      <c r="E18" s="975"/>
      <c r="F18" s="975"/>
      <c r="G18" s="975"/>
      <c r="H18" s="975"/>
    </row>
    <row r="19" spans="1:8">
      <c r="A19" s="978" t="s">
        <v>538</v>
      </c>
      <c r="B19" s="975"/>
      <c r="C19" s="975"/>
      <c r="D19" s="975"/>
      <c r="E19" s="975"/>
      <c r="F19" s="975"/>
      <c r="G19" s="975"/>
      <c r="H19" s="975"/>
    </row>
    <row r="20" spans="1:8">
      <c r="A20" s="974"/>
      <c r="B20" s="975"/>
      <c r="C20" s="975"/>
      <c r="D20" s="975"/>
      <c r="E20" s="975"/>
      <c r="F20" s="975"/>
      <c r="G20" s="975"/>
      <c r="H20" s="975"/>
    </row>
    <row r="21" spans="1:8">
      <c r="A21" s="979" t="s">
        <v>539</v>
      </c>
      <c r="B21" s="975"/>
      <c r="C21" s="975"/>
      <c r="D21" s="975"/>
      <c r="E21" s="975"/>
      <c r="F21" s="975"/>
      <c r="G21" s="975"/>
      <c r="H21" s="975"/>
    </row>
    <row r="22" spans="1:8">
      <c r="A22" s="980"/>
      <c r="B22" s="980"/>
      <c r="C22" s="980"/>
      <c r="D22" s="980"/>
      <c r="E22" s="980"/>
      <c r="F22" s="980"/>
      <c r="G22" s="980"/>
      <c r="H22" s="980"/>
    </row>
    <row r="23" spans="1:8">
      <c r="A23" s="981" t="s">
        <v>824</v>
      </c>
      <c r="B23" s="980"/>
      <c r="C23" s="980"/>
      <c r="D23" s="980"/>
      <c r="E23" s="980"/>
      <c r="F23" s="980"/>
      <c r="G23" s="980"/>
      <c r="H23" s="980"/>
    </row>
    <row r="24" spans="1:8">
      <c r="A24" s="981" t="s">
        <v>825</v>
      </c>
      <c r="B24" s="980"/>
      <c r="C24" s="980"/>
      <c r="D24" s="980"/>
      <c r="E24" s="980"/>
      <c r="F24" s="980"/>
      <c r="G24" s="980"/>
      <c r="H24" s="980"/>
    </row>
    <row r="25" spans="1:8">
      <c r="A25" s="981" t="s">
        <v>826</v>
      </c>
      <c r="B25" s="980"/>
      <c r="C25" s="980"/>
      <c r="D25" s="980"/>
      <c r="E25" s="980"/>
      <c r="F25" s="980"/>
      <c r="G25" s="980"/>
      <c r="H25" s="980"/>
    </row>
    <row r="26" spans="1:8">
      <c r="A26" s="981" t="s">
        <v>827</v>
      </c>
      <c r="B26" s="980"/>
      <c r="C26" s="980"/>
      <c r="D26" s="980"/>
      <c r="E26" s="980"/>
      <c r="F26" s="980"/>
      <c r="G26" s="980"/>
      <c r="H26" s="980"/>
    </row>
    <row r="27" spans="1:8">
      <c r="A27" s="980"/>
      <c r="B27" s="980"/>
      <c r="C27" s="980"/>
      <c r="D27" s="980"/>
      <c r="E27" s="980"/>
      <c r="F27" s="980"/>
      <c r="G27" s="980"/>
      <c r="H27" s="980"/>
    </row>
    <row r="28" spans="1:8">
      <c r="A28" s="980"/>
      <c r="B28" s="980"/>
      <c r="C28" s="980"/>
      <c r="D28" s="980"/>
      <c r="E28" s="980"/>
      <c r="F28" s="980"/>
      <c r="G28" s="980"/>
      <c r="H28" s="980"/>
    </row>
    <row r="29" spans="1:8">
      <c r="A29" s="981" t="s">
        <v>819</v>
      </c>
      <c r="B29" s="980"/>
      <c r="C29" s="980"/>
      <c r="D29" s="980"/>
      <c r="E29" s="980"/>
      <c r="F29" s="980"/>
      <c r="G29" s="980"/>
      <c r="H29" s="980"/>
    </row>
    <row r="30" spans="1:8">
      <c r="A30" s="981" t="s">
        <v>820</v>
      </c>
      <c r="B30" s="980"/>
      <c r="C30" s="980"/>
      <c r="D30" s="980"/>
      <c r="E30" s="980"/>
      <c r="F30" s="980"/>
      <c r="G30" s="980"/>
      <c r="H30" s="980"/>
    </row>
    <row r="31" spans="1:8">
      <c r="A31" s="981" t="s">
        <v>821</v>
      </c>
      <c r="B31" s="980"/>
      <c r="C31" s="980"/>
      <c r="D31" s="980"/>
      <c r="E31" s="980"/>
      <c r="F31" s="980"/>
      <c r="G31" s="980"/>
      <c r="H31" s="980"/>
    </row>
    <row r="32" spans="1:8">
      <c r="A32" s="981" t="s">
        <v>822</v>
      </c>
      <c r="B32" s="980"/>
      <c r="C32" s="980"/>
      <c r="D32" s="980"/>
      <c r="E32" s="980"/>
      <c r="F32" s="980"/>
      <c r="G32" s="980"/>
      <c r="H32" s="980"/>
    </row>
    <row r="33" spans="1:8">
      <c r="A33" s="981" t="s">
        <v>823</v>
      </c>
      <c r="B33" s="980"/>
      <c r="C33" s="980"/>
      <c r="D33" s="980"/>
      <c r="E33" s="980"/>
      <c r="F33" s="980"/>
      <c r="G33" s="980"/>
      <c r="H33" s="980"/>
    </row>
    <row r="34" spans="1:8">
      <c r="A34" s="980"/>
      <c r="B34" s="980"/>
      <c r="C34" s="980"/>
      <c r="D34" s="980"/>
      <c r="E34" s="980"/>
      <c r="F34" s="980"/>
      <c r="G34" s="980"/>
      <c r="H34" s="980"/>
    </row>
    <row r="35" spans="1:8">
      <c r="A35" s="981" t="s">
        <v>815</v>
      </c>
      <c r="B35" s="980"/>
      <c r="C35" s="980"/>
      <c r="D35" s="980"/>
      <c r="E35" s="980"/>
      <c r="F35" s="980"/>
      <c r="G35" s="980"/>
      <c r="H35" s="980"/>
    </row>
    <row r="36" spans="1:8">
      <c r="A36" s="981" t="s">
        <v>816</v>
      </c>
      <c r="B36" s="980"/>
      <c r="C36" s="980"/>
      <c r="D36" s="980"/>
      <c r="E36" s="980"/>
      <c r="F36" s="980"/>
      <c r="G36" s="980"/>
      <c r="H36" s="980"/>
    </row>
    <row r="37" spans="1:8">
      <c r="A37" s="981" t="s">
        <v>817</v>
      </c>
      <c r="B37" s="980"/>
      <c r="C37" s="980"/>
      <c r="D37" s="980"/>
      <c r="E37" s="980"/>
      <c r="F37" s="980"/>
      <c r="G37" s="980"/>
      <c r="H37" s="980"/>
    </row>
    <row r="38" spans="1:8">
      <c r="A38" s="981" t="s">
        <v>818</v>
      </c>
      <c r="B38" s="980"/>
      <c r="C38" s="980"/>
      <c r="D38" s="980"/>
      <c r="E38" s="980"/>
      <c r="F38" s="980"/>
      <c r="G38" s="980"/>
      <c r="H38" s="980"/>
    </row>
    <row r="39" spans="1:8">
      <c r="A39" s="980"/>
      <c r="B39" s="980"/>
      <c r="C39" s="980"/>
      <c r="D39" s="980"/>
      <c r="E39" s="980"/>
      <c r="F39" s="980"/>
      <c r="G39" s="980"/>
      <c r="H39" s="980"/>
    </row>
    <row r="40" spans="1:8">
      <c r="A40" s="981" t="s">
        <v>809</v>
      </c>
      <c r="B40" s="980"/>
      <c r="C40" s="980"/>
      <c r="D40" s="980"/>
      <c r="E40" s="980"/>
      <c r="F40" s="980"/>
      <c r="G40" s="980"/>
      <c r="H40" s="980"/>
    </row>
    <row r="41" spans="1:8">
      <c r="A41" s="981" t="s">
        <v>810</v>
      </c>
      <c r="B41" s="980"/>
      <c r="C41" s="980"/>
      <c r="D41" s="980"/>
      <c r="E41" s="980"/>
      <c r="F41" s="980"/>
      <c r="G41" s="980"/>
      <c r="H41" s="980"/>
    </row>
    <row r="42" spans="1:8">
      <c r="A42" s="981" t="s">
        <v>811</v>
      </c>
      <c r="B42" s="980"/>
      <c r="C42" s="980"/>
      <c r="D42" s="980"/>
      <c r="E42" s="980"/>
      <c r="F42" s="980"/>
      <c r="G42" s="980"/>
      <c r="H42" s="980"/>
    </row>
    <row r="43" spans="1:8">
      <c r="A43" s="981" t="s">
        <v>812</v>
      </c>
      <c r="B43" s="980"/>
      <c r="C43" s="980"/>
      <c r="D43" s="980"/>
      <c r="E43" s="980"/>
      <c r="F43" s="980"/>
      <c r="G43" s="980"/>
      <c r="H43" s="980"/>
    </row>
    <row r="44" spans="1:8">
      <c r="A44" s="981" t="s">
        <v>813</v>
      </c>
      <c r="B44" s="980"/>
      <c r="C44" s="980"/>
      <c r="D44" s="980"/>
      <c r="E44" s="980"/>
      <c r="F44" s="980"/>
      <c r="G44" s="980"/>
      <c r="H44" s="980"/>
    </row>
    <row r="45" spans="1:8">
      <c r="A45" s="981" t="s">
        <v>814</v>
      </c>
      <c r="B45" s="980"/>
      <c r="C45" s="980"/>
      <c r="D45" s="980"/>
      <c r="E45" s="980"/>
      <c r="F45" s="980"/>
      <c r="G45" s="980"/>
      <c r="H45" s="980"/>
    </row>
    <row r="46" spans="1:8">
      <c r="A46" s="980"/>
      <c r="B46" s="980"/>
      <c r="C46" s="980"/>
      <c r="D46" s="980"/>
      <c r="E46" s="980"/>
      <c r="F46" s="980"/>
      <c r="G46" s="980"/>
      <c r="H46" s="980"/>
    </row>
    <row r="47" spans="1:8" ht="15.75">
      <c r="A47" s="982" t="s">
        <v>551</v>
      </c>
      <c r="B47" s="980"/>
      <c r="C47" s="980"/>
      <c r="D47" s="980"/>
      <c r="E47" s="980"/>
      <c r="F47" s="980"/>
      <c r="G47" s="980"/>
      <c r="H47" s="980"/>
    </row>
    <row r="48" spans="1:8">
      <c r="A48" s="980"/>
      <c r="B48" s="980"/>
      <c r="C48" s="980"/>
      <c r="D48" s="980"/>
      <c r="E48" s="980"/>
      <c r="F48" s="980"/>
      <c r="G48" s="980"/>
      <c r="H48" s="980"/>
    </row>
    <row r="49" spans="1:8">
      <c r="A49" s="981" t="s">
        <v>805</v>
      </c>
      <c r="B49" s="980"/>
      <c r="C49" s="980"/>
      <c r="D49" s="980"/>
      <c r="E49" s="980"/>
      <c r="F49" s="980"/>
      <c r="G49" s="980"/>
      <c r="H49" s="980"/>
    </row>
    <row r="50" spans="1:8">
      <c r="A50" s="981" t="s">
        <v>806</v>
      </c>
      <c r="B50" s="980"/>
      <c r="C50" s="980"/>
      <c r="D50" s="980"/>
      <c r="E50" s="980"/>
      <c r="F50" s="980"/>
      <c r="G50" s="980"/>
      <c r="H50" s="980"/>
    </row>
    <row r="51" spans="1:8">
      <c r="A51" s="981" t="s">
        <v>807</v>
      </c>
      <c r="B51" s="980"/>
      <c r="C51" s="980"/>
      <c r="D51" s="980"/>
      <c r="E51" s="980"/>
      <c r="F51" s="980"/>
      <c r="G51" s="980"/>
      <c r="H51" s="980"/>
    </row>
    <row r="52" spans="1:8">
      <c r="A52" s="981" t="s">
        <v>808</v>
      </c>
      <c r="B52" s="980"/>
      <c r="C52" s="980"/>
      <c r="D52" s="980"/>
      <c r="E52" s="980"/>
      <c r="F52" s="980"/>
      <c r="G52" s="980"/>
      <c r="H52" s="980"/>
    </row>
    <row r="53" spans="1:8">
      <c r="A53" s="980"/>
      <c r="B53" s="980"/>
      <c r="C53" s="980"/>
      <c r="D53" s="980"/>
      <c r="E53" s="980"/>
      <c r="F53" s="980"/>
      <c r="G53" s="980"/>
      <c r="H53" s="980"/>
    </row>
    <row r="54" spans="1:8">
      <c r="A54" s="981" t="s">
        <v>552</v>
      </c>
      <c r="B54" s="980"/>
      <c r="C54" s="980"/>
      <c r="D54" s="980"/>
      <c r="E54" s="980"/>
      <c r="F54" s="980"/>
      <c r="G54" s="980"/>
      <c r="H54" s="980"/>
    </row>
    <row r="55" spans="1:8">
      <c r="A55" s="980"/>
      <c r="B55" s="980"/>
      <c r="C55" s="980"/>
      <c r="D55" s="980"/>
      <c r="E55" s="980"/>
      <c r="F55" s="980"/>
      <c r="G55" s="980"/>
      <c r="H55" s="980"/>
    </row>
    <row r="56" spans="1:8" ht="15.75">
      <c r="A56" s="982" t="s">
        <v>553</v>
      </c>
      <c r="B56" s="980"/>
      <c r="C56" s="980"/>
      <c r="D56" s="980"/>
      <c r="E56" s="980"/>
      <c r="F56" s="980"/>
      <c r="G56" s="980"/>
      <c r="H56" s="980"/>
    </row>
    <row r="57" spans="1:8">
      <c r="A57" s="980"/>
      <c r="B57" s="980"/>
      <c r="C57" s="980"/>
      <c r="D57" s="980"/>
      <c r="E57" s="980"/>
      <c r="F57" s="980"/>
      <c r="G57" s="980"/>
      <c r="H57" s="980"/>
    </row>
    <row r="58" spans="1:8">
      <c r="A58" s="981" t="s">
        <v>803</v>
      </c>
      <c r="B58" s="980"/>
      <c r="C58" s="980"/>
      <c r="D58" s="980"/>
      <c r="E58" s="980"/>
      <c r="F58" s="980"/>
      <c r="G58" s="980"/>
      <c r="H58" s="980"/>
    </row>
    <row r="59" spans="1:8">
      <c r="A59" s="981" t="s">
        <v>804</v>
      </c>
      <c r="B59" s="980"/>
      <c r="C59" s="980"/>
      <c r="D59" s="980"/>
      <c r="E59" s="980"/>
      <c r="F59" s="980"/>
      <c r="G59" s="980"/>
      <c r="H59" s="980"/>
    </row>
    <row r="60" spans="1:8">
      <c r="A60" s="980"/>
      <c r="B60" s="980"/>
      <c r="C60" s="980"/>
      <c r="D60" s="980"/>
      <c r="E60" s="980"/>
      <c r="F60" s="980"/>
      <c r="G60" s="980"/>
      <c r="H60" s="980"/>
    </row>
    <row r="61" spans="1:8" ht="15.75">
      <c r="A61" s="982" t="s">
        <v>554</v>
      </c>
      <c r="B61" s="980"/>
      <c r="C61" s="980"/>
      <c r="D61" s="980"/>
      <c r="E61" s="980"/>
      <c r="F61" s="980"/>
      <c r="G61" s="980"/>
      <c r="H61" s="980"/>
    </row>
    <row r="62" spans="1:8">
      <c r="A62" s="980"/>
      <c r="B62" s="980"/>
      <c r="C62" s="980"/>
      <c r="D62" s="980"/>
      <c r="E62" s="980"/>
      <c r="F62" s="980"/>
      <c r="G62" s="980"/>
      <c r="H62" s="980"/>
    </row>
    <row r="63" spans="1:8">
      <c r="A63" s="981" t="s">
        <v>801</v>
      </c>
      <c r="B63" s="980"/>
      <c r="C63" s="980"/>
      <c r="D63" s="980"/>
      <c r="E63" s="980"/>
      <c r="F63" s="980"/>
      <c r="G63" s="980"/>
      <c r="H63" s="980"/>
    </row>
    <row r="64" spans="1:8">
      <c r="A64" s="981" t="s">
        <v>802</v>
      </c>
      <c r="B64" s="980"/>
      <c r="C64" s="980"/>
      <c r="D64" s="980"/>
      <c r="E64" s="980"/>
      <c r="F64" s="980"/>
      <c r="G64" s="980"/>
      <c r="H64" s="980"/>
    </row>
    <row r="65" spans="1:8">
      <c r="A65" s="980"/>
      <c r="B65" s="980"/>
      <c r="C65" s="980"/>
      <c r="D65" s="980"/>
      <c r="E65" s="980"/>
      <c r="F65" s="980"/>
      <c r="G65" s="980"/>
      <c r="H65" s="980"/>
    </row>
    <row r="66" spans="1:8">
      <c r="A66" s="981" t="s">
        <v>799</v>
      </c>
      <c r="B66" s="980"/>
      <c r="C66" s="980"/>
      <c r="D66" s="980"/>
      <c r="E66" s="980"/>
      <c r="F66" s="980"/>
      <c r="G66" s="980"/>
      <c r="H66" s="980"/>
    </row>
    <row r="67" spans="1:8">
      <c r="A67" s="981" t="s">
        <v>800</v>
      </c>
      <c r="B67" s="980"/>
      <c r="C67" s="980"/>
      <c r="D67" s="980"/>
      <c r="E67" s="980"/>
      <c r="F67" s="980"/>
      <c r="G67" s="980"/>
      <c r="H67" s="980"/>
    </row>
    <row r="68" spans="1:8">
      <c r="A68" s="980"/>
      <c r="B68" s="980"/>
      <c r="C68" s="980"/>
      <c r="D68" s="980"/>
      <c r="E68" s="980"/>
      <c r="F68" s="980"/>
      <c r="G68" s="980"/>
      <c r="H68" s="980"/>
    </row>
    <row r="69" spans="1:8">
      <c r="A69" s="981" t="s">
        <v>797</v>
      </c>
      <c r="B69" s="980"/>
      <c r="C69" s="980"/>
      <c r="D69" s="980"/>
      <c r="E69" s="980"/>
      <c r="F69" s="980"/>
      <c r="G69" s="980"/>
      <c r="H69" s="980"/>
    </row>
    <row r="70" spans="1:8">
      <c r="A70" s="981" t="s">
        <v>798</v>
      </c>
      <c r="B70" s="980"/>
      <c r="C70" s="980"/>
      <c r="D70" s="980"/>
      <c r="E70" s="980"/>
      <c r="F70" s="980"/>
      <c r="G70" s="980"/>
      <c r="H70" s="980"/>
    </row>
    <row r="71" spans="1:8">
      <c r="A71" s="980"/>
      <c r="B71" s="980"/>
      <c r="C71" s="980"/>
      <c r="D71" s="980"/>
      <c r="E71" s="980"/>
      <c r="F71" s="980"/>
      <c r="G71" s="980"/>
      <c r="H71" s="980"/>
    </row>
    <row r="72" spans="1:8">
      <c r="A72" s="981" t="s">
        <v>555</v>
      </c>
      <c r="B72" s="980"/>
      <c r="C72" s="980"/>
      <c r="D72" s="980"/>
      <c r="E72" s="980"/>
      <c r="F72" s="980"/>
      <c r="G72" s="980"/>
      <c r="H72" s="980"/>
    </row>
    <row r="73" spans="1:8">
      <c r="A73" s="980"/>
      <c r="B73" s="980"/>
      <c r="C73" s="980"/>
      <c r="D73" s="980"/>
      <c r="E73" s="980"/>
      <c r="F73" s="980"/>
      <c r="G73" s="980"/>
      <c r="H73" s="980"/>
    </row>
    <row r="74" spans="1:8">
      <c r="A74" s="981" t="s">
        <v>792</v>
      </c>
      <c r="B74" s="980"/>
      <c r="C74" s="980"/>
      <c r="D74" s="980"/>
      <c r="E74" s="980"/>
      <c r="F74" s="980"/>
      <c r="G74" s="980"/>
      <c r="H74" s="980"/>
    </row>
    <row r="75" spans="1:8">
      <c r="A75" s="981" t="s">
        <v>793</v>
      </c>
      <c r="B75" s="980"/>
      <c r="C75" s="980"/>
      <c r="D75" s="980"/>
      <c r="E75" s="980"/>
      <c r="F75" s="980"/>
      <c r="G75" s="980"/>
      <c r="H75" s="980"/>
    </row>
    <row r="76" spans="1:8">
      <c r="A76" s="981" t="s">
        <v>794</v>
      </c>
      <c r="B76" s="980"/>
      <c r="C76" s="980"/>
      <c r="D76" s="980"/>
      <c r="E76" s="980"/>
      <c r="F76" s="980"/>
      <c r="G76" s="980"/>
      <c r="H76" s="980"/>
    </row>
    <row r="77" spans="1:8">
      <c r="A77" s="981" t="s">
        <v>795</v>
      </c>
      <c r="B77" s="980"/>
      <c r="C77" s="980"/>
      <c r="D77" s="980"/>
      <c r="E77" s="980"/>
      <c r="F77" s="980"/>
      <c r="G77" s="980"/>
      <c r="H77" s="980"/>
    </row>
    <row r="78" spans="1:8">
      <c r="A78" s="981" t="s">
        <v>796</v>
      </c>
      <c r="B78" s="980"/>
      <c r="C78" s="980"/>
      <c r="D78" s="980"/>
      <c r="E78" s="980"/>
      <c r="F78" s="980"/>
      <c r="G78" s="980"/>
      <c r="H78" s="980"/>
    </row>
    <row r="79" spans="1:8">
      <c r="A79" s="981" t="s">
        <v>681</v>
      </c>
      <c r="B79" s="980"/>
      <c r="C79" s="980"/>
      <c r="D79" s="980"/>
      <c r="E79" s="980"/>
      <c r="F79" s="980"/>
      <c r="G79" s="980"/>
      <c r="H79" s="980"/>
    </row>
    <row r="80" spans="1:8">
      <c r="A80" s="980"/>
      <c r="B80" s="980"/>
      <c r="C80" s="980"/>
      <c r="D80" s="980"/>
      <c r="E80" s="980"/>
      <c r="F80" s="980"/>
      <c r="G80" s="980"/>
      <c r="H80" s="980"/>
    </row>
    <row r="81" spans="1:8">
      <c r="A81" s="981" t="s">
        <v>785</v>
      </c>
      <c r="B81" s="980"/>
      <c r="C81" s="980"/>
      <c r="D81" s="980"/>
      <c r="E81" s="980"/>
      <c r="F81" s="980"/>
      <c r="G81" s="980"/>
      <c r="H81" s="980"/>
    </row>
    <row r="82" spans="1:8">
      <c r="A82" s="981" t="s">
        <v>786</v>
      </c>
      <c r="B82" s="980"/>
      <c r="C82" s="980"/>
      <c r="D82" s="980"/>
      <c r="E82" s="980"/>
      <c r="F82" s="980"/>
      <c r="G82" s="980"/>
      <c r="H82" s="980"/>
    </row>
    <row r="83" spans="1:8">
      <c r="A83" s="981" t="s">
        <v>787</v>
      </c>
      <c r="B83" s="980"/>
      <c r="C83" s="980"/>
      <c r="D83" s="980"/>
      <c r="E83" s="980"/>
      <c r="F83" s="980"/>
      <c r="G83" s="980"/>
      <c r="H83" s="980"/>
    </row>
    <row r="84" spans="1:8">
      <c r="A84" s="981" t="s">
        <v>788</v>
      </c>
      <c r="B84" s="980"/>
      <c r="C84" s="980"/>
      <c r="D84" s="980"/>
      <c r="E84" s="980"/>
      <c r="F84" s="980"/>
      <c r="G84" s="980"/>
      <c r="H84" s="980"/>
    </row>
    <row r="85" spans="1:8">
      <c r="A85" s="981" t="s">
        <v>789</v>
      </c>
      <c r="B85" s="980"/>
      <c r="C85" s="980"/>
      <c r="D85" s="980"/>
      <c r="E85" s="980"/>
      <c r="F85" s="980"/>
      <c r="G85" s="980"/>
      <c r="H85" s="980"/>
    </row>
    <row r="86" spans="1:8">
      <c r="A86" s="981" t="s">
        <v>790</v>
      </c>
      <c r="B86" s="980"/>
      <c r="C86" s="980"/>
      <c r="D86" s="980"/>
      <c r="E86" s="980"/>
      <c r="F86" s="980"/>
      <c r="G86" s="980"/>
      <c r="H86" s="980"/>
    </row>
    <row r="87" spans="1:8">
      <c r="A87" s="981" t="s">
        <v>791</v>
      </c>
      <c r="B87" s="980"/>
      <c r="C87" s="980"/>
      <c r="D87" s="980"/>
      <c r="E87" s="980"/>
      <c r="F87" s="980"/>
      <c r="G87" s="980"/>
      <c r="H87" s="980"/>
    </row>
    <row r="88" spans="1:8">
      <c r="A88" s="980"/>
      <c r="B88" s="980"/>
      <c r="C88" s="980"/>
      <c r="D88" s="980"/>
      <c r="E88" s="980"/>
      <c r="F88" s="980"/>
      <c r="G88" s="980"/>
      <c r="H88" s="980"/>
    </row>
    <row r="89" spans="1:8">
      <c r="A89" s="981" t="s">
        <v>783</v>
      </c>
      <c r="B89" s="980"/>
      <c r="C89" s="980"/>
      <c r="D89" s="980"/>
      <c r="E89" s="980"/>
      <c r="F89" s="980"/>
      <c r="G89" s="980"/>
      <c r="H89" s="980"/>
    </row>
    <row r="90" spans="1:8">
      <c r="A90" s="981" t="s">
        <v>784</v>
      </c>
      <c r="B90" s="980"/>
      <c r="C90" s="980"/>
      <c r="D90" s="980"/>
      <c r="E90" s="980"/>
      <c r="F90" s="980"/>
      <c r="G90" s="980"/>
      <c r="H90" s="980"/>
    </row>
    <row r="91" spans="1:8">
      <c r="A91" s="980"/>
      <c r="B91" s="980"/>
      <c r="C91" s="980"/>
      <c r="D91" s="980"/>
      <c r="E91" s="980"/>
      <c r="F91" s="980"/>
      <c r="G91" s="980"/>
      <c r="H91" s="980"/>
    </row>
    <row r="92" spans="1:8" ht="15.75">
      <c r="A92" s="982" t="s">
        <v>556</v>
      </c>
      <c r="B92" s="980"/>
      <c r="C92" s="980"/>
      <c r="D92" s="980"/>
      <c r="E92" s="980"/>
      <c r="F92" s="980"/>
      <c r="G92" s="980"/>
      <c r="H92" s="980"/>
    </row>
    <row r="93" spans="1:8">
      <c r="A93" s="980"/>
      <c r="B93" s="980"/>
      <c r="C93" s="980"/>
      <c r="D93" s="980"/>
      <c r="E93" s="980"/>
      <c r="F93" s="980"/>
      <c r="G93" s="980"/>
      <c r="H93" s="980"/>
    </row>
    <row r="94" spans="1:8">
      <c r="A94" s="981" t="s">
        <v>774</v>
      </c>
      <c r="B94" s="980"/>
      <c r="C94" s="980"/>
      <c r="D94" s="980"/>
      <c r="E94" s="980"/>
      <c r="F94" s="980"/>
      <c r="G94" s="980"/>
      <c r="H94" s="980"/>
    </row>
    <row r="95" spans="1:8">
      <c r="A95" s="981" t="s">
        <v>775</v>
      </c>
      <c r="B95" s="980"/>
      <c r="C95" s="980"/>
      <c r="D95" s="980"/>
      <c r="E95" s="980"/>
      <c r="F95" s="980"/>
      <c r="G95" s="980"/>
      <c r="H95" s="980"/>
    </row>
    <row r="96" spans="1:8">
      <c r="A96" s="981" t="s">
        <v>776</v>
      </c>
      <c r="B96" s="980"/>
      <c r="C96" s="980"/>
      <c r="D96" s="980"/>
      <c r="E96" s="980"/>
      <c r="F96" s="980"/>
      <c r="G96" s="980"/>
      <c r="H96" s="980"/>
    </row>
    <row r="97" spans="1:8">
      <c r="A97" s="981" t="s">
        <v>777</v>
      </c>
      <c r="B97" s="980"/>
      <c r="C97" s="980"/>
      <c r="D97" s="980"/>
      <c r="E97" s="980"/>
      <c r="F97" s="980"/>
      <c r="G97" s="980"/>
      <c r="H97" s="980"/>
    </row>
    <row r="98" spans="1:8">
      <c r="A98" s="981" t="s">
        <v>778</v>
      </c>
      <c r="B98" s="980"/>
      <c r="C98" s="980"/>
      <c r="D98" s="980"/>
      <c r="E98" s="980"/>
      <c r="F98" s="980"/>
      <c r="G98" s="980"/>
      <c r="H98" s="980"/>
    </row>
    <row r="99" spans="1:8">
      <c r="A99" s="981" t="s">
        <v>779</v>
      </c>
      <c r="B99" s="980"/>
      <c r="C99" s="980"/>
      <c r="D99" s="980"/>
      <c r="E99" s="980"/>
      <c r="F99" s="980"/>
      <c r="G99" s="980"/>
      <c r="H99" s="980"/>
    </row>
    <row r="100" spans="1:8">
      <c r="A100" s="981" t="s">
        <v>780</v>
      </c>
      <c r="B100" s="980"/>
      <c r="C100" s="980"/>
      <c r="D100" s="980"/>
      <c r="E100" s="980"/>
      <c r="F100" s="980"/>
      <c r="G100" s="980"/>
      <c r="H100" s="980"/>
    </row>
    <row r="101" spans="1:8">
      <c r="A101" s="981" t="s">
        <v>781</v>
      </c>
      <c r="B101" s="980"/>
      <c r="C101" s="980"/>
      <c r="D101" s="980"/>
      <c r="E101" s="980"/>
      <c r="F101" s="980"/>
      <c r="G101" s="980"/>
      <c r="H101" s="980"/>
    </row>
    <row r="102" spans="1:8">
      <c r="A102" s="981" t="s">
        <v>782</v>
      </c>
      <c r="B102" s="980"/>
      <c r="C102" s="980"/>
      <c r="D102" s="980"/>
      <c r="E102" s="980"/>
      <c r="F102" s="980"/>
      <c r="G102" s="980"/>
      <c r="H102" s="980"/>
    </row>
    <row r="103" spans="1:8">
      <c r="A103" s="980"/>
      <c r="B103" s="980"/>
      <c r="C103" s="980"/>
      <c r="D103" s="980"/>
      <c r="E103" s="980"/>
      <c r="F103" s="980"/>
      <c r="G103" s="980"/>
      <c r="H103" s="980"/>
    </row>
    <row r="104" spans="1:8" ht="15.75">
      <c r="A104" s="983" t="s">
        <v>557</v>
      </c>
      <c r="B104" s="983"/>
      <c r="C104" s="983"/>
      <c r="D104" s="983"/>
      <c r="E104" s="983"/>
      <c r="F104" s="983"/>
      <c r="G104" s="983"/>
      <c r="H104" s="983"/>
    </row>
    <row r="105" spans="1:8">
      <c r="A105" s="984" t="s">
        <v>558</v>
      </c>
      <c r="B105" s="984"/>
      <c r="C105" s="984"/>
      <c r="D105" s="984"/>
      <c r="E105" s="984"/>
      <c r="F105" s="984"/>
      <c r="G105" s="984"/>
      <c r="H105" s="984"/>
    </row>
    <row r="106" spans="1:8">
      <c r="A106" s="985"/>
      <c r="B106" s="985"/>
      <c r="C106" s="985"/>
      <c r="D106" s="985"/>
      <c r="E106" s="985"/>
      <c r="F106" s="985"/>
      <c r="G106" s="985"/>
      <c r="H106" s="985"/>
    </row>
    <row r="107" spans="1:8">
      <c r="A107" s="984" t="s">
        <v>772</v>
      </c>
      <c r="B107" s="984"/>
      <c r="C107" s="984"/>
      <c r="D107" s="984"/>
      <c r="E107" s="984"/>
      <c r="F107" s="984"/>
      <c r="G107" s="984"/>
      <c r="H107" s="984"/>
    </row>
    <row r="108" spans="1:8">
      <c r="A108" s="981" t="s">
        <v>773</v>
      </c>
      <c r="B108" s="981"/>
      <c r="C108" s="981"/>
      <c r="D108" s="981"/>
      <c r="E108" s="981"/>
      <c r="F108" s="981"/>
      <c r="G108" s="981"/>
      <c r="H108" s="981"/>
    </row>
    <row r="109" spans="1:8">
      <c r="A109" s="985"/>
      <c r="B109" s="985"/>
      <c r="C109" s="985"/>
      <c r="D109" s="985"/>
      <c r="E109" s="985"/>
      <c r="F109" s="985"/>
      <c r="G109" s="985"/>
      <c r="H109" s="985"/>
    </row>
    <row r="110" spans="1:8">
      <c r="A110" s="984" t="s">
        <v>765</v>
      </c>
      <c r="B110" s="984"/>
      <c r="C110" s="984"/>
      <c r="D110" s="984"/>
      <c r="E110" s="984"/>
      <c r="F110" s="984"/>
      <c r="G110" s="984"/>
      <c r="H110" s="984"/>
    </row>
    <row r="111" spans="1:8">
      <c r="A111" s="981" t="s">
        <v>766</v>
      </c>
      <c r="B111" s="981"/>
      <c r="C111" s="981"/>
      <c r="D111" s="981"/>
      <c r="E111" s="981"/>
      <c r="F111" s="981"/>
      <c r="G111" s="981"/>
      <c r="H111" s="981"/>
    </row>
    <row r="112" spans="1:8">
      <c r="A112" s="981" t="s">
        <v>767</v>
      </c>
      <c r="B112" s="981"/>
      <c r="C112" s="981"/>
      <c r="D112" s="981"/>
      <c r="E112" s="981"/>
      <c r="F112" s="981"/>
      <c r="G112" s="981"/>
      <c r="H112" s="981"/>
    </row>
    <row r="113" spans="1:8">
      <c r="A113" s="981" t="s">
        <v>768</v>
      </c>
      <c r="B113" s="981"/>
      <c r="C113" s="981"/>
      <c r="D113" s="981"/>
      <c r="E113" s="981"/>
      <c r="F113" s="981"/>
      <c r="G113" s="981"/>
      <c r="H113" s="981"/>
    </row>
    <row r="114" spans="1:8">
      <c r="A114" s="981" t="s">
        <v>769</v>
      </c>
      <c r="B114" s="981"/>
      <c r="C114" s="981"/>
      <c r="D114" s="981"/>
      <c r="E114" s="981"/>
      <c r="F114" s="981"/>
      <c r="G114" s="981"/>
      <c r="H114" s="981"/>
    </row>
    <row r="115" spans="1:8">
      <c r="A115" s="981" t="s">
        <v>770</v>
      </c>
      <c r="B115" s="981"/>
      <c r="C115" s="981"/>
      <c r="D115" s="981"/>
      <c r="E115" s="981"/>
      <c r="F115" s="981"/>
      <c r="G115" s="981"/>
      <c r="H115" s="981"/>
    </row>
    <row r="116" spans="1:8">
      <c r="A116" s="981" t="s">
        <v>771</v>
      </c>
      <c r="B116" s="981"/>
      <c r="C116" s="981"/>
      <c r="D116" s="981"/>
      <c r="E116" s="981"/>
      <c r="F116" s="981"/>
      <c r="G116" s="981"/>
      <c r="H116" s="981"/>
    </row>
    <row r="117" spans="1:8">
      <c r="A117" s="986"/>
      <c r="B117" s="986"/>
      <c r="C117" s="986"/>
      <c r="D117" s="986"/>
      <c r="E117" s="986"/>
      <c r="F117" s="986"/>
      <c r="G117" s="986"/>
      <c r="H117" s="986"/>
    </row>
    <row r="118" spans="1:8">
      <c r="A118" s="987"/>
      <c r="B118" s="988" t="s">
        <v>559</v>
      </c>
      <c r="C118" s="989"/>
      <c r="D118" s="988" t="s">
        <v>560</v>
      </c>
      <c r="E118" s="990"/>
      <c r="F118" s="989"/>
      <c r="G118" s="988" t="s">
        <v>561</v>
      </c>
      <c r="H118" s="989"/>
    </row>
    <row r="119" spans="1:8">
      <c r="A119" s="987" t="s">
        <v>562</v>
      </c>
      <c r="B119" s="987" t="s">
        <v>228</v>
      </c>
      <c r="C119" s="987" t="s">
        <v>563</v>
      </c>
      <c r="D119" s="987" t="s">
        <v>228</v>
      </c>
      <c r="E119" s="987" t="s">
        <v>564</v>
      </c>
      <c r="F119" s="987" t="s">
        <v>565</v>
      </c>
      <c r="G119" s="987" t="s">
        <v>228</v>
      </c>
      <c r="H119" s="987" t="s">
        <v>566</v>
      </c>
    </row>
    <row r="120" spans="1:8">
      <c r="A120" s="987" t="s">
        <v>567</v>
      </c>
      <c r="B120" s="987">
        <v>1173</v>
      </c>
      <c r="C120" s="991">
        <v>0.37</v>
      </c>
      <c r="D120" s="987">
        <v>318</v>
      </c>
      <c r="E120" s="991">
        <v>0.41</v>
      </c>
      <c r="F120" s="991">
        <v>0.27</v>
      </c>
      <c r="G120" s="987">
        <v>571</v>
      </c>
      <c r="H120" s="991">
        <v>0.39</v>
      </c>
    </row>
    <row r="121" spans="1:8">
      <c r="A121" s="987" t="s">
        <v>568</v>
      </c>
      <c r="B121" s="987">
        <v>1390</v>
      </c>
      <c r="C121" s="991">
        <v>0.44</v>
      </c>
      <c r="D121" s="987">
        <v>359</v>
      </c>
      <c r="E121" s="991">
        <v>0.47</v>
      </c>
      <c r="F121" s="991">
        <v>0.26</v>
      </c>
      <c r="G121" s="987">
        <v>653</v>
      </c>
      <c r="H121" s="991">
        <v>0.45</v>
      </c>
    </row>
    <row r="122" spans="1:8">
      <c r="A122" s="987" t="s">
        <v>569</v>
      </c>
      <c r="B122" s="987">
        <v>53</v>
      </c>
      <c r="C122" s="991">
        <v>0.02</v>
      </c>
      <c r="D122" s="987">
        <v>5</v>
      </c>
      <c r="E122" s="991">
        <v>0.01</v>
      </c>
      <c r="F122" s="991">
        <v>0.09</v>
      </c>
      <c r="G122" s="987">
        <v>8</v>
      </c>
      <c r="H122" s="991">
        <v>0.01</v>
      </c>
    </row>
    <row r="123" spans="1:8">
      <c r="A123" s="987" t="s">
        <v>570</v>
      </c>
      <c r="B123" s="987">
        <v>564</v>
      </c>
      <c r="C123" s="991">
        <v>0.18</v>
      </c>
      <c r="D123" s="987">
        <v>90</v>
      </c>
      <c r="E123" s="991">
        <v>0.12</v>
      </c>
      <c r="F123" s="991">
        <v>0.16</v>
      </c>
      <c r="G123" s="987">
        <v>219</v>
      </c>
      <c r="H123" s="991">
        <v>0.15</v>
      </c>
    </row>
    <row r="124" spans="1:8">
      <c r="A124" s="987" t="s">
        <v>403</v>
      </c>
      <c r="B124" s="992">
        <v>3180</v>
      </c>
      <c r="C124" s="987"/>
      <c r="D124" s="987">
        <v>772</v>
      </c>
      <c r="E124" s="987"/>
      <c r="F124" s="987"/>
      <c r="G124" s="987">
        <v>1451</v>
      </c>
      <c r="H124" s="987"/>
    </row>
    <row r="125" spans="1:8">
      <c r="A125" s="993"/>
      <c r="B125" s="993"/>
      <c r="C125" s="993"/>
      <c r="D125" s="993"/>
      <c r="E125" s="993"/>
      <c r="F125" s="993"/>
      <c r="G125" s="993"/>
      <c r="H125" s="993"/>
    </row>
    <row r="126" spans="1:8">
      <c r="A126" s="984" t="s">
        <v>761</v>
      </c>
      <c r="B126" s="984"/>
      <c r="C126" s="984"/>
      <c r="D126" s="984"/>
      <c r="E126" s="984"/>
      <c r="F126" s="984"/>
      <c r="G126" s="984"/>
      <c r="H126" s="984"/>
    </row>
    <row r="127" spans="1:8">
      <c r="A127" s="981" t="s">
        <v>762</v>
      </c>
      <c r="B127" s="981"/>
      <c r="C127" s="981"/>
      <c r="D127" s="981"/>
      <c r="E127" s="981"/>
      <c r="F127" s="981"/>
      <c r="G127" s="981"/>
      <c r="H127" s="981"/>
    </row>
    <row r="128" spans="1:8">
      <c r="A128" s="981" t="s">
        <v>763</v>
      </c>
      <c r="B128" s="981"/>
      <c r="C128" s="981"/>
      <c r="D128" s="981"/>
      <c r="E128" s="981"/>
      <c r="F128" s="981"/>
      <c r="G128" s="981"/>
      <c r="H128" s="981"/>
    </row>
    <row r="129" spans="1:8">
      <c r="A129" s="981" t="s">
        <v>764</v>
      </c>
      <c r="B129" s="981"/>
      <c r="C129" s="981"/>
      <c r="D129" s="981"/>
      <c r="E129" s="981"/>
      <c r="F129" s="981"/>
      <c r="G129" s="981"/>
      <c r="H129" s="981"/>
    </row>
    <row r="130" spans="1:8">
      <c r="A130" s="980"/>
      <c r="B130" s="980"/>
      <c r="C130" s="980"/>
      <c r="D130" s="980"/>
      <c r="E130" s="980"/>
      <c r="F130" s="980"/>
      <c r="G130" s="980"/>
      <c r="H130" s="980"/>
    </row>
    <row r="131" spans="1:8" ht="15.75">
      <c r="A131" s="982" t="s">
        <v>571</v>
      </c>
      <c r="B131" s="980"/>
      <c r="C131" s="980"/>
      <c r="D131" s="980"/>
      <c r="E131" s="980"/>
      <c r="F131" s="980"/>
      <c r="G131" s="980"/>
      <c r="H131" s="980"/>
    </row>
    <row r="132" spans="1:8">
      <c r="A132" s="980"/>
      <c r="B132" s="980"/>
      <c r="C132" s="980"/>
      <c r="D132" s="980"/>
      <c r="E132" s="980"/>
      <c r="F132" s="980"/>
      <c r="G132" s="980"/>
      <c r="H132" s="980"/>
    </row>
    <row r="133" spans="1:8">
      <c r="A133" s="981" t="s">
        <v>759</v>
      </c>
      <c r="B133" s="980"/>
      <c r="C133" s="980"/>
      <c r="D133" s="980"/>
      <c r="E133" s="980"/>
      <c r="F133" s="980"/>
      <c r="G133" s="980"/>
      <c r="H133" s="980"/>
    </row>
    <row r="134" spans="1:8">
      <c r="A134" s="981" t="s">
        <v>760</v>
      </c>
      <c r="B134" s="980"/>
      <c r="C134" s="980"/>
      <c r="D134" s="980"/>
      <c r="E134" s="980"/>
      <c r="F134" s="980"/>
      <c r="G134" s="980"/>
      <c r="H134" s="980"/>
    </row>
    <row r="135" spans="1:8">
      <c r="A135" s="980"/>
      <c r="B135" s="980"/>
      <c r="C135" s="980"/>
      <c r="D135" s="980"/>
      <c r="E135" s="980"/>
      <c r="F135" s="980"/>
      <c r="G135" s="980"/>
      <c r="H135" s="980"/>
    </row>
    <row r="136" spans="1:8">
      <c r="A136" s="981" t="s">
        <v>756</v>
      </c>
      <c r="B136" s="980"/>
      <c r="C136" s="980"/>
      <c r="D136" s="980"/>
      <c r="E136" s="980"/>
      <c r="F136" s="980"/>
      <c r="G136" s="980"/>
      <c r="H136" s="980"/>
    </row>
    <row r="137" spans="1:8">
      <c r="A137" s="981" t="s">
        <v>757</v>
      </c>
      <c r="B137" s="980"/>
      <c r="C137" s="980"/>
      <c r="D137" s="980"/>
      <c r="E137" s="980"/>
      <c r="F137" s="980"/>
      <c r="G137" s="980"/>
      <c r="H137" s="980"/>
    </row>
    <row r="138" spans="1:8">
      <c r="A138" s="981" t="s">
        <v>758</v>
      </c>
      <c r="B138" s="980"/>
      <c r="C138" s="980"/>
      <c r="D138" s="980"/>
      <c r="E138" s="980"/>
      <c r="F138" s="980"/>
      <c r="G138" s="980"/>
      <c r="H138" s="980"/>
    </row>
    <row r="139" spans="1:8">
      <c r="A139" s="980"/>
      <c r="B139" s="980"/>
      <c r="C139" s="980"/>
      <c r="D139" s="980"/>
      <c r="E139" s="980"/>
      <c r="F139" s="980"/>
      <c r="G139" s="980"/>
      <c r="H139" s="980"/>
    </row>
    <row r="140" spans="1:8">
      <c r="A140" s="981" t="s">
        <v>753</v>
      </c>
      <c r="B140" s="980"/>
      <c r="C140" s="980"/>
      <c r="D140" s="980"/>
      <c r="E140" s="980"/>
      <c r="F140" s="980"/>
      <c r="G140" s="980"/>
      <c r="H140" s="980"/>
    </row>
    <row r="141" spans="1:8">
      <c r="A141" s="981" t="s">
        <v>754</v>
      </c>
      <c r="B141" s="980"/>
      <c r="C141" s="980"/>
      <c r="D141" s="980"/>
      <c r="E141" s="980"/>
      <c r="F141" s="980"/>
      <c r="G141" s="980"/>
      <c r="H141" s="980"/>
    </row>
    <row r="142" spans="1:8">
      <c r="A142" s="981" t="s">
        <v>755</v>
      </c>
      <c r="B142" s="980"/>
      <c r="C142" s="980"/>
      <c r="D142" s="980"/>
      <c r="E142" s="980"/>
      <c r="F142" s="980"/>
      <c r="G142" s="980"/>
      <c r="H142" s="980"/>
    </row>
    <row r="143" spans="1:8">
      <c r="A143" s="980"/>
      <c r="B143" s="980"/>
      <c r="C143" s="980"/>
      <c r="D143" s="980"/>
      <c r="E143" s="980"/>
      <c r="F143" s="980"/>
      <c r="G143" s="980"/>
      <c r="H143" s="980"/>
    </row>
    <row r="144" spans="1:8">
      <c r="A144" s="981" t="s">
        <v>750</v>
      </c>
      <c r="B144" s="980"/>
      <c r="C144" s="980"/>
      <c r="D144" s="980"/>
      <c r="E144" s="980"/>
      <c r="F144" s="980"/>
      <c r="G144" s="980"/>
      <c r="H144" s="980"/>
    </row>
    <row r="145" spans="1:8">
      <c r="A145" s="981" t="s">
        <v>751</v>
      </c>
      <c r="B145" s="980"/>
      <c r="C145" s="980"/>
      <c r="D145" s="980"/>
      <c r="E145" s="980"/>
      <c r="F145" s="980"/>
      <c r="G145" s="980"/>
      <c r="H145" s="980"/>
    </row>
    <row r="146" spans="1:8">
      <c r="A146" s="981" t="s">
        <v>752</v>
      </c>
      <c r="B146" s="980"/>
      <c r="C146" s="980"/>
      <c r="D146" s="980"/>
      <c r="E146" s="980"/>
      <c r="F146" s="980"/>
      <c r="G146" s="980"/>
      <c r="H146" s="980"/>
    </row>
    <row r="147" spans="1:8">
      <c r="A147" s="980"/>
      <c r="B147" s="980"/>
      <c r="C147" s="980"/>
      <c r="D147" s="980"/>
      <c r="E147" s="980"/>
      <c r="F147" s="980"/>
      <c r="G147" s="980"/>
      <c r="H147" s="980"/>
    </row>
    <row r="148" spans="1:8">
      <c r="A148" s="981" t="s">
        <v>748</v>
      </c>
      <c r="B148" s="980"/>
      <c r="C148" s="980"/>
      <c r="D148" s="980"/>
      <c r="E148" s="980"/>
      <c r="F148" s="980"/>
      <c r="G148" s="980"/>
      <c r="H148" s="980"/>
    </row>
    <row r="149" spans="1:8">
      <c r="A149" s="981" t="s">
        <v>749</v>
      </c>
      <c r="B149" s="980"/>
      <c r="C149" s="980"/>
      <c r="D149" s="980"/>
      <c r="E149" s="980"/>
      <c r="F149" s="980"/>
      <c r="G149" s="980"/>
      <c r="H149" s="980"/>
    </row>
    <row r="150" spans="1:8">
      <c r="A150" s="980"/>
      <c r="B150" s="980"/>
      <c r="C150" s="980"/>
      <c r="D150" s="980"/>
      <c r="E150" s="980"/>
      <c r="F150" s="980"/>
      <c r="G150" s="980"/>
      <c r="H150" s="980"/>
    </row>
    <row r="151" spans="1:8" ht="15.75">
      <c r="A151" s="982" t="s">
        <v>572</v>
      </c>
      <c r="B151" s="980"/>
      <c r="C151" s="980"/>
      <c r="D151" s="980"/>
      <c r="E151" s="980"/>
      <c r="F151" s="980"/>
      <c r="G151" s="980"/>
      <c r="H151" s="980"/>
    </row>
    <row r="152" spans="1:8">
      <c r="A152" s="980"/>
      <c r="B152" s="980"/>
      <c r="C152" s="980"/>
      <c r="D152" s="980"/>
      <c r="E152" s="980"/>
      <c r="F152" s="980"/>
      <c r="G152" s="980"/>
      <c r="H152" s="980"/>
    </row>
    <row r="153" spans="1:8">
      <c r="A153" s="981" t="s">
        <v>746</v>
      </c>
      <c r="B153" s="980"/>
      <c r="C153" s="980"/>
      <c r="D153" s="980"/>
      <c r="E153" s="980"/>
      <c r="F153" s="980"/>
      <c r="G153" s="980"/>
      <c r="H153" s="980"/>
    </row>
    <row r="154" spans="1:8">
      <c r="A154" s="981" t="s">
        <v>747</v>
      </c>
      <c r="B154" s="980"/>
      <c r="C154" s="980"/>
      <c r="D154" s="980"/>
      <c r="E154" s="980"/>
      <c r="F154" s="980"/>
      <c r="G154" s="980"/>
      <c r="H154" s="980"/>
    </row>
    <row r="155" spans="1:8">
      <c r="A155" s="980"/>
      <c r="B155" s="980"/>
      <c r="C155" s="980"/>
      <c r="D155" s="980"/>
      <c r="E155" s="980"/>
      <c r="F155" s="980"/>
      <c r="G155" s="980"/>
      <c r="H155" s="980"/>
    </row>
    <row r="156" spans="1:8">
      <c r="A156" s="981" t="s">
        <v>744</v>
      </c>
      <c r="B156" s="980"/>
      <c r="C156" s="980"/>
      <c r="D156" s="980"/>
      <c r="E156" s="980"/>
      <c r="F156" s="980"/>
      <c r="G156" s="980"/>
      <c r="H156" s="980"/>
    </row>
    <row r="157" spans="1:8">
      <c r="A157" s="981" t="s">
        <v>745</v>
      </c>
      <c r="B157" s="980"/>
      <c r="C157" s="980"/>
      <c r="D157" s="980"/>
      <c r="E157" s="980"/>
      <c r="F157" s="980"/>
      <c r="G157" s="980"/>
      <c r="H157" s="980"/>
    </row>
    <row r="158" spans="1:8">
      <c r="A158" s="980"/>
      <c r="B158" s="980"/>
      <c r="C158" s="980"/>
      <c r="D158" s="980"/>
      <c r="E158" s="980"/>
      <c r="F158" s="980"/>
      <c r="G158" s="980"/>
      <c r="H158" s="980"/>
    </row>
    <row r="159" spans="1:8">
      <c r="A159" s="981" t="s">
        <v>742</v>
      </c>
      <c r="B159" s="980"/>
      <c r="C159" s="980"/>
      <c r="D159" s="980"/>
      <c r="E159" s="980"/>
      <c r="F159" s="980"/>
      <c r="G159" s="980"/>
      <c r="H159" s="980"/>
    </row>
    <row r="160" spans="1:8">
      <c r="A160" s="981" t="s">
        <v>743</v>
      </c>
      <c r="B160" s="980"/>
      <c r="C160" s="980"/>
      <c r="D160" s="980"/>
      <c r="E160" s="980"/>
      <c r="F160" s="980"/>
      <c r="G160" s="980"/>
      <c r="H160" s="980"/>
    </row>
    <row r="161" spans="1:8">
      <c r="A161" s="980"/>
      <c r="B161" s="980"/>
      <c r="C161" s="980"/>
      <c r="D161" s="980"/>
      <c r="E161" s="980"/>
      <c r="F161" s="980"/>
      <c r="G161" s="980"/>
      <c r="H161" s="980"/>
    </row>
    <row r="162" spans="1:8">
      <c r="A162" s="981" t="s">
        <v>739</v>
      </c>
      <c r="B162" s="980"/>
      <c r="C162" s="980"/>
      <c r="D162" s="980"/>
      <c r="E162" s="980"/>
      <c r="F162" s="980"/>
      <c r="G162" s="980"/>
      <c r="H162" s="980"/>
    </row>
    <row r="163" spans="1:8">
      <c r="A163" s="981" t="s">
        <v>740</v>
      </c>
      <c r="B163" s="980"/>
      <c r="C163" s="980"/>
      <c r="D163" s="980"/>
      <c r="E163" s="980"/>
      <c r="F163" s="980"/>
      <c r="G163" s="980"/>
      <c r="H163" s="980"/>
    </row>
    <row r="164" spans="1:8">
      <c r="A164" s="981" t="s">
        <v>741</v>
      </c>
      <c r="B164" s="980"/>
      <c r="C164" s="980"/>
      <c r="D164" s="980"/>
      <c r="E164" s="980"/>
      <c r="F164" s="980"/>
      <c r="G164" s="980"/>
      <c r="H164" s="980"/>
    </row>
    <row r="165" spans="1:8">
      <c r="A165" s="980"/>
      <c r="B165" s="980"/>
      <c r="C165" s="980"/>
      <c r="D165" s="980"/>
      <c r="E165" s="980"/>
      <c r="F165" s="980"/>
      <c r="G165" s="980"/>
      <c r="H165" s="980"/>
    </row>
    <row r="166" spans="1:8">
      <c r="A166" s="980"/>
      <c r="B166" s="980"/>
      <c r="C166" s="980"/>
      <c r="D166" s="980"/>
      <c r="E166" s="980"/>
      <c r="F166" s="980"/>
      <c r="G166" s="980"/>
      <c r="H166" s="980"/>
    </row>
    <row r="167" spans="1:8">
      <c r="A167" s="981" t="s">
        <v>573</v>
      </c>
      <c r="B167" s="980"/>
      <c r="C167" s="980"/>
      <c r="D167" s="980"/>
      <c r="E167" s="980"/>
      <c r="F167" s="980"/>
      <c r="G167" s="980"/>
      <c r="H167" s="980"/>
    </row>
    <row r="168" spans="1:8">
      <c r="A168" s="980"/>
      <c r="B168" s="980"/>
      <c r="C168" s="980"/>
      <c r="D168" s="980"/>
      <c r="E168" s="980"/>
      <c r="F168" s="980"/>
      <c r="G168" s="980"/>
      <c r="H168" s="980"/>
    </row>
    <row r="169" spans="1:8" ht="15.75">
      <c r="A169" s="982" t="s">
        <v>574</v>
      </c>
      <c r="B169" s="980"/>
      <c r="C169" s="980"/>
      <c r="D169" s="980"/>
      <c r="E169" s="980"/>
      <c r="F169" s="980"/>
      <c r="G169" s="980"/>
      <c r="H169" s="980"/>
    </row>
    <row r="170" spans="1:8">
      <c r="A170" s="980"/>
      <c r="B170" s="980"/>
      <c r="C170" s="980"/>
      <c r="D170" s="980"/>
      <c r="E170" s="980"/>
      <c r="F170" s="980"/>
      <c r="G170" s="980"/>
      <c r="H170" s="980"/>
    </row>
    <row r="171" spans="1:8">
      <c r="A171" s="980"/>
      <c r="B171" s="980"/>
      <c r="C171" s="980"/>
      <c r="D171" s="980"/>
      <c r="E171" s="980"/>
      <c r="F171" s="980"/>
      <c r="G171" s="980"/>
      <c r="H171" s="980"/>
    </row>
    <row r="172" spans="1:8">
      <c r="A172" s="980"/>
      <c r="B172" s="980"/>
      <c r="C172" s="980"/>
      <c r="D172" s="980"/>
      <c r="E172" s="980"/>
      <c r="F172" s="980"/>
      <c r="G172" s="980"/>
      <c r="H172" s="980"/>
    </row>
    <row r="173" spans="1:8">
      <c r="A173" s="980"/>
      <c r="B173" s="980"/>
      <c r="C173" s="980"/>
      <c r="D173" s="980"/>
      <c r="E173" s="980"/>
      <c r="F173" s="980"/>
      <c r="G173" s="980"/>
      <c r="H173" s="980"/>
    </row>
    <row r="174" spans="1:8">
      <c r="A174" s="980"/>
      <c r="B174" s="980"/>
      <c r="C174" s="980"/>
      <c r="D174" s="980"/>
      <c r="E174" s="980"/>
      <c r="F174" s="980"/>
      <c r="G174" s="980"/>
      <c r="H174" s="980"/>
    </row>
    <row r="175" spans="1:8">
      <c r="A175" s="980"/>
      <c r="B175" s="980"/>
      <c r="C175" s="980"/>
      <c r="D175" s="980"/>
      <c r="E175" s="980"/>
      <c r="F175" s="980"/>
      <c r="G175" s="980"/>
      <c r="H175" s="980"/>
    </row>
    <row r="176" spans="1:8">
      <c r="A176" s="980"/>
      <c r="B176" s="980"/>
      <c r="C176" s="980"/>
      <c r="D176" s="980"/>
      <c r="E176" s="980"/>
      <c r="F176" s="980"/>
      <c r="G176" s="980"/>
      <c r="H176" s="980"/>
    </row>
    <row r="177" spans="1:8">
      <c r="A177" s="980"/>
      <c r="B177" s="980"/>
      <c r="C177" s="980"/>
      <c r="D177" s="980"/>
      <c r="E177" s="980"/>
      <c r="F177" s="980"/>
      <c r="G177" s="980"/>
      <c r="H177" s="980"/>
    </row>
    <row r="178" spans="1:8">
      <c r="A178" s="980"/>
      <c r="B178" s="980"/>
      <c r="C178" s="980"/>
      <c r="D178" s="980"/>
      <c r="E178" s="980"/>
      <c r="F178" s="980"/>
      <c r="G178" s="980"/>
      <c r="H178" s="980"/>
    </row>
    <row r="179" spans="1:8">
      <c r="A179" s="980"/>
      <c r="B179" s="980"/>
      <c r="C179" s="980"/>
      <c r="D179" s="980"/>
      <c r="E179" s="980"/>
      <c r="F179" s="980"/>
      <c r="G179" s="980"/>
      <c r="H179" s="980"/>
    </row>
    <row r="180" spans="1:8">
      <c r="A180" s="980"/>
      <c r="B180" s="980"/>
      <c r="C180" s="980"/>
      <c r="D180" s="980"/>
      <c r="E180" s="980"/>
      <c r="F180" s="980"/>
      <c r="G180" s="980"/>
      <c r="H180" s="980"/>
    </row>
    <row r="181" spans="1:8">
      <c r="A181" s="980"/>
      <c r="B181" s="980"/>
      <c r="C181" s="980"/>
      <c r="D181" s="980"/>
      <c r="E181" s="980"/>
      <c r="F181" s="980"/>
      <c r="G181" s="980"/>
      <c r="H181" s="980"/>
    </row>
    <row r="182" spans="1:8">
      <c r="A182" s="980"/>
      <c r="B182" s="980"/>
      <c r="C182" s="980"/>
      <c r="D182" s="980"/>
      <c r="E182" s="980"/>
      <c r="F182" s="980"/>
      <c r="G182" s="980"/>
      <c r="H182" s="980"/>
    </row>
    <row r="183" spans="1:8">
      <c r="A183" s="980"/>
      <c r="B183" s="980"/>
      <c r="C183" s="980"/>
      <c r="D183" s="980"/>
      <c r="E183" s="980"/>
      <c r="F183" s="980"/>
      <c r="G183" s="980"/>
      <c r="H183" s="980"/>
    </row>
    <row r="184" spans="1:8">
      <c r="A184" s="980"/>
      <c r="B184" s="980"/>
      <c r="C184" s="980"/>
      <c r="D184" s="980"/>
      <c r="E184" s="980"/>
      <c r="F184" s="980"/>
      <c r="G184" s="980"/>
      <c r="H184" s="980"/>
    </row>
    <row r="185" spans="1:8">
      <c r="A185" s="980"/>
      <c r="B185" s="980"/>
      <c r="C185" s="980"/>
      <c r="D185" s="980"/>
      <c r="E185" s="980"/>
      <c r="F185" s="980"/>
      <c r="G185" s="980"/>
      <c r="H185" s="980"/>
    </row>
    <row r="186" spans="1:8">
      <c r="A186" s="980"/>
      <c r="B186" s="980"/>
      <c r="C186" s="980"/>
      <c r="D186" s="980"/>
      <c r="E186" s="980"/>
      <c r="F186" s="980"/>
      <c r="G186" s="980"/>
      <c r="H186" s="980"/>
    </row>
    <row r="187" spans="1:8">
      <c r="A187" s="980"/>
      <c r="B187" s="980"/>
      <c r="C187" s="980"/>
      <c r="D187" s="980"/>
      <c r="E187" s="980"/>
      <c r="F187" s="980"/>
      <c r="G187" s="980"/>
      <c r="H187" s="980"/>
    </row>
    <row r="188" spans="1:8">
      <c r="A188" s="980"/>
      <c r="B188" s="980"/>
      <c r="C188" s="980"/>
      <c r="D188" s="980"/>
      <c r="E188" s="980"/>
      <c r="F188" s="980"/>
      <c r="G188" s="980"/>
      <c r="H188" s="980"/>
    </row>
    <row r="189" spans="1:8">
      <c r="A189" s="980"/>
      <c r="B189" s="980"/>
      <c r="C189" s="980"/>
      <c r="D189" s="980"/>
      <c r="E189" s="980"/>
      <c r="F189" s="980"/>
      <c r="G189" s="980"/>
      <c r="H189" s="980"/>
    </row>
    <row r="190" spans="1:8">
      <c r="A190" s="980"/>
      <c r="B190" s="980"/>
      <c r="C190" s="980"/>
      <c r="D190" s="980"/>
      <c r="E190" s="980"/>
      <c r="F190" s="980"/>
      <c r="G190" s="980"/>
      <c r="H190" s="980"/>
    </row>
    <row r="191" spans="1:8">
      <c r="A191" s="980"/>
      <c r="B191" s="980"/>
      <c r="C191" s="980"/>
      <c r="D191" s="980"/>
      <c r="E191" s="980"/>
      <c r="F191" s="980"/>
      <c r="G191" s="980"/>
      <c r="H191" s="980"/>
    </row>
    <row r="192" spans="1:8">
      <c r="A192" s="980"/>
      <c r="B192" s="980"/>
      <c r="C192" s="980"/>
      <c r="D192" s="980"/>
      <c r="E192" s="980"/>
      <c r="F192" s="980"/>
      <c r="G192" s="980"/>
      <c r="H192" s="980"/>
    </row>
    <row r="193" spans="1:8">
      <c r="A193" s="980"/>
      <c r="B193" s="980"/>
      <c r="C193" s="980"/>
      <c r="D193" s="980"/>
      <c r="E193" s="980"/>
      <c r="F193" s="980"/>
      <c r="G193" s="980"/>
      <c r="H193" s="980"/>
    </row>
    <row r="194" spans="1:8">
      <c r="A194" s="980"/>
      <c r="B194" s="980"/>
      <c r="C194" s="980"/>
      <c r="D194" s="980"/>
      <c r="E194" s="980"/>
      <c r="F194" s="980"/>
      <c r="G194" s="980"/>
      <c r="H194" s="980"/>
    </row>
    <row r="195" spans="1:8">
      <c r="A195" s="980"/>
      <c r="B195" s="980"/>
      <c r="C195" s="980"/>
      <c r="D195" s="980"/>
      <c r="E195" s="980"/>
      <c r="F195" s="980"/>
      <c r="G195" s="980"/>
      <c r="H195" s="980"/>
    </row>
    <row r="196" spans="1:8" ht="15.75">
      <c r="A196" s="982" t="s">
        <v>575</v>
      </c>
      <c r="B196" s="980"/>
      <c r="C196" s="980"/>
      <c r="D196" s="980"/>
      <c r="E196" s="980"/>
      <c r="F196" s="980"/>
      <c r="G196" s="980"/>
      <c r="H196" s="980"/>
    </row>
    <row r="197" spans="1:8">
      <c r="A197" s="980"/>
      <c r="B197" s="980"/>
      <c r="C197" s="980"/>
      <c r="D197" s="980"/>
      <c r="E197" s="980"/>
      <c r="F197" s="980"/>
      <c r="G197" s="980"/>
      <c r="H197" s="980"/>
    </row>
    <row r="198" spans="1:8">
      <c r="A198" s="981" t="s">
        <v>734</v>
      </c>
      <c r="B198" s="980"/>
      <c r="C198" s="980"/>
      <c r="D198" s="980"/>
      <c r="E198" s="980"/>
      <c r="F198" s="980"/>
      <c r="G198" s="980"/>
      <c r="H198" s="980"/>
    </row>
    <row r="199" spans="1:8">
      <c r="A199" s="981" t="s">
        <v>735</v>
      </c>
      <c r="B199" s="980"/>
      <c r="C199" s="980"/>
      <c r="D199" s="980"/>
      <c r="E199" s="980"/>
      <c r="F199" s="980"/>
      <c r="G199" s="980"/>
      <c r="H199" s="980"/>
    </row>
    <row r="200" spans="1:8">
      <c r="A200" s="981" t="s">
        <v>736</v>
      </c>
      <c r="B200" s="980"/>
      <c r="C200" s="980"/>
      <c r="D200" s="980"/>
      <c r="E200" s="980"/>
      <c r="F200" s="980"/>
      <c r="G200" s="980"/>
      <c r="H200" s="980"/>
    </row>
    <row r="201" spans="1:8">
      <c r="A201" s="981" t="s">
        <v>737</v>
      </c>
      <c r="B201" s="980"/>
      <c r="C201" s="980"/>
      <c r="D201" s="980"/>
      <c r="E201" s="980"/>
      <c r="F201" s="980"/>
      <c r="G201" s="980"/>
      <c r="H201" s="980"/>
    </row>
    <row r="202" spans="1:8">
      <c r="A202" s="981" t="s">
        <v>738</v>
      </c>
      <c r="B202" s="980"/>
      <c r="C202" s="980"/>
      <c r="D202" s="980"/>
      <c r="E202" s="980"/>
      <c r="F202" s="980"/>
      <c r="G202" s="980"/>
      <c r="H202" s="980"/>
    </row>
    <row r="203" spans="1:8">
      <c r="A203" s="980"/>
      <c r="B203" s="980"/>
      <c r="C203" s="980"/>
      <c r="D203" s="980"/>
      <c r="E203" s="980"/>
      <c r="F203" s="980"/>
      <c r="G203" s="980"/>
      <c r="H203" s="980"/>
    </row>
    <row r="204" spans="1:8">
      <c r="A204" s="981" t="s">
        <v>731</v>
      </c>
      <c r="B204" s="980"/>
      <c r="C204" s="980"/>
      <c r="D204" s="980"/>
      <c r="E204" s="980"/>
      <c r="F204" s="980"/>
      <c r="G204" s="980"/>
      <c r="H204" s="980"/>
    </row>
    <row r="205" spans="1:8">
      <c r="A205" s="981" t="s">
        <v>732</v>
      </c>
      <c r="B205" s="980"/>
      <c r="C205" s="980"/>
      <c r="D205" s="980"/>
      <c r="E205" s="980"/>
      <c r="F205" s="980"/>
      <c r="G205" s="980"/>
      <c r="H205" s="980"/>
    </row>
    <row r="206" spans="1:8">
      <c r="A206" s="981" t="s">
        <v>733</v>
      </c>
      <c r="B206" s="980"/>
      <c r="C206" s="980"/>
      <c r="D206" s="980"/>
      <c r="E206" s="980"/>
      <c r="F206" s="980"/>
      <c r="G206" s="980"/>
      <c r="H206" s="980"/>
    </row>
    <row r="207" spans="1:8" ht="15.75">
      <c r="A207" s="982" t="s">
        <v>576</v>
      </c>
      <c r="B207" s="980"/>
      <c r="C207" s="980"/>
      <c r="D207" s="980"/>
      <c r="E207" s="980"/>
      <c r="F207" s="980"/>
      <c r="G207" s="980"/>
      <c r="H207" s="980"/>
    </row>
    <row r="208" spans="1:8">
      <c r="A208" s="980"/>
      <c r="B208" s="980"/>
      <c r="C208" s="980"/>
      <c r="D208" s="980"/>
      <c r="E208" s="980"/>
      <c r="F208" s="980"/>
      <c r="G208" s="980"/>
      <c r="H208" s="980"/>
    </row>
    <row r="209" spans="1:8">
      <c r="A209" s="981" t="s">
        <v>724</v>
      </c>
      <c r="B209" s="980"/>
      <c r="C209" s="980"/>
      <c r="D209" s="980"/>
      <c r="E209" s="980"/>
      <c r="F209" s="980"/>
      <c r="G209" s="980"/>
      <c r="H209" s="980"/>
    </row>
    <row r="210" spans="1:8">
      <c r="A210" s="981" t="s">
        <v>725</v>
      </c>
      <c r="B210" s="980"/>
      <c r="C210" s="980"/>
      <c r="D210" s="980"/>
      <c r="E210" s="980"/>
      <c r="F210" s="980"/>
      <c r="G210" s="980"/>
      <c r="H210" s="980"/>
    </row>
    <row r="211" spans="1:8">
      <c r="A211" s="981" t="s">
        <v>726</v>
      </c>
      <c r="B211" s="980"/>
      <c r="C211" s="980"/>
      <c r="D211" s="980"/>
      <c r="E211" s="980"/>
      <c r="F211" s="980"/>
      <c r="G211" s="980"/>
      <c r="H211" s="980"/>
    </row>
    <row r="212" spans="1:8">
      <c r="A212" s="981" t="s">
        <v>727</v>
      </c>
      <c r="B212" s="980"/>
      <c r="C212" s="980"/>
      <c r="D212" s="980"/>
      <c r="E212" s="980"/>
      <c r="F212" s="980"/>
      <c r="G212" s="980"/>
      <c r="H212" s="980"/>
    </row>
    <row r="213" spans="1:8">
      <c r="A213" s="981" t="s">
        <v>728</v>
      </c>
      <c r="B213" s="980"/>
      <c r="C213" s="980"/>
      <c r="D213" s="980"/>
      <c r="E213" s="980"/>
      <c r="F213" s="980"/>
      <c r="G213" s="980"/>
      <c r="H213" s="980"/>
    </row>
    <row r="214" spans="1:8">
      <c r="A214" s="981" t="s">
        <v>729</v>
      </c>
      <c r="B214" s="980"/>
      <c r="C214" s="980"/>
      <c r="D214" s="980"/>
      <c r="E214" s="980"/>
      <c r="F214" s="980"/>
      <c r="G214" s="980"/>
      <c r="H214" s="980"/>
    </row>
    <row r="215" spans="1:8">
      <c r="A215" s="981" t="s">
        <v>730</v>
      </c>
      <c r="B215" s="980"/>
      <c r="C215" s="980"/>
      <c r="D215" s="980"/>
      <c r="E215" s="980"/>
      <c r="F215" s="980"/>
      <c r="G215" s="980"/>
      <c r="H215" s="980"/>
    </row>
    <row r="216" spans="1:8">
      <c r="A216" s="980"/>
      <c r="B216" s="980"/>
      <c r="C216" s="980"/>
      <c r="D216" s="980"/>
      <c r="E216" s="980"/>
      <c r="F216" s="980"/>
      <c r="G216" s="980"/>
      <c r="H216" s="980"/>
    </row>
    <row r="217" spans="1:8">
      <c r="A217" s="981" t="s">
        <v>721</v>
      </c>
      <c r="B217" s="980"/>
      <c r="C217" s="980"/>
      <c r="D217" s="980"/>
      <c r="E217" s="980"/>
      <c r="F217" s="980"/>
      <c r="G217" s="980"/>
      <c r="H217" s="980"/>
    </row>
    <row r="218" spans="1:8">
      <c r="A218" s="981" t="s">
        <v>722</v>
      </c>
      <c r="B218" s="980"/>
      <c r="C218" s="980"/>
      <c r="D218" s="980"/>
      <c r="E218" s="980"/>
      <c r="F218" s="980"/>
      <c r="G218" s="980"/>
      <c r="H218" s="980"/>
    </row>
    <row r="219" spans="1:8">
      <c r="A219" s="981" t="s">
        <v>723</v>
      </c>
      <c r="B219" s="980"/>
      <c r="C219" s="980"/>
      <c r="D219" s="980"/>
      <c r="E219" s="980"/>
      <c r="F219" s="980"/>
      <c r="G219" s="980"/>
      <c r="H219" s="980"/>
    </row>
    <row r="220" spans="1:8">
      <c r="A220" s="980"/>
      <c r="B220" s="980"/>
      <c r="C220" s="980"/>
      <c r="D220" s="980"/>
      <c r="E220" s="980"/>
      <c r="F220" s="980"/>
      <c r="G220" s="980"/>
      <c r="H220" s="980"/>
    </row>
    <row r="221" spans="1:8">
      <c r="A221" s="981" t="s">
        <v>716</v>
      </c>
      <c r="B221" s="980"/>
      <c r="C221" s="980"/>
      <c r="D221" s="980"/>
      <c r="E221" s="980"/>
      <c r="F221" s="980"/>
      <c r="G221" s="980"/>
      <c r="H221" s="980"/>
    </row>
    <row r="222" spans="1:8">
      <c r="A222" s="981" t="s">
        <v>717</v>
      </c>
      <c r="B222" s="980"/>
      <c r="C222" s="980"/>
      <c r="D222" s="980"/>
      <c r="E222" s="980"/>
      <c r="F222" s="980"/>
      <c r="G222" s="980"/>
      <c r="H222" s="980"/>
    </row>
    <row r="223" spans="1:8">
      <c r="A223" s="981" t="s">
        <v>718</v>
      </c>
      <c r="B223" s="980"/>
      <c r="C223" s="980"/>
      <c r="D223" s="980"/>
      <c r="E223" s="980"/>
      <c r="F223" s="980"/>
      <c r="G223" s="980"/>
      <c r="H223" s="980"/>
    </row>
    <row r="224" spans="1:8">
      <c r="A224" s="981" t="s">
        <v>719</v>
      </c>
      <c r="B224" s="980"/>
      <c r="C224" s="980"/>
      <c r="D224" s="980"/>
      <c r="E224" s="980"/>
      <c r="F224" s="980"/>
      <c r="G224" s="980"/>
      <c r="H224" s="980"/>
    </row>
    <row r="225" spans="1:8">
      <c r="A225" s="981" t="s">
        <v>720</v>
      </c>
      <c r="B225" s="980"/>
      <c r="C225" s="980"/>
      <c r="D225" s="980"/>
      <c r="E225" s="980"/>
      <c r="F225" s="980"/>
      <c r="G225" s="980"/>
      <c r="H225" s="980"/>
    </row>
    <row r="226" spans="1:8">
      <c r="A226" s="980"/>
      <c r="B226" s="980"/>
      <c r="C226" s="980"/>
      <c r="D226" s="980"/>
      <c r="E226" s="980"/>
      <c r="F226" s="980"/>
      <c r="G226" s="980"/>
      <c r="H226" s="980"/>
    </row>
    <row r="227" spans="1:8">
      <c r="A227" s="981" t="s">
        <v>710</v>
      </c>
      <c r="B227" s="980"/>
      <c r="C227" s="980"/>
      <c r="D227" s="980"/>
      <c r="E227" s="980"/>
      <c r="F227" s="980"/>
      <c r="G227" s="980"/>
      <c r="H227" s="980"/>
    </row>
    <row r="228" spans="1:8">
      <c r="A228" s="981" t="s">
        <v>711</v>
      </c>
      <c r="B228" s="980"/>
      <c r="C228" s="980"/>
      <c r="D228" s="980"/>
      <c r="E228" s="980"/>
      <c r="F228" s="980"/>
      <c r="G228" s="980"/>
      <c r="H228" s="980"/>
    </row>
    <row r="229" spans="1:8">
      <c r="A229" s="981" t="s">
        <v>712</v>
      </c>
      <c r="B229" s="980"/>
      <c r="C229" s="980"/>
      <c r="D229" s="980"/>
      <c r="E229" s="980"/>
      <c r="F229" s="980"/>
      <c r="G229" s="980"/>
      <c r="H229" s="980"/>
    </row>
    <row r="230" spans="1:8">
      <c r="A230" s="981" t="s">
        <v>713</v>
      </c>
      <c r="B230" s="980"/>
      <c r="C230" s="980"/>
      <c r="D230" s="980"/>
      <c r="E230" s="980"/>
      <c r="F230" s="980"/>
      <c r="G230" s="980"/>
      <c r="H230" s="980"/>
    </row>
    <row r="231" spans="1:8">
      <c r="A231" s="981" t="s">
        <v>714</v>
      </c>
      <c r="B231" s="980"/>
      <c r="C231" s="980"/>
      <c r="D231" s="980"/>
      <c r="E231" s="980"/>
      <c r="F231" s="980"/>
      <c r="G231" s="980"/>
      <c r="H231" s="980"/>
    </row>
    <row r="232" spans="1:8">
      <c r="A232" s="981" t="s">
        <v>715</v>
      </c>
      <c r="B232" s="980"/>
      <c r="C232" s="980"/>
      <c r="D232" s="980"/>
      <c r="E232" s="980"/>
      <c r="F232" s="980"/>
      <c r="G232" s="980"/>
      <c r="H232" s="980"/>
    </row>
    <row r="233" spans="1:8">
      <c r="A233" s="980"/>
      <c r="B233" s="980"/>
      <c r="C233" s="980"/>
      <c r="D233" s="980"/>
      <c r="E233" s="980"/>
      <c r="F233" s="980"/>
      <c r="G233" s="980"/>
      <c r="H233" s="980"/>
    </row>
    <row r="234" spans="1:8">
      <c r="A234" s="981" t="s">
        <v>700</v>
      </c>
      <c r="B234" s="980"/>
      <c r="C234" s="980"/>
      <c r="D234" s="980"/>
      <c r="E234" s="980"/>
      <c r="F234" s="980"/>
      <c r="G234" s="980"/>
      <c r="H234" s="980"/>
    </row>
    <row r="235" spans="1:8">
      <c r="A235" s="981" t="s">
        <v>701</v>
      </c>
      <c r="B235" s="980"/>
      <c r="C235" s="980"/>
      <c r="D235" s="980"/>
      <c r="E235" s="980"/>
      <c r="F235" s="980"/>
      <c r="G235" s="980"/>
      <c r="H235" s="980"/>
    </row>
    <row r="236" spans="1:8">
      <c r="A236" s="981" t="s">
        <v>702</v>
      </c>
      <c r="B236" s="980"/>
      <c r="C236" s="980"/>
      <c r="D236" s="980"/>
      <c r="E236" s="980"/>
      <c r="F236" s="980"/>
      <c r="G236" s="980"/>
      <c r="H236" s="980"/>
    </row>
    <row r="237" spans="1:8">
      <c r="A237" s="981" t="s">
        <v>703</v>
      </c>
      <c r="B237" s="980"/>
      <c r="C237" s="980"/>
      <c r="D237" s="980"/>
      <c r="E237" s="980"/>
      <c r="F237" s="980"/>
      <c r="G237" s="980"/>
      <c r="H237" s="980"/>
    </row>
    <row r="238" spans="1:8">
      <c r="A238" s="981" t="s">
        <v>704</v>
      </c>
      <c r="B238" s="980"/>
      <c r="C238" s="980"/>
      <c r="D238" s="980"/>
      <c r="E238" s="980"/>
      <c r="F238" s="980"/>
      <c r="G238" s="980"/>
      <c r="H238" s="980"/>
    </row>
    <row r="239" spans="1:8">
      <c r="A239" s="981" t="s">
        <v>705</v>
      </c>
      <c r="B239" s="980"/>
      <c r="C239" s="980"/>
      <c r="D239" s="980"/>
      <c r="E239" s="980"/>
      <c r="F239" s="980"/>
      <c r="G239" s="980"/>
      <c r="H239" s="980"/>
    </row>
    <row r="240" spans="1:8">
      <c r="A240" s="981" t="s">
        <v>706</v>
      </c>
      <c r="B240" s="980"/>
      <c r="C240" s="980"/>
      <c r="D240" s="980"/>
      <c r="E240" s="980"/>
      <c r="F240" s="980"/>
      <c r="G240" s="980"/>
      <c r="H240" s="980"/>
    </row>
    <row r="241" spans="1:8">
      <c r="A241" s="981" t="s">
        <v>707</v>
      </c>
      <c r="B241" s="980"/>
      <c r="C241" s="980"/>
      <c r="D241" s="980"/>
      <c r="E241" s="980"/>
      <c r="F241" s="980"/>
      <c r="G241" s="980"/>
      <c r="H241" s="980"/>
    </row>
    <row r="242" spans="1:8">
      <c r="A242" s="981" t="s">
        <v>708</v>
      </c>
      <c r="B242" s="980"/>
      <c r="C242" s="980"/>
      <c r="D242" s="980"/>
      <c r="E242" s="980"/>
      <c r="F242" s="980"/>
      <c r="G242" s="980"/>
      <c r="H242" s="980"/>
    </row>
    <row r="243" spans="1:8">
      <c r="A243" s="981" t="s">
        <v>709</v>
      </c>
      <c r="B243" s="980"/>
      <c r="C243" s="980"/>
      <c r="D243" s="980"/>
      <c r="E243" s="980"/>
      <c r="F243" s="980"/>
      <c r="G243" s="980"/>
      <c r="H243" s="980"/>
    </row>
    <row r="244" spans="1:8">
      <c r="A244" s="980"/>
      <c r="B244" s="980"/>
      <c r="C244" s="980"/>
      <c r="D244" s="980"/>
      <c r="E244" s="980"/>
      <c r="F244" s="980"/>
      <c r="G244" s="980"/>
      <c r="H244" s="980"/>
    </row>
    <row r="245" spans="1:8">
      <c r="A245" s="981" t="s">
        <v>698</v>
      </c>
      <c r="B245" s="980"/>
      <c r="C245" s="980"/>
      <c r="D245" s="980"/>
      <c r="E245" s="980"/>
      <c r="F245" s="980"/>
      <c r="G245" s="980"/>
      <c r="H245" s="980"/>
    </row>
    <row r="246" spans="1:8">
      <c r="A246" s="981" t="s">
        <v>699</v>
      </c>
      <c r="B246" s="980"/>
      <c r="C246" s="980"/>
      <c r="D246" s="980"/>
      <c r="E246" s="980"/>
      <c r="F246" s="980"/>
      <c r="G246" s="980"/>
      <c r="H246" s="980"/>
    </row>
    <row r="247" spans="1:8">
      <c r="A247" s="980"/>
      <c r="B247" s="980"/>
      <c r="C247" s="980"/>
      <c r="D247" s="980"/>
      <c r="E247" s="980"/>
      <c r="F247" s="980"/>
      <c r="G247" s="980"/>
      <c r="H247" s="980"/>
    </row>
    <row r="248" spans="1:8">
      <c r="A248" s="981" t="s">
        <v>682</v>
      </c>
      <c r="B248" s="980"/>
      <c r="C248" s="980"/>
      <c r="D248" s="980"/>
      <c r="E248" s="980"/>
      <c r="F248" s="980"/>
      <c r="G248" s="980"/>
      <c r="H248" s="980"/>
    </row>
    <row r="249" spans="1:8">
      <c r="A249" s="981" t="s">
        <v>683</v>
      </c>
      <c r="B249" s="980"/>
      <c r="C249" s="980"/>
      <c r="D249" s="980"/>
      <c r="E249" s="980"/>
      <c r="F249" s="980"/>
      <c r="G249" s="980"/>
      <c r="H249" s="980"/>
    </row>
    <row r="250" spans="1:8">
      <c r="A250" s="981" t="s">
        <v>684</v>
      </c>
      <c r="B250" s="980"/>
      <c r="C250" s="980"/>
      <c r="D250" s="980"/>
      <c r="E250" s="980"/>
      <c r="F250" s="980"/>
      <c r="G250" s="980"/>
      <c r="H250" s="980"/>
    </row>
    <row r="251" spans="1:8">
      <c r="A251" s="981" t="s">
        <v>685</v>
      </c>
      <c r="B251" s="980"/>
      <c r="C251" s="980"/>
      <c r="D251" s="980"/>
      <c r="E251" s="980"/>
      <c r="F251" s="980"/>
      <c r="G251" s="980"/>
      <c r="H251" s="980"/>
    </row>
    <row r="252" spans="1:8">
      <c r="A252" s="981" t="s">
        <v>686</v>
      </c>
      <c r="B252" s="980"/>
      <c r="C252" s="980"/>
      <c r="D252" s="980"/>
      <c r="E252" s="980"/>
      <c r="F252" s="980"/>
      <c r="G252" s="980"/>
      <c r="H252" s="980"/>
    </row>
    <row r="253" spans="1:8">
      <c r="A253" s="981" t="s">
        <v>687</v>
      </c>
      <c r="B253" s="980"/>
      <c r="C253" s="980"/>
      <c r="D253" s="980"/>
      <c r="E253" s="980"/>
      <c r="F253" s="980"/>
      <c r="G253" s="980"/>
      <c r="H253" s="980"/>
    </row>
    <row r="254" spans="1:8">
      <c r="A254" s="981" t="s">
        <v>688</v>
      </c>
      <c r="B254" s="980"/>
      <c r="C254" s="980"/>
      <c r="D254" s="980"/>
      <c r="E254" s="980"/>
      <c r="F254" s="980"/>
      <c r="G254" s="980"/>
      <c r="H254" s="980"/>
    </row>
    <row r="255" spans="1:8">
      <c r="A255" s="981" t="s">
        <v>689</v>
      </c>
      <c r="B255" s="980"/>
      <c r="C255" s="980"/>
      <c r="D255" s="980"/>
      <c r="E255" s="980"/>
      <c r="F255" s="980"/>
      <c r="G255" s="980"/>
      <c r="H255" s="980"/>
    </row>
    <row r="256" spans="1:8">
      <c r="A256" s="981" t="s">
        <v>690</v>
      </c>
      <c r="B256" s="980"/>
      <c r="C256" s="980"/>
      <c r="D256" s="980"/>
      <c r="E256" s="980"/>
      <c r="F256" s="980"/>
      <c r="G256" s="980"/>
      <c r="H256" s="980"/>
    </row>
    <row r="257" spans="1:8">
      <c r="A257" s="981" t="s">
        <v>691</v>
      </c>
      <c r="B257" s="980"/>
      <c r="C257" s="980"/>
      <c r="D257" s="980"/>
      <c r="E257" s="980"/>
      <c r="F257" s="980"/>
      <c r="G257" s="980"/>
      <c r="H257" s="980"/>
    </row>
    <row r="258" spans="1:8">
      <c r="A258" s="981" t="s">
        <v>692</v>
      </c>
      <c r="B258" s="980"/>
      <c r="C258" s="980"/>
      <c r="D258" s="980"/>
      <c r="E258" s="980"/>
      <c r="F258" s="980"/>
      <c r="G258" s="980"/>
      <c r="H258" s="980"/>
    </row>
    <row r="259" spans="1:8">
      <c r="A259" s="981" t="s">
        <v>693</v>
      </c>
      <c r="B259" s="980"/>
      <c r="C259" s="980"/>
      <c r="D259" s="980"/>
      <c r="E259" s="980"/>
      <c r="F259" s="980"/>
      <c r="G259" s="980"/>
      <c r="H259" s="980"/>
    </row>
    <row r="260" spans="1:8">
      <c r="A260" s="981" t="s">
        <v>694</v>
      </c>
      <c r="B260" s="980"/>
      <c r="C260" s="980"/>
      <c r="D260" s="980"/>
      <c r="E260" s="980"/>
      <c r="F260" s="980"/>
      <c r="G260" s="980"/>
      <c r="H260" s="980"/>
    </row>
    <row r="261" spans="1:8">
      <c r="A261" s="981" t="s">
        <v>695</v>
      </c>
      <c r="B261" s="980"/>
      <c r="C261" s="980"/>
      <c r="D261" s="980"/>
      <c r="E261" s="980"/>
      <c r="F261" s="980"/>
      <c r="G261" s="980"/>
      <c r="H261" s="980"/>
    </row>
    <row r="262" spans="1:8">
      <c r="A262" s="981" t="s">
        <v>696</v>
      </c>
      <c r="B262" s="980"/>
      <c r="C262" s="980"/>
      <c r="D262" s="980"/>
      <c r="E262" s="980"/>
      <c r="F262" s="980"/>
      <c r="G262" s="980"/>
      <c r="H262" s="980"/>
    </row>
    <row r="263" spans="1:8">
      <c r="A263" s="981" t="s">
        <v>697</v>
      </c>
      <c r="B263" s="980"/>
      <c r="C263" s="980"/>
      <c r="D263" s="980"/>
      <c r="E263" s="980"/>
      <c r="F263" s="980"/>
      <c r="G263" s="980"/>
      <c r="H263" s="980"/>
    </row>
    <row r="264" spans="1:8">
      <c r="A264" s="980"/>
      <c r="B264" s="980"/>
      <c r="C264" s="980"/>
      <c r="D264" s="980"/>
      <c r="E264" s="980"/>
      <c r="F264" s="980"/>
      <c r="G264" s="980"/>
      <c r="H264" s="980"/>
    </row>
    <row r="265" spans="1:8">
      <c r="A265" s="981" t="s">
        <v>675</v>
      </c>
      <c r="B265" s="980"/>
      <c r="C265" s="980"/>
      <c r="D265" s="980"/>
      <c r="E265" s="980"/>
      <c r="F265" s="980"/>
      <c r="G265" s="980"/>
      <c r="H265" s="980"/>
    </row>
    <row r="266" spans="1:8">
      <c r="A266" s="981" t="s">
        <v>676</v>
      </c>
      <c r="B266" s="980"/>
      <c r="C266" s="980"/>
      <c r="D266" s="980"/>
      <c r="E266" s="980"/>
      <c r="F266" s="980"/>
      <c r="G266" s="980"/>
      <c r="H266" s="980"/>
    </row>
    <row r="267" spans="1:8">
      <c r="A267" s="981" t="s">
        <v>677</v>
      </c>
      <c r="B267" s="980"/>
      <c r="C267" s="980"/>
      <c r="D267" s="980"/>
      <c r="E267" s="980"/>
      <c r="F267" s="980"/>
      <c r="G267" s="980"/>
      <c r="H267" s="980"/>
    </row>
    <row r="268" spans="1:8">
      <c r="A268" s="981" t="s">
        <v>678</v>
      </c>
      <c r="B268" s="980"/>
      <c r="C268" s="980"/>
      <c r="D268" s="980"/>
      <c r="E268" s="980"/>
      <c r="F268" s="980"/>
      <c r="G268" s="980"/>
      <c r="H268" s="980"/>
    </row>
    <row r="269" spans="1:8">
      <c r="A269" s="981" t="s">
        <v>679</v>
      </c>
      <c r="B269" s="980"/>
      <c r="C269" s="980"/>
      <c r="D269" s="980"/>
      <c r="E269" s="980"/>
      <c r="F269" s="980"/>
      <c r="G269" s="980"/>
      <c r="H269" s="980"/>
    </row>
    <row r="270" spans="1:8">
      <c r="A270" s="981" t="s">
        <v>680</v>
      </c>
      <c r="B270" s="980"/>
      <c r="C270" s="980"/>
      <c r="D270" s="980"/>
      <c r="E270" s="980"/>
      <c r="F270" s="980"/>
      <c r="G270" s="980"/>
      <c r="H270" s="980"/>
    </row>
    <row r="271" spans="1:8">
      <c r="A271" s="981" t="s">
        <v>681</v>
      </c>
      <c r="B271" s="980"/>
      <c r="C271" s="980"/>
      <c r="D271" s="980"/>
      <c r="E271" s="980"/>
      <c r="F271" s="980"/>
      <c r="G271" s="980"/>
      <c r="H271" s="980"/>
    </row>
    <row r="272" spans="1:8">
      <c r="A272" s="980"/>
      <c r="B272" s="980"/>
      <c r="C272" s="980"/>
      <c r="D272" s="980"/>
      <c r="E272" s="980"/>
      <c r="F272" s="980"/>
      <c r="G272" s="980"/>
      <c r="H272" s="980"/>
    </row>
    <row r="273" spans="1:8">
      <c r="A273" s="981" t="s">
        <v>666</v>
      </c>
      <c r="B273" s="980"/>
      <c r="C273" s="980"/>
      <c r="D273" s="980"/>
      <c r="E273" s="980"/>
      <c r="F273" s="980"/>
      <c r="G273" s="980"/>
      <c r="H273" s="980"/>
    </row>
    <row r="274" spans="1:8">
      <c r="A274" s="981" t="s">
        <v>667</v>
      </c>
      <c r="B274" s="980"/>
      <c r="C274" s="980"/>
      <c r="D274" s="980"/>
      <c r="E274" s="980"/>
      <c r="F274" s="980"/>
      <c r="G274" s="980"/>
      <c r="H274" s="980"/>
    </row>
    <row r="275" spans="1:8">
      <c r="A275" s="981" t="s">
        <v>668</v>
      </c>
      <c r="B275" s="980"/>
      <c r="C275" s="980"/>
      <c r="D275" s="980"/>
      <c r="E275" s="980"/>
      <c r="F275" s="980"/>
      <c r="G275" s="980"/>
      <c r="H275" s="980"/>
    </row>
    <row r="276" spans="1:8">
      <c r="A276" s="981" t="s">
        <v>669</v>
      </c>
      <c r="B276" s="980"/>
      <c r="C276" s="980"/>
      <c r="D276" s="980"/>
      <c r="E276" s="980"/>
      <c r="F276" s="980"/>
      <c r="G276" s="980"/>
      <c r="H276" s="980"/>
    </row>
    <row r="277" spans="1:8">
      <c r="A277" s="981" t="s">
        <v>670</v>
      </c>
      <c r="B277" s="980"/>
      <c r="C277" s="980"/>
      <c r="D277" s="980"/>
      <c r="E277" s="980"/>
      <c r="F277" s="980"/>
      <c r="G277" s="980"/>
      <c r="H277" s="980"/>
    </row>
    <row r="278" spans="1:8">
      <c r="A278" s="981" t="s">
        <v>671</v>
      </c>
      <c r="B278" s="980"/>
      <c r="C278" s="980"/>
      <c r="D278" s="980"/>
      <c r="E278" s="980"/>
      <c r="F278" s="980"/>
      <c r="G278" s="980"/>
      <c r="H278" s="980"/>
    </row>
    <row r="279" spans="1:8">
      <c r="A279" s="981" t="s">
        <v>672</v>
      </c>
      <c r="B279" s="980"/>
      <c r="C279" s="980"/>
      <c r="D279" s="980"/>
      <c r="E279" s="980"/>
      <c r="F279" s="980"/>
      <c r="G279" s="980"/>
      <c r="H279" s="980"/>
    </row>
    <row r="280" spans="1:8">
      <c r="A280" s="981" t="s">
        <v>673</v>
      </c>
      <c r="B280" s="980"/>
      <c r="C280" s="980"/>
      <c r="D280" s="980"/>
      <c r="E280" s="980"/>
      <c r="F280" s="980"/>
      <c r="G280" s="980"/>
      <c r="H280" s="980"/>
    </row>
    <row r="281" spans="1:8">
      <c r="A281" s="981" t="s">
        <v>674</v>
      </c>
      <c r="B281" s="980"/>
      <c r="C281" s="980"/>
      <c r="D281" s="980"/>
      <c r="E281" s="980"/>
      <c r="F281" s="980"/>
      <c r="G281" s="980"/>
      <c r="H281" s="980"/>
    </row>
    <row r="282" spans="1:8">
      <c r="A282" s="980"/>
      <c r="B282" s="980"/>
      <c r="C282" s="980"/>
      <c r="D282" s="980"/>
      <c r="E282" s="980"/>
      <c r="F282" s="980"/>
      <c r="G282" s="980"/>
      <c r="H282" s="980"/>
    </row>
    <row r="283" spans="1:8">
      <c r="A283" s="981" t="s">
        <v>659</v>
      </c>
      <c r="B283" s="980"/>
      <c r="C283" s="980"/>
      <c r="D283" s="980"/>
      <c r="E283" s="980"/>
      <c r="F283" s="980"/>
      <c r="G283" s="980"/>
      <c r="H283" s="980"/>
    </row>
    <row r="284" spans="1:8">
      <c r="A284" s="981" t="s">
        <v>660</v>
      </c>
      <c r="B284" s="980"/>
      <c r="C284" s="980"/>
      <c r="D284" s="980"/>
      <c r="E284" s="980"/>
      <c r="F284" s="980"/>
      <c r="G284" s="980"/>
      <c r="H284" s="980"/>
    </row>
    <row r="285" spans="1:8">
      <c r="A285" s="981" t="s">
        <v>661</v>
      </c>
      <c r="B285" s="980"/>
      <c r="C285" s="980"/>
      <c r="D285" s="980"/>
      <c r="E285" s="980"/>
      <c r="F285" s="980"/>
      <c r="G285" s="980"/>
      <c r="H285" s="980"/>
    </row>
    <row r="286" spans="1:8">
      <c r="A286" s="981" t="s">
        <v>662</v>
      </c>
      <c r="B286" s="980"/>
      <c r="C286" s="980"/>
      <c r="D286" s="980"/>
      <c r="E286" s="980"/>
      <c r="F286" s="980"/>
      <c r="G286" s="980"/>
      <c r="H286" s="980"/>
    </row>
    <row r="287" spans="1:8">
      <c r="A287" s="981" t="s">
        <v>663</v>
      </c>
      <c r="B287" s="980"/>
      <c r="C287" s="980"/>
      <c r="D287" s="980"/>
      <c r="E287" s="980"/>
      <c r="F287" s="980"/>
      <c r="G287" s="980"/>
      <c r="H287" s="980"/>
    </row>
    <row r="288" spans="1:8">
      <c r="A288" s="981" t="s">
        <v>664</v>
      </c>
      <c r="B288" s="980"/>
      <c r="C288" s="980"/>
      <c r="D288" s="980"/>
      <c r="E288" s="980"/>
      <c r="F288" s="980"/>
      <c r="G288" s="980"/>
      <c r="H288" s="980"/>
    </row>
    <row r="289" spans="1:8">
      <c r="A289" s="981" t="s">
        <v>665</v>
      </c>
      <c r="B289" s="980"/>
      <c r="C289" s="980"/>
      <c r="D289" s="980"/>
      <c r="E289" s="980"/>
      <c r="F289" s="980"/>
      <c r="G289" s="980"/>
      <c r="H289" s="980"/>
    </row>
    <row r="290" spans="1:8">
      <c r="A290" s="980"/>
      <c r="B290" s="980"/>
      <c r="C290" s="980"/>
      <c r="D290" s="980"/>
      <c r="E290" s="980"/>
      <c r="F290" s="980"/>
      <c r="G290" s="980"/>
      <c r="H290" s="980"/>
    </row>
    <row r="291" spans="1:8">
      <c r="A291" s="981" t="s">
        <v>656</v>
      </c>
      <c r="B291" s="980"/>
      <c r="C291" s="980"/>
      <c r="D291" s="980"/>
      <c r="E291" s="980"/>
      <c r="F291" s="980"/>
      <c r="G291" s="980"/>
      <c r="H291" s="980"/>
    </row>
    <row r="292" spans="1:8">
      <c r="A292" s="981" t="s">
        <v>657</v>
      </c>
      <c r="B292" s="980"/>
      <c r="C292" s="980"/>
      <c r="D292" s="980"/>
      <c r="E292" s="980"/>
      <c r="F292" s="980"/>
      <c r="G292" s="980"/>
      <c r="H292" s="980"/>
    </row>
    <row r="293" spans="1:8">
      <c r="A293" s="981" t="s">
        <v>658</v>
      </c>
      <c r="B293" s="980"/>
      <c r="C293" s="980"/>
      <c r="D293" s="980"/>
      <c r="E293" s="980"/>
      <c r="F293" s="980"/>
      <c r="G293" s="980"/>
      <c r="H293" s="980"/>
    </row>
    <row r="294" spans="1:8">
      <c r="A294" s="980"/>
      <c r="B294" s="980"/>
      <c r="C294" s="980"/>
      <c r="D294" s="980"/>
      <c r="E294" s="980"/>
      <c r="F294" s="980"/>
      <c r="G294" s="980"/>
      <c r="H294" s="980"/>
    </row>
    <row r="295" spans="1:8">
      <c r="A295" s="981" t="s">
        <v>654</v>
      </c>
      <c r="B295" s="980"/>
      <c r="C295" s="980"/>
      <c r="D295" s="980"/>
      <c r="E295" s="980"/>
      <c r="F295" s="980"/>
      <c r="G295" s="980"/>
      <c r="H295" s="980"/>
    </row>
    <row r="296" spans="1:8">
      <c r="A296" s="981" t="s">
        <v>655</v>
      </c>
      <c r="B296" s="980"/>
      <c r="C296" s="980"/>
      <c r="D296" s="980"/>
      <c r="E296" s="980"/>
      <c r="F296" s="980"/>
      <c r="G296" s="980"/>
      <c r="H296" s="980"/>
    </row>
    <row r="297" spans="1:8">
      <c r="A297" s="980"/>
      <c r="B297" s="980"/>
      <c r="C297" s="980"/>
      <c r="D297" s="980"/>
      <c r="E297" s="980"/>
      <c r="F297" s="980"/>
      <c r="G297" s="980"/>
      <c r="H297" s="980"/>
    </row>
    <row r="298" spans="1:8">
      <c r="A298" s="981" t="s">
        <v>641</v>
      </c>
      <c r="B298" s="980"/>
      <c r="C298" s="980"/>
      <c r="D298" s="980"/>
      <c r="E298" s="980"/>
      <c r="F298" s="980"/>
      <c r="G298" s="980"/>
      <c r="H298" s="980"/>
    </row>
    <row r="299" spans="1:8">
      <c r="A299" s="981" t="s">
        <v>642</v>
      </c>
      <c r="B299" s="980"/>
      <c r="C299" s="980"/>
      <c r="D299" s="980"/>
      <c r="E299" s="980"/>
      <c r="F299" s="980"/>
      <c r="G299" s="980"/>
      <c r="H299" s="980"/>
    </row>
    <row r="300" spans="1:8">
      <c r="A300" s="981" t="s">
        <v>643</v>
      </c>
      <c r="B300" s="980"/>
      <c r="C300" s="980"/>
      <c r="D300" s="980"/>
      <c r="E300" s="980"/>
      <c r="F300" s="980"/>
      <c r="G300" s="980"/>
      <c r="H300" s="980"/>
    </row>
    <row r="301" spans="1:8">
      <c r="A301" s="981" t="s">
        <v>644</v>
      </c>
      <c r="B301" s="980"/>
      <c r="C301" s="980"/>
      <c r="D301" s="980"/>
      <c r="E301" s="980"/>
      <c r="F301" s="980"/>
      <c r="G301" s="980"/>
      <c r="H301" s="980"/>
    </row>
    <row r="302" spans="1:8">
      <c r="A302" s="981" t="s">
        <v>645</v>
      </c>
      <c r="B302" s="980"/>
      <c r="C302" s="980"/>
      <c r="D302" s="980"/>
      <c r="E302" s="980"/>
      <c r="F302" s="980"/>
      <c r="G302" s="980"/>
      <c r="H302" s="980"/>
    </row>
    <row r="303" spans="1:8">
      <c r="A303" s="981" t="s">
        <v>646</v>
      </c>
      <c r="B303" s="980"/>
      <c r="C303" s="980"/>
      <c r="D303" s="980"/>
      <c r="E303" s="980"/>
      <c r="F303" s="980"/>
      <c r="G303" s="980"/>
      <c r="H303" s="980"/>
    </row>
    <row r="304" spans="1:8">
      <c r="A304" s="981" t="s">
        <v>647</v>
      </c>
      <c r="B304" s="980"/>
      <c r="C304" s="980"/>
      <c r="D304" s="980"/>
      <c r="E304" s="980"/>
      <c r="F304" s="980"/>
      <c r="G304" s="980"/>
      <c r="H304" s="980"/>
    </row>
    <row r="305" spans="1:8">
      <c r="A305" s="981" t="s">
        <v>648</v>
      </c>
      <c r="B305" s="980"/>
      <c r="C305" s="980"/>
      <c r="D305" s="980"/>
      <c r="E305" s="980"/>
      <c r="F305" s="980"/>
      <c r="G305" s="980"/>
      <c r="H305" s="980"/>
    </row>
    <row r="306" spans="1:8">
      <c r="A306" s="981" t="s">
        <v>649</v>
      </c>
      <c r="B306" s="980"/>
      <c r="C306" s="980"/>
      <c r="D306" s="980"/>
      <c r="E306" s="980"/>
      <c r="F306" s="980"/>
      <c r="G306" s="980"/>
      <c r="H306" s="980"/>
    </row>
    <row r="307" spans="1:8">
      <c r="A307" s="981" t="s">
        <v>650</v>
      </c>
      <c r="B307" s="980"/>
      <c r="C307" s="980"/>
      <c r="D307" s="980"/>
      <c r="E307" s="980"/>
      <c r="F307" s="980"/>
      <c r="G307" s="980"/>
      <c r="H307" s="980"/>
    </row>
    <row r="308" spans="1:8">
      <c r="A308" s="981" t="s">
        <v>651</v>
      </c>
      <c r="B308" s="980"/>
      <c r="C308" s="980"/>
      <c r="D308" s="980"/>
      <c r="E308" s="980"/>
      <c r="F308" s="980"/>
      <c r="G308" s="980"/>
      <c r="H308" s="980"/>
    </row>
    <row r="309" spans="1:8">
      <c r="A309" s="981" t="s">
        <v>652</v>
      </c>
      <c r="B309" s="980"/>
      <c r="C309" s="980"/>
      <c r="D309" s="980"/>
      <c r="E309" s="980"/>
      <c r="F309" s="980"/>
      <c r="G309" s="980"/>
      <c r="H309" s="980"/>
    </row>
    <row r="310" spans="1:8">
      <c r="A310" s="981" t="s">
        <v>653</v>
      </c>
      <c r="B310" s="980"/>
      <c r="C310" s="980"/>
      <c r="D310" s="980"/>
      <c r="E310" s="980"/>
      <c r="F310" s="980"/>
      <c r="G310" s="980"/>
      <c r="H310" s="980"/>
    </row>
    <row r="311" spans="1:8">
      <c r="A311" s="980"/>
      <c r="B311" s="980"/>
      <c r="C311" s="980"/>
      <c r="D311" s="980"/>
      <c r="E311" s="980"/>
      <c r="F311" s="980"/>
      <c r="G311" s="980"/>
      <c r="H311" s="980"/>
    </row>
    <row r="312" spans="1:8">
      <c r="A312" s="981" t="s">
        <v>633</v>
      </c>
      <c r="B312" s="980"/>
      <c r="C312" s="980"/>
      <c r="D312" s="980"/>
      <c r="E312" s="980"/>
      <c r="F312" s="980"/>
      <c r="G312" s="980"/>
      <c r="H312" s="980"/>
    </row>
    <row r="313" spans="1:8">
      <c r="A313" s="981" t="s">
        <v>634</v>
      </c>
      <c r="B313" s="980"/>
      <c r="C313" s="980"/>
      <c r="D313" s="980"/>
      <c r="E313" s="980"/>
      <c r="F313" s="980"/>
      <c r="G313" s="980"/>
      <c r="H313" s="980"/>
    </row>
    <row r="314" spans="1:8">
      <c r="A314" s="981" t="s">
        <v>635</v>
      </c>
      <c r="B314" s="980"/>
      <c r="C314" s="980"/>
      <c r="D314" s="980"/>
      <c r="E314" s="980"/>
      <c r="F314" s="980"/>
      <c r="G314" s="980"/>
      <c r="H314" s="980"/>
    </row>
    <row r="315" spans="1:8">
      <c r="A315" s="981" t="s">
        <v>636</v>
      </c>
      <c r="B315" s="980"/>
      <c r="C315" s="980"/>
      <c r="D315" s="980"/>
      <c r="E315" s="980"/>
      <c r="F315" s="980"/>
      <c r="G315" s="980"/>
      <c r="H315" s="980"/>
    </row>
    <row r="316" spans="1:8">
      <c r="A316" s="981" t="s">
        <v>637</v>
      </c>
      <c r="B316" s="980"/>
      <c r="C316" s="980"/>
      <c r="D316" s="980"/>
      <c r="E316" s="980"/>
      <c r="F316" s="980"/>
      <c r="G316" s="980"/>
      <c r="H316" s="980"/>
    </row>
    <row r="317" spans="1:8">
      <c r="A317" s="981" t="s">
        <v>638</v>
      </c>
      <c r="B317" s="980"/>
      <c r="C317" s="980"/>
      <c r="D317" s="980"/>
      <c r="E317" s="980"/>
      <c r="F317" s="980"/>
      <c r="G317" s="980"/>
      <c r="H317" s="980"/>
    </row>
    <row r="318" spans="1:8">
      <c r="A318" s="981" t="s">
        <v>639</v>
      </c>
      <c r="B318" s="980"/>
      <c r="C318" s="980"/>
      <c r="D318" s="980"/>
      <c r="E318" s="980"/>
      <c r="F318" s="980"/>
      <c r="G318" s="980"/>
      <c r="H318" s="980"/>
    </row>
    <row r="319" spans="1:8">
      <c r="A319" s="981" t="s">
        <v>640</v>
      </c>
      <c r="B319" s="980"/>
      <c r="C319" s="980"/>
      <c r="D319" s="980"/>
      <c r="E319" s="980"/>
      <c r="F319" s="980"/>
      <c r="G319" s="980"/>
      <c r="H319" s="980"/>
    </row>
    <row r="320" spans="1:8">
      <c r="A320" s="980"/>
      <c r="B320" s="980"/>
      <c r="C320" s="980"/>
      <c r="D320" s="980"/>
      <c r="E320" s="980"/>
      <c r="F320" s="980"/>
      <c r="G320" s="980"/>
      <c r="H320" s="980"/>
    </row>
    <row r="321" spans="1:8">
      <c r="A321" s="981" t="s">
        <v>598</v>
      </c>
      <c r="B321" s="980"/>
      <c r="C321" s="980"/>
      <c r="D321" s="980"/>
      <c r="E321" s="980"/>
      <c r="F321" s="980"/>
      <c r="G321" s="980"/>
      <c r="H321" s="980"/>
    </row>
    <row r="322" spans="1:8">
      <c r="A322" s="981" t="s">
        <v>599</v>
      </c>
      <c r="B322" s="980"/>
      <c r="C322" s="980"/>
      <c r="D322" s="980"/>
      <c r="E322" s="980"/>
      <c r="F322" s="980"/>
      <c r="G322" s="980"/>
      <c r="H322" s="980"/>
    </row>
    <row r="323" spans="1:8">
      <c r="A323" s="981" t="s">
        <v>600</v>
      </c>
      <c r="B323" s="980"/>
      <c r="C323" s="980"/>
      <c r="D323" s="980"/>
      <c r="E323" s="980"/>
      <c r="F323" s="980"/>
      <c r="G323" s="980"/>
      <c r="H323" s="980"/>
    </row>
    <row r="324" spans="1:8">
      <c r="A324" s="981" t="s">
        <v>601</v>
      </c>
      <c r="B324" s="980"/>
      <c r="C324" s="980"/>
      <c r="D324" s="980"/>
      <c r="E324" s="980"/>
      <c r="F324" s="980"/>
      <c r="G324" s="980"/>
      <c r="H324" s="980"/>
    </row>
    <row r="325" spans="1:8">
      <c r="A325" s="981" t="s">
        <v>602</v>
      </c>
      <c r="B325" s="980"/>
      <c r="C325" s="980"/>
      <c r="D325" s="980"/>
      <c r="E325" s="980"/>
      <c r="F325" s="980"/>
      <c r="G325" s="980"/>
      <c r="H325" s="980"/>
    </row>
    <row r="326" spans="1:8">
      <c r="A326" s="981" t="s">
        <v>603</v>
      </c>
      <c r="B326" s="980"/>
      <c r="C326" s="980"/>
      <c r="D326" s="980"/>
      <c r="E326" s="980"/>
      <c r="F326" s="980"/>
      <c r="G326" s="980"/>
      <c r="H326" s="980"/>
    </row>
    <row r="327" spans="1:8">
      <c r="A327" s="981" t="s">
        <v>604</v>
      </c>
      <c r="B327" s="980"/>
      <c r="C327" s="980"/>
      <c r="D327" s="980"/>
      <c r="E327" s="980"/>
      <c r="F327" s="980"/>
      <c r="G327" s="980"/>
      <c r="H327" s="980"/>
    </row>
    <row r="328" spans="1:8">
      <c r="A328" s="981" t="s">
        <v>605</v>
      </c>
      <c r="B328" s="980"/>
      <c r="C328" s="980"/>
      <c r="D328" s="980"/>
      <c r="E328" s="980"/>
      <c r="F328" s="980"/>
      <c r="G328" s="980"/>
      <c r="H328" s="980"/>
    </row>
    <row r="329" spans="1:8">
      <c r="A329" s="981" t="s">
        <v>606</v>
      </c>
      <c r="B329" s="980"/>
      <c r="C329" s="980"/>
      <c r="D329" s="980"/>
      <c r="E329" s="980"/>
      <c r="F329" s="980"/>
      <c r="G329" s="980"/>
      <c r="H329" s="980"/>
    </row>
    <row r="330" spans="1:8">
      <c r="A330" s="981" t="s">
        <v>607</v>
      </c>
      <c r="B330" s="980"/>
      <c r="C330" s="980"/>
      <c r="D330" s="980"/>
      <c r="E330" s="980"/>
      <c r="F330" s="980"/>
      <c r="G330" s="980"/>
      <c r="H330" s="980"/>
    </row>
    <row r="331" spans="1:8">
      <c r="A331" s="981" t="s">
        <v>608</v>
      </c>
      <c r="B331" s="980"/>
      <c r="C331" s="980"/>
      <c r="D331" s="980"/>
      <c r="E331" s="980"/>
      <c r="F331" s="980"/>
      <c r="G331" s="980"/>
      <c r="H331" s="980"/>
    </row>
    <row r="332" spans="1:8">
      <c r="A332" s="981" t="s">
        <v>609</v>
      </c>
      <c r="B332" s="980"/>
      <c r="C332" s="980"/>
      <c r="D332" s="980"/>
      <c r="E332" s="980"/>
      <c r="F332" s="980"/>
      <c r="G332" s="980"/>
      <c r="H332" s="980"/>
    </row>
    <row r="333" spans="1:8">
      <c r="A333" s="981" t="s">
        <v>610</v>
      </c>
      <c r="B333" s="980"/>
      <c r="C333" s="980"/>
      <c r="D333" s="980"/>
      <c r="E333" s="980"/>
      <c r="F333" s="980"/>
      <c r="G333" s="980"/>
      <c r="H333" s="980"/>
    </row>
    <row r="334" spans="1:8">
      <c r="A334" s="981" t="s">
        <v>611</v>
      </c>
      <c r="B334" s="980"/>
      <c r="C334" s="980"/>
      <c r="D334" s="980"/>
      <c r="E334" s="980"/>
      <c r="F334" s="980"/>
      <c r="G334" s="980"/>
      <c r="H334" s="980"/>
    </row>
    <row r="335" spans="1:8">
      <c r="A335" s="981" t="s">
        <v>612</v>
      </c>
      <c r="B335" s="980"/>
      <c r="C335" s="980"/>
      <c r="D335" s="980"/>
      <c r="E335" s="980"/>
      <c r="F335" s="980"/>
      <c r="G335" s="980"/>
      <c r="H335" s="980"/>
    </row>
    <row r="336" spans="1:8">
      <c r="A336" s="981" t="s">
        <v>613</v>
      </c>
      <c r="B336" s="980"/>
      <c r="C336" s="980"/>
      <c r="D336" s="980"/>
      <c r="E336" s="980"/>
      <c r="F336" s="980"/>
      <c r="G336" s="980"/>
      <c r="H336" s="980"/>
    </row>
    <row r="337" spans="1:8">
      <c r="A337" s="981" t="s">
        <v>614</v>
      </c>
      <c r="B337" s="980"/>
      <c r="C337" s="980"/>
      <c r="D337" s="980"/>
      <c r="E337" s="980"/>
      <c r="F337" s="980"/>
      <c r="G337" s="980"/>
      <c r="H337" s="980"/>
    </row>
    <row r="338" spans="1:8">
      <c r="A338" s="981" t="s">
        <v>615</v>
      </c>
      <c r="B338" s="980"/>
      <c r="C338" s="980"/>
      <c r="D338" s="980"/>
      <c r="E338" s="980"/>
      <c r="F338" s="980"/>
      <c r="G338" s="980"/>
      <c r="H338" s="980"/>
    </row>
    <row r="339" spans="1:8">
      <c r="A339" s="981" t="s">
        <v>616</v>
      </c>
      <c r="B339" s="980"/>
      <c r="C339" s="980"/>
      <c r="D339" s="980"/>
      <c r="E339" s="980"/>
      <c r="F339" s="980"/>
      <c r="G339" s="980"/>
      <c r="H339" s="980"/>
    </row>
    <row r="340" spans="1:8">
      <c r="A340" s="981" t="s">
        <v>617</v>
      </c>
      <c r="B340" s="980"/>
      <c r="C340" s="980"/>
      <c r="D340" s="980"/>
      <c r="E340" s="980"/>
      <c r="F340" s="980"/>
      <c r="G340" s="980"/>
      <c r="H340" s="980"/>
    </row>
    <row r="341" spans="1:8">
      <c r="A341" s="981" t="s">
        <v>618</v>
      </c>
      <c r="B341" s="980"/>
      <c r="C341" s="980"/>
      <c r="D341" s="980"/>
      <c r="E341" s="980"/>
      <c r="F341" s="980"/>
      <c r="G341" s="980"/>
      <c r="H341" s="980"/>
    </row>
    <row r="342" spans="1:8">
      <c r="A342" s="981" t="s">
        <v>619</v>
      </c>
      <c r="B342" s="980"/>
      <c r="C342" s="980"/>
      <c r="D342" s="980"/>
      <c r="E342" s="980"/>
      <c r="F342" s="980"/>
      <c r="G342" s="980"/>
      <c r="H342" s="980"/>
    </row>
    <row r="343" spans="1:8">
      <c r="A343" s="981" t="s">
        <v>620</v>
      </c>
      <c r="B343" s="980"/>
      <c r="C343" s="980"/>
      <c r="D343" s="980"/>
      <c r="E343" s="980"/>
      <c r="F343" s="980"/>
      <c r="G343" s="980"/>
      <c r="H343" s="980"/>
    </row>
    <row r="344" spans="1:8">
      <c r="A344" s="981" t="s">
        <v>621</v>
      </c>
      <c r="B344" s="980"/>
      <c r="C344" s="980"/>
      <c r="D344" s="980"/>
      <c r="E344" s="980"/>
      <c r="F344" s="980"/>
      <c r="G344" s="980"/>
      <c r="H344" s="980"/>
    </row>
    <row r="345" spans="1:8">
      <c r="A345" s="981" t="s">
        <v>622</v>
      </c>
      <c r="B345" s="980"/>
      <c r="C345" s="980"/>
      <c r="D345" s="980"/>
      <c r="E345" s="980"/>
      <c r="F345" s="980"/>
      <c r="G345" s="980"/>
      <c r="H345" s="980"/>
    </row>
    <row r="346" spans="1:8">
      <c r="A346" s="981" t="s">
        <v>623</v>
      </c>
      <c r="B346" s="980"/>
      <c r="C346" s="980"/>
      <c r="D346" s="980"/>
      <c r="E346" s="980"/>
      <c r="F346" s="980"/>
      <c r="G346" s="980"/>
      <c r="H346" s="980"/>
    </row>
    <row r="347" spans="1:8">
      <c r="A347" s="981" t="s">
        <v>624</v>
      </c>
      <c r="B347" s="980"/>
      <c r="C347" s="980"/>
      <c r="D347" s="980"/>
      <c r="E347" s="980"/>
      <c r="F347" s="980"/>
      <c r="G347" s="980"/>
      <c r="H347" s="980"/>
    </row>
    <row r="348" spans="1:8">
      <c r="A348" s="981" t="s">
        <v>625</v>
      </c>
      <c r="B348" s="980"/>
      <c r="C348" s="980"/>
      <c r="D348" s="980"/>
      <c r="E348" s="980"/>
      <c r="F348" s="980"/>
      <c r="G348" s="980"/>
      <c r="H348" s="980"/>
    </row>
    <row r="349" spans="1:8">
      <c r="A349" s="981" t="s">
        <v>626</v>
      </c>
      <c r="B349" s="980"/>
      <c r="C349" s="980"/>
      <c r="D349" s="980"/>
      <c r="E349" s="980"/>
      <c r="F349" s="980"/>
      <c r="G349" s="980"/>
      <c r="H349" s="980"/>
    </row>
    <row r="350" spans="1:8">
      <c r="A350" s="981" t="s">
        <v>627</v>
      </c>
      <c r="B350" s="980"/>
      <c r="C350" s="980"/>
      <c r="D350" s="980"/>
      <c r="E350" s="980"/>
      <c r="F350" s="980"/>
      <c r="G350" s="980"/>
      <c r="H350" s="980"/>
    </row>
    <row r="351" spans="1:8">
      <c r="A351" s="981" t="s">
        <v>628</v>
      </c>
      <c r="B351" s="980"/>
      <c r="C351" s="980"/>
      <c r="D351" s="980"/>
      <c r="E351" s="980"/>
      <c r="F351" s="980"/>
      <c r="G351" s="980"/>
      <c r="H351" s="980"/>
    </row>
    <row r="352" spans="1:8">
      <c r="A352" s="981" t="s">
        <v>629</v>
      </c>
      <c r="B352" s="980"/>
      <c r="C352" s="980"/>
      <c r="D352" s="980"/>
      <c r="E352" s="980"/>
      <c r="F352" s="980"/>
      <c r="G352" s="980"/>
      <c r="H352" s="980"/>
    </row>
    <row r="353" spans="1:8">
      <c r="A353" s="981" t="s">
        <v>630</v>
      </c>
      <c r="B353" s="980"/>
      <c r="C353" s="980"/>
      <c r="D353" s="980"/>
      <c r="E353" s="980"/>
      <c r="F353" s="980"/>
      <c r="G353" s="980"/>
      <c r="H353" s="980"/>
    </row>
    <row r="354" spans="1:8">
      <c r="A354" s="981" t="s">
        <v>631</v>
      </c>
      <c r="B354" s="980"/>
      <c r="C354" s="980"/>
      <c r="D354" s="980"/>
      <c r="E354" s="980"/>
      <c r="F354" s="980"/>
      <c r="G354" s="980"/>
      <c r="H354" s="980"/>
    </row>
    <row r="355" spans="1:8">
      <c r="A355" s="981" t="s">
        <v>632</v>
      </c>
      <c r="B355" s="980"/>
      <c r="C355" s="980"/>
      <c r="D355" s="980"/>
      <c r="E355" s="980"/>
      <c r="F355" s="980"/>
      <c r="G355" s="980"/>
      <c r="H355" s="980"/>
    </row>
    <row r="356" spans="1:8">
      <c r="A356" s="980"/>
      <c r="B356" s="980"/>
      <c r="C356" s="980"/>
      <c r="D356" s="980"/>
      <c r="E356" s="980"/>
      <c r="F356" s="980"/>
      <c r="G356" s="980"/>
      <c r="H356" s="980"/>
    </row>
    <row r="357" spans="1:8">
      <c r="A357" s="981" t="s">
        <v>590</v>
      </c>
      <c r="B357" s="980"/>
      <c r="C357" s="980"/>
      <c r="D357" s="980"/>
      <c r="E357" s="980"/>
      <c r="F357" s="980"/>
      <c r="G357" s="980"/>
      <c r="H357" s="980"/>
    </row>
    <row r="358" spans="1:8">
      <c r="A358" s="981" t="s">
        <v>594</v>
      </c>
      <c r="B358" s="980"/>
      <c r="C358" s="980"/>
      <c r="D358" s="980"/>
      <c r="E358" s="980"/>
      <c r="F358" s="980"/>
      <c r="G358" s="980"/>
      <c r="H358" s="980"/>
    </row>
    <row r="359" spans="1:8">
      <c r="A359" s="981" t="s">
        <v>595</v>
      </c>
      <c r="B359" s="980"/>
      <c r="C359" s="980"/>
      <c r="D359" s="980"/>
      <c r="E359" s="980"/>
      <c r="F359" s="980"/>
      <c r="G359" s="980"/>
      <c r="H359" s="980"/>
    </row>
    <row r="360" spans="1:8">
      <c r="A360" s="981" t="s">
        <v>596</v>
      </c>
      <c r="B360" s="980"/>
      <c r="C360" s="980"/>
      <c r="D360" s="980"/>
      <c r="E360" s="980"/>
      <c r="F360" s="980"/>
      <c r="G360" s="980"/>
      <c r="H360" s="980"/>
    </row>
    <row r="361" spans="1:8">
      <c r="A361" s="981" t="s">
        <v>597</v>
      </c>
      <c r="B361" s="980"/>
      <c r="C361" s="980"/>
      <c r="D361" s="980"/>
      <c r="E361" s="980"/>
      <c r="F361" s="980"/>
      <c r="G361" s="980"/>
      <c r="H361" s="980"/>
    </row>
    <row r="362" spans="1:8">
      <c r="A362" s="980"/>
      <c r="B362" s="980"/>
      <c r="C362" s="980"/>
      <c r="D362" s="980"/>
      <c r="E362" s="980"/>
      <c r="F362" s="980"/>
      <c r="G362" s="980"/>
      <c r="H362" s="980"/>
    </row>
    <row r="363" spans="1:8">
      <c r="A363" s="981" t="s">
        <v>590</v>
      </c>
      <c r="B363" s="980"/>
      <c r="C363" s="980"/>
      <c r="D363" s="980"/>
      <c r="E363" s="980"/>
      <c r="F363" s="980"/>
      <c r="G363" s="980"/>
      <c r="H363" s="980"/>
    </row>
    <row r="364" spans="1:8">
      <c r="A364" s="981" t="s">
        <v>591</v>
      </c>
      <c r="B364" s="980"/>
      <c r="C364" s="980"/>
      <c r="D364" s="980"/>
      <c r="E364" s="980"/>
      <c r="F364" s="980"/>
      <c r="G364" s="980"/>
      <c r="H364" s="980"/>
    </row>
    <row r="365" spans="1:8">
      <c r="A365" s="981" t="s">
        <v>592</v>
      </c>
      <c r="B365" s="980"/>
      <c r="C365" s="980"/>
      <c r="D365" s="980"/>
      <c r="E365" s="980"/>
      <c r="F365" s="980"/>
      <c r="G365" s="980"/>
      <c r="H365" s="980"/>
    </row>
    <row r="366" spans="1:8">
      <c r="A366" s="981" t="s">
        <v>593</v>
      </c>
      <c r="B366" s="980"/>
      <c r="C366" s="980"/>
      <c r="D366" s="980"/>
      <c r="E366" s="980"/>
      <c r="F366" s="980"/>
      <c r="G366" s="980"/>
      <c r="H366" s="980"/>
    </row>
    <row r="367" spans="1:8">
      <c r="A367" s="980"/>
      <c r="B367" s="980"/>
      <c r="C367" s="980"/>
      <c r="D367" s="980"/>
      <c r="E367" s="980"/>
      <c r="F367" s="980"/>
      <c r="G367" s="980"/>
      <c r="H367" s="980"/>
    </row>
    <row r="368" spans="1:8">
      <c r="A368" s="981" t="s">
        <v>584</v>
      </c>
      <c r="B368" s="980"/>
      <c r="C368" s="980"/>
      <c r="D368" s="980"/>
      <c r="E368" s="980"/>
      <c r="F368" s="980"/>
      <c r="G368" s="980"/>
      <c r="H368" s="980"/>
    </row>
    <row r="369" spans="1:8">
      <c r="A369" s="981" t="s">
        <v>585</v>
      </c>
      <c r="B369" s="980"/>
      <c r="C369" s="980"/>
      <c r="D369" s="980"/>
      <c r="E369" s="980"/>
      <c r="F369" s="980"/>
      <c r="G369" s="980"/>
      <c r="H369" s="980"/>
    </row>
    <row r="370" spans="1:8">
      <c r="A370" s="981" t="s">
        <v>586</v>
      </c>
      <c r="B370" s="980"/>
      <c r="C370" s="980"/>
      <c r="D370" s="980"/>
      <c r="E370" s="980"/>
      <c r="F370" s="980"/>
      <c r="G370" s="980"/>
      <c r="H370" s="980"/>
    </row>
    <row r="371" spans="1:8">
      <c r="A371" s="981" t="s">
        <v>587</v>
      </c>
      <c r="B371" s="980"/>
      <c r="C371" s="980"/>
      <c r="D371" s="980"/>
      <c r="E371" s="980"/>
      <c r="F371" s="980"/>
      <c r="G371" s="980"/>
      <c r="H371" s="980"/>
    </row>
    <row r="372" spans="1:8">
      <c r="A372" s="981" t="s">
        <v>588</v>
      </c>
      <c r="B372" s="980"/>
      <c r="C372" s="980"/>
      <c r="D372" s="980"/>
      <c r="E372" s="980"/>
      <c r="F372" s="980"/>
      <c r="G372" s="980"/>
      <c r="H372" s="980"/>
    </row>
    <row r="373" spans="1:8">
      <c r="A373" s="981" t="s">
        <v>589</v>
      </c>
      <c r="B373" s="980"/>
      <c r="C373" s="980"/>
      <c r="D373" s="980"/>
      <c r="E373" s="980"/>
      <c r="F373" s="980"/>
      <c r="G373" s="980"/>
      <c r="H373" s="980"/>
    </row>
    <row r="374" spans="1:8">
      <c r="A374" s="980"/>
      <c r="B374" s="980"/>
      <c r="C374" s="980"/>
      <c r="D374" s="980"/>
      <c r="E374" s="980"/>
      <c r="F374" s="980"/>
      <c r="G374" s="980"/>
      <c r="H374" s="980"/>
    </row>
    <row r="375" spans="1:8">
      <c r="A375" s="981" t="s">
        <v>579</v>
      </c>
      <c r="B375" s="980"/>
      <c r="C375" s="980"/>
      <c r="D375" s="980"/>
      <c r="E375" s="980"/>
      <c r="F375" s="980"/>
      <c r="G375" s="980"/>
      <c r="H375" s="980"/>
    </row>
    <row r="376" spans="1:8">
      <c r="A376" s="981" t="s">
        <v>580</v>
      </c>
      <c r="B376" s="980"/>
      <c r="C376" s="980"/>
      <c r="D376" s="980"/>
      <c r="E376" s="980"/>
      <c r="F376" s="980"/>
      <c r="G376" s="980"/>
      <c r="H376" s="980"/>
    </row>
    <row r="377" spans="1:8">
      <c r="A377" s="981" t="s">
        <v>581</v>
      </c>
      <c r="B377" s="980"/>
      <c r="C377" s="980"/>
      <c r="D377" s="980"/>
      <c r="E377" s="980"/>
      <c r="F377" s="980"/>
      <c r="G377" s="980"/>
      <c r="H377" s="980"/>
    </row>
    <row r="378" spans="1:8">
      <c r="A378" s="981" t="s">
        <v>582</v>
      </c>
      <c r="B378" s="980"/>
      <c r="C378" s="980"/>
      <c r="D378" s="980"/>
      <c r="E378" s="980"/>
      <c r="F378" s="980"/>
      <c r="G378" s="980"/>
      <c r="H378" s="980"/>
    </row>
    <row r="379" spans="1:8">
      <c r="A379" s="981" t="s">
        <v>583</v>
      </c>
      <c r="B379" s="980"/>
      <c r="C379" s="980"/>
      <c r="D379" s="980"/>
      <c r="E379" s="980"/>
      <c r="F379" s="980"/>
      <c r="G379" s="980"/>
      <c r="H379" s="980"/>
    </row>
    <row r="380" spans="1:8">
      <c r="A380" s="980"/>
      <c r="B380" s="980"/>
      <c r="C380" s="980"/>
      <c r="D380" s="980"/>
      <c r="E380" s="980"/>
      <c r="F380" s="980"/>
      <c r="G380" s="980"/>
      <c r="H380" s="980"/>
    </row>
    <row r="381" spans="1:8">
      <c r="A381" s="981" t="s">
        <v>577</v>
      </c>
      <c r="B381" s="980"/>
      <c r="C381" s="980"/>
      <c r="D381" s="980"/>
      <c r="E381" s="980"/>
      <c r="F381" s="980"/>
      <c r="G381" s="980"/>
      <c r="H381" s="980"/>
    </row>
    <row r="382" spans="1:8">
      <c r="A382" s="981" t="s">
        <v>578</v>
      </c>
      <c r="B382" s="980"/>
      <c r="C382" s="980"/>
      <c r="D382" s="980"/>
      <c r="E382" s="980"/>
      <c r="F382" s="980"/>
      <c r="G382" s="980"/>
      <c r="H382" s="980"/>
    </row>
    <row r="384" spans="1:8">
      <c r="A384" s="976" t="s">
        <v>828</v>
      </c>
    </row>
  </sheetData>
  <mergeCells count="12">
    <mergeCell ref="A125:H125"/>
    <mergeCell ref="A126:H126"/>
    <mergeCell ref="B118:C118"/>
    <mergeCell ref="D118:F118"/>
    <mergeCell ref="G118:H118"/>
    <mergeCell ref="A104:H104"/>
    <mergeCell ref="A105:H105"/>
    <mergeCell ref="A106:H106"/>
    <mergeCell ref="A107:H107"/>
    <mergeCell ref="A109:H109"/>
    <mergeCell ref="A110:H110"/>
    <mergeCell ref="A117:H11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A1:DR306"/>
  <sheetViews>
    <sheetView showGridLines="0" zoomScale="85" zoomScaleNormal="85" workbookViewId="0">
      <pane xSplit="3" ySplit="7" topLeftCell="BH8" activePane="bottomRight" state="frozen"/>
      <selection activeCell="BL1" sqref="BL1:BO65536"/>
      <selection pane="topRight" activeCell="BL1" sqref="BL1:BO65536"/>
      <selection pane="bottomLeft" activeCell="BL1" sqref="BL1:BO65536"/>
      <selection pane="bottomRight" activeCell="BO31" sqref="BO31"/>
    </sheetView>
  </sheetViews>
  <sheetFormatPr defaultRowHeight="12.75" outlineLevelRow="1" outlineLevelCol="1"/>
  <cols>
    <col min="1" max="1" width="1.7109375" style="7" customWidth="1" collapsed="1"/>
    <col min="2" max="2" width="43.140625" style="3" customWidth="1"/>
    <col min="3" max="3" width="1.7109375" style="3" customWidth="1"/>
    <col min="4" max="46" width="10.85546875" style="3" hidden="1" customWidth="1" outlineLevel="1"/>
    <col min="47" max="47" width="9.7109375" style="3" hidden="1" customWidth="1" outlineLevel="1"/>
    <col min="48" max="51" width="10.85546875" style="3" hidden="1" customWidth="1" outlineLevel="1"/>
    <col min="52" max="52" width="10.85546875" style="3" hidden="1" customWidth="1" outlineLevel="1" collapsed="1"/>
    <col min="53" max="55" width="10.85546875" style="3" hidden="1" customWidth="1" outlineLevel="1"/>
    <col min="56" max="56" width="10.85546875" style="3" hidden="1" customWidth="1" outlineLevel="1" collapsed="1"/>
    <col min="57" max="59" width="10.85546875" style="3" hidden="1" customWidth="1" outlineLevel="1"/>
    <col min="60" max="60" width="10.85546875" style="3" customWidth="1" collapsed="1"/>
    <col min="61" max="71" width="10.85546875" style="3" customWidth="1"/>
    <col min="72" max="75" width="10.85546875" style="3" hidden="1" customWidth="1" outlineLevel="1"/>
    <col min="76" max="76" width="1.7109375" customWidth="1" collapsed="1"/>
    <col min="77" max="87" width="10.85546875" hidden="1" customWidth="1" outlineLevel="1"/>
    <col min="88" max="88" width="10.85546875" customWidth="1" collapsed="1"/>
    <col min="89" max="92" width="10.85546875" customWidth="1"/>
    <col min="93" max="93" width="10.85546875" style="911" customWidth="1"/>
    <col min="94" max="94" width="10.85546875" customWidth="1" outlineLevel="1"/>
    <col min="95" max="95" width="1.7109375" customWidth="1"/>
    <col min="96" max="104" width="12.7109375" hidden="1" customWidth="1" outlineLevel="1"/>
    <col min="105" max="105" width="12.7109375" customWidth="1" collapsed="1"/>
    <col min="106" max="108" width="12.7109375" customWidth="1"/>
    <col min="109" max="110" width="12.7109375" style="911" customWidth="1"/>
    <col min="111" max="111" width="10.85546875" customWidth="1"/>
    <col min="112" max="114" width="10.85546875" style="911" customWidth="1"/>
    <col min="115" max="115" width="32.85546875" customWidth="1"/>
  </cols>
  <sheetData>
    <row r="1" spans="1:122" s="7" customFormat="1" ht="67.5" customHeight="1">
      <c r="A1" s="1"/>
      <c r="B1"/>
      <c r="C1"/>
      <c r="D1" s="2" t="str">
        <f>IF(SUM(BS)&lt;&gt;0,"BS BREAK","")</f>
        <v/>
      </c>
      <c r="E1" s="2"/>
      <c r="F1" s="2" t="str">
        <f>IF(SUM(BS)&lt;&gt;0,"BS BREAK","")</f>
        <v/>
      </c>
      <c r="G1" s="2"/>
      <c r="H1" s="2" t="str">
        <f>IF(SUM(BS)&lt;&gt;0,"BS BREAK","")</f>
        <v/>
      </c>
      <c r="I1" s="2"/>
      <c r="J1" s="2" t="str">
        <f>IF(SUM(BS)&lt;&gt;0,"BS BREAK","")</f>
        <v/>
      </c>
      <c r="K1" s="2"/>
      <c r="L1" s="2" t="str">
        <f>IF(SUM(BS)&lt;&gt;0,"BS BREAK","")</f>
        <v/>
      </c>
      <c r="M1" s="2"/>
      <c r="N1" s="2" t="str">
        <f>IF(SUM(BS)&lt;&gt;0,"BS BREAK","")</f>
        <v/>
      </c>
      <c r="O1" s="2"/>
      <c r="P1" s="2" t="str">
        <f>IF(SUM(BS)&lt;&gt;0,"BS BREAK","")</f>
        <v/>
      </c>
      <c r="Q1" s="2"/>
      <c r="R1" s="2" t="str">
        <f>IF(SUM(BS)&lt;&gt;0,"BS BREAK","")</f>
        <v/>
      </c>
      <c r="S1" s="2"/>
      <c r="T1" s="2" t="str">
        <f>IF(SUM(BS)&lt;&gt;0,"BS BREAK","")</f>
        <v/>
      </c>
      <c r="U1" s="2"/>
      <c r="V1" s="2" t="str">
        <f>IF(SUM(BS)&lt;&gt;0,"BS BREAK","")</f>
        <v/>
      </c>
      <c r="W1" s="2"/>
      <c r="X1" s="2" t="str">
        <f>IF(SUM(BS)&lt;&gt;0,"BS BREAK","")</f>
        <v/>
      </c>
      <c r="Y1" s="2"/>
      <c r="Z1" s="2" t="str">
        <f>IF(SUM(BS)&lt;&gt;0,"BS BREAK","")</f>
        <v/>
      </c>
      <c r="AA1" s="2"/>
      <c r="AB1" s="2" t="str">
        <f>IF(SUM(BS)&lt;&gt;0,"BS BREAK","")</f>
        <v/>
      </c>
      <c r="AC1" s="2"/>
      <c r="AD1" s="2" t="str">
        <f>IF(SUM(BS)&lt;&gt;0,"BS BREAK","")</f>
        <v/>
      </c>
      <c r="AE1" s="2"/>
      <c r="AF1" s="2" t="str">
        <f>IF(SUM(BS)&lt;&gt;0,"BS BREAK","")</f>
        <v/>
      </c>
      <c r="AG1" s="2"/>
      <c r="AH1" s="2" t="str">
        <f>IF(SUM(BS)&lt;&gt;0,"BS BREAK","")</f>
        <v/>
      </c>
      <c r="AI1" s="2"/>
      <c r="AJ1" s="2" t="str">
        <f>IF(SUM(BS)&lt;&gt;0,"BS BREAK","")</f>
        <v/>
      </c>
      <c r="AK1" s="2"/>
      <c r="AL1" s="2" t="str">
        <f>IF(SUM(BS)&lt;&gt;0,"BS BREAK","")</f>
        <v/>
      </c>
      <c r="AM1" s="2"/>
      <c r="AN1" s="2" t="str">
        <f>IF(SUM(BS)&lt;&gt;0,"BS BREAK","")</f>
        <v/>
      </c>
      <c r="AO1" s="2"/>
      <c r="AP1" s="2" t="str">
        <f>IF(SUM(BS)&lt;&gt;0,"BS BREAK","")</f>
        <v/>
      </c>
      <c r="AQ1" s="2"/>
      <c r="AR1" s="2" t="str">
        <f>IF(SUM(BS)&lt;&gt;0,"BS BREAK","")</f>
        <v/>
      </c>
      <c r="AS1" s="2"/>
      <c r="AT1" s="2" t="str">
        <f>IF(SUM(BS)&lt;&gt;0,"BS BREAK","")</f>
        <v/>
      </c>
      <c r="AU1" s="2"/>
      <c r="AV1" s="2" t="str">
        <f>IF(SUM(BS)&lt;&gt;0,"BS BREAK","")</f>
        <v/>
      </c>
      <c r="AW1" s="2"/>
      <c r="AX1" s="2" t="str">
        <f>IF(SUM(BS)&lt;&gt;0,"BS BREAK","")</f>
        <v/>
      </c>
      <c r="AY1" s="2"/>
      <c r="AZ1" s="2" t="str">
        <f>IF(SUM(BS)&lt;&gt;0,"BS BREAK","")</f>
        <v/>
      </c>
      <c r="BA1" s="2"/>
      <c r="BB1" s="2" t="str">
        <f>IF(SUM(BS)&lt;&gt;0,"BS BREAK","")</f>
        <v/>
      </c>
      <c r="BC1" s="2"/>
      <c r="BD1" s="2" t="str">
        <f>IF(SUM(BS)&lt;&gt;0,"BS BREAK","")</f>
        <v/>
      </c>
      <c r="BE1" s="2"/>
      <c r="BF1" s="2" t="str">
        <f>IF(SUM(BS)&lt;&gt;0,"BS BREAK","")</f>
        <v/>
      </c>
      <c r="BG1" s="2"/>
      <c r="BH1" s="2" t="str">
        <f>IF(SUM(BS)&lt;&gt;0,"BS BREAK","")</f>
        <v/>
      </c>
      <c r="BI1" s="2"/>
      <c r="BJ1" s="2" t="str">
        <f>IF(SUM(BS)&lt;&gt;0,"BS BREAK","")</f>
        <v/>
      </c>
      <c r="BK1" s="2"/>
      <c r="BL1" s="2" t="str">
        <f>IF(SUM(BS)&lt;&gt;0,"BS BREAK","")</f>
        <v/>
      </c>
      <c r="BM1" s="2"/>
      <c r="BN1" s="2" t="str">
        <f>IF(SUM(BS)&lt;&gt;0,"BS BREAK","")</f>
        <v/>
      </c>
      <c r="BO1" s="2"/>
      <c r="BP1" s="2"/>
      <c r="BQ1" s="2"/>
      <c r="BR1" s="2"/>
      <c r="BS1" s="2"/>
      <c r="BT1" s="2"/>
      <c r="BU1" s="2"/>
      <c r="BV1" s="2"/>
      <c r="BW1" s="2"/>
      <c r="BX1" s="2" t="str">
        <f>IF(SUM(BS)&lt;&gt;0,"BS BREAK","")</f>
        <v/>
      </c>
      <c r="BZ1" s="2" t="str">
        <f>IF(SUM(BS)&lt;&gt;0,"BS BREAK","")</f>
        <v/>
      </c>
      <c r="CB1" s="2" t="str">
        <f>IF(SUM(BS)&lt;&gt;0,"BS BREAK","")</f>
        <v/>
      </c>
      <c r="CE1" s="2" t="str">
        <f>IF(SUM(BS)&lt;&gt;0,"BS BREAK","")</f>
        <v/>
      </c>
      <c r="CG1" s="2" t="str">
        <f>IF(SUM(BS)&lt;&gt;0,"BS BREAK","")</f>
        <v/>
      </c>
      <c r="CI1" s="2" t="str">
        <f>IF(SUM(BS)&lt;&gt;0,"BS BREAK","")</f>
        <v/>
      </c>
      <c r="CK1" s="2" t="str">
        <f>IF(SUM(BS)&lt;&gt;0,"BS BREAK","")</f>
        <v/>
      </c>
      <c r="CM1" s="2" t="str">
        <f>IF(SUM(BS)&lt;&gt;0,"BS BREAK","")</f>
        <v/>
      </c>
      <c r="CP1" s="2" t="str">
        <f>IF(SUM(BS)&lt;&gt;0,"BS BREAK","")</f>
        <v/>
      </c>
      <c r="CQ1" s="99"/>
      <c r="CR1" s="2"/>
      <c r="CS1" s="2"/>
      <c r="CT1" s="2"/>
      <c r="CU1" s="2" t="str">
        <f>IF(SUM(BS)&lt;&gt;0,"BS BREAK","")</f>
        <v/>
      </c>
      <c r="CV1" s="99"/>
      <c r="CW1" s="2" t="str">
        <f>IF(SUM(BS)&lt;&gt;0,"BS BREAK","")</f>
        <v/>
      </c>
      <c r="CX1" s="3"/>
      <c r="CY1" s="2" t="str">
        <f>IF(SUM(BS)&lt;&gt;0,"BS BREAK","")</f>
        <v/>
      </c>
      <c r="CZ1" s="3"/>
      <c r="DA1" s="3"/>
      <c r="DB1" s="3"/>
      <c r="DC1" s="3"/>
      <c r="DD1" s="3"/>
      <c r="DE1" s="3"/>
      <c r="DF1" s="3"/>
      <c r="DK1"/>
      <c r="DL1"/>
      <c r="DM1"/>
      <c r="DN1"/>
      <c r="DO1"/>
      <c r="DP1"/>
    </row>
    <row r="2" spans="1:122" s="7" customFormat="1" ht="18" customHeight="1">
      <c r="A2" s="1"/>
      <c r="B2" s="873"/>
      <c r="C2" s="87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391"/>
      <c r="BD2" s="2"/>
      <c r="BE2" s="2"/>
      <c r="BF2" s="391"/>
      <c r="BG2" s="848"/>
      <c r="BH2" s="803"/>
      <c r="BI2" s="803"/>
      <c r="BJ2" s="803"/>
      <c r="BK2" s="848"/>
      <c r="BL2" s="848"/>
      <c r="BM2" s="848"/>
      <c r="BN2" s="848"/>
      <c r="BO2" s="848"/>
      <c r="BP2" s="848"/>
      <c r="BQ2" s="848"/>
      <c r="BR2" s="848"/>
      <c r="BS2" s="848"/>
      <c r="BT2" s="803"/>
      <c r="BU2" s="803"/>
      <c r="BV2" s="803"/>
      <c r="BW2" s="803"/>
      <c r="BX2" s="2"/>
      <c r="BZ2" s="2"/>
      <c r="CB2" s="2"/>
      <c r="CE2" s="2"/>
      <c r="CG2" s="2"/>
      <c r="CI2" s="2"/>
      <c r="CK2" s="2"/>
      <c r="CL2" s="2"/>
      <c r="CM2" s="2"/>
      <c r="CN2" s="850"/>
      <c r="CO2" s="850"/>
      <c r="CP2" s="850"/>
      <c r="CQ2" s="99"/>
      <c r="CR2" s="2"/>
      <c r="CS2" s="2"/>
      <c r="CT2" s="2"/>
      <c r="CU2" s="2"/>
      <c r="CV2" s="99"/>
      <c r="CW2" s="2"/>
      <c r="CX2" s="3"/>
      <c r="CY2" s="2"/>
      <c r="CZ2" s="3"/>
      <c r="DA2" s="3"/>
      <c r="DB2" s="3"/>
      <c r="DC2" s="3"/>
      <c r="DD2" s="3"/>
      <c r="DE2" s="3"/>
      <c r="DF2" s="3"/>
      <c r="DK2"/>
      <c r="DL2"/>
      <c r="DM2"/>
      <c r="DN2"/>
      <c r="DO2"/>
      <c r="DP2"/>
    </row>
    <row r="3" spans="1:122" s="7" customFormat="1" ht="18" customHeight="1">
      <c r="A3" s="3"/>
      <c r="B3" s="4" t="s">
        <v>70</v>
      </c>
      <c r="C3" s="5"/>
      <c r="D3" s="3"/>
      <c r="E3" s="3"/>
      <c r="F3" s="3"/>
      <c r="G3" s="3"/>
      <c r="H3" s="713">
        <f>H20-G20</f>
        <v>1.6838740467166713E-2</v>
      </c>
      <c r="I3" s="3"/>
      <c r="J3" s="3"/>
      <c r="K3" s="3"/>
      <c r="L3" s="713">
        <f>L20-K20</f>
        <v>2.1909422218524544E-3</v>
      </c>
      <c r="M3" s="3"/>
      <c r="N3" s="3"/>
      <c r="O3" s="3"/>
      <c r="P3" s="713">
        <f>P20-O20</f>
        <v>0.1836113982481023</v>
      </c>
      <c r="Q3" s="3"/>
      <c r="R3" s="3"/>
      <c r="S3" s="3"/>
      <c r="T3" s="713">
        <f>T20-S20</f>
        <v>-1.0152602242915254E-2</v>
      </c>
      <c r="U3" s="3"/>
      <c r="V3" s="3"/>
      <c r="W3" s="3"/>
      <c r="X3" s="713">
        <f>X20-W20</f>
        <v>-3.481405698947948E-3</v>
      </c>
      <c r="Y3" s="3"/>
      <c r="Z3" s="3"/>
      <c r="AA3" s="3"/>
      <c r="AB3" s="713">
        <f>AB20-AA20</f>
        <v>4.9879855473068391E-3</v>
      </c>
      <c r="AC3" s="3"/>
      <c r="AD3" s="3"/>
      <c r="AE3" s="3"/>
      <c r="AF3" s="713">
        <f>AF20-AE20</f>
        <v>-1.3000210238750087E-2</v>
      </c>
      <c r="AG3" s="3"/>
      <c r="AH3" s="3"/>
      <c r="AI3" s="3"/>
      <c r="AJ3" s="713"/>
      <c r="AK3" s="3"/>
      <c r="AL3" s="3"/>
      <c r="AM3" s="3"/>
      <c r="AN3" s="713"/>
      <c r="AO3" s="3"/>
      <c r="AP3" s="3"/>
      <c r="AQ3" s="3"/>
      <c r="AR3" s="713"/>
      <c r="AS3" s="391"/>
      <c r="AT3" s="391"/>
      <c r="AU3" s="391"/>
      <c r="AV3" s="713"/>
      <c r="AW3" s="391"/>
      <c r="AX3" s="391"/>
      <c r="AY3" s="391"/>
      <c r="AZ3" s="713"/>
      <c r="BA3" s="391"/>
      <c r="BB3" s="391"/>
      <c r="BC3" s="391"/>
      <c r="BD3" s="713"/>
      <c r="BE3" s="391"/>
      <c r="BF3" s="391"/>
      <c r="BG3" s="848"/>
      <c r="BH3" s="848"/>
      <c r="BI3" s="803"/>
      <c r="BJ3" s="391"/>
      <c r="BK3" s="848"/>
      <c r="BL3" s="848"/>
      <c r="BM3" s="848"/>
      <c r="BN3" s="848"/>
      <c r="BO3" s="848"/>
      <c r="BP3" s="848"/>
      <c r="BQ3" s="848"/>
      <c r="BR3" s="848"/>
      <c r="BS3" s="848"/>
      <c r="BT3" s="961"/>
      <c r="BU3" s="891"/>
      <c r="BV3" s="891"/>
      <c r="BW3" s="891"/>
      <c r="CI3" s="3"/>
      <c r="CJ3" s="3"/>
      <c r="CK3" s="3"/>
      <c r="DB3" s="60"/>
      <c r="DC3" s="60"/>
      <c r="DD3" s="60"/>
      <c r="DE3" s="60"/>
      <c r="DF3" s="60"/>
      <c r="DK3"/>
      <c r="DL3"/>
      <c r="DM3"/>
      <c r="DN3"/>
      <c r="DO3"/>
      <c r="DP3"/>
    </row>
    <row r="4" spans="1:122" s="7" customFormat="1" ht="18" customHeight="1">
      <c r="A4" s="3"/>
      <c r="B4" s="4"/>
      <c r="C4" s="5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91"/>
      <c r="AJ4" s="3"/>
      <c r="AK4" s="391"/>
      <c r="AL4" s="391"/>
      <c r="AM4" s="391"/>
      <c r="AN4" s="520"/>
      <c r="AO4" s="391"/>
      <c r="AP4" s="391"/>
      <c r="AQ4" s="391"/>
      <c r="AR4" s="391"/>
      <c r="AS4" s="391"/>
      <c r="AT4" s="391"/>
      <c r="AU4" s="391"/>
      <c r="AV4" s="391"/>
      <c r="AW4" s="391"/>
      <c r="AX4" s="391"/>
      <c r="AY4" s="391"/>
      <c r="AZ4" s="391"/>
      <c r="BA4" s="391"/>
      <c r="BB4" s="391"/>
      <c r="BC4" s="391"/>
      <c r="BD4" s="391"/>
      <c r="BE4" s="391"/>
      <c r="BF4" s="391"/>
      <c r="BG4"/>
      <c r="BH4"/>
      <c r="BI4" s="391"/>
      <c r="BJ4" s="803"/>
      <c r="BK4" s="916"/>
      <c r="BL4" s="934"/>
      <c r="BM4" s="954"/>
      <c r="BN4" s="954"/>
      <c r="BO4" s="954"/>
      <c r="BP4" s="954"/>
      <c r="BQ4" s="954"/>
      <c r="BR4" s="954"/>
      <c r="BS4" s="954"/>
      <c r="BT4" s="803"/>
      <c r="BU4" s="803"/>
      <c r="BV4" s="803"/>
      <c r="BW4" s="803"/>
      <c r="CI4" s="3"/>
      <c r="CJ4" s="3"/>
      <c r="CK4" s="3"/>
      <c r="DB4" s="441"/>
      <c r="DC4" s="441"/>
      <c r="DD4" s="441"/>
      <c r="DE4" s="441"/>
      <c r="DF4" s="441"/>
      <c r="DK4"/>
      <c r="DL4"/>
      <c r="DM4"/>
      <c r="DN4"/>
      <c r="DO4"/>
      <c r="DP4"/>
    </row>
    <row r="5" spans="1:122" s="7" customFormat="1" ht="15">
      <c r="A5" s="505"/>
      <c r="B5" s="466" t="s">
        <v>71</v>
      </c>
      <c r="C5" s="450"/>
      <c r="D5" s="823" t="s">
        <v>371</v>
      </c>
      <c r="E5" s="824" t="s">
        <v>372</v>
      </c>
      <c r="F5" s="824" t="s">
        <v>373</v>
      </c>
      <c r="G5" s="825" t="s">
        <v>374</v>
      </c>
      <c r="H5" s="823" t="s">
        <v>363</v>
      </c>
      <c r="I5" s="824" t="s">
        <v>364</v>
      </c>
      <c r="J5" s="824" t="s">
        <v>365</v>
      </c>
      <c r="K5" s="825" t="s">
        <v>366</v>
      </c>
      <c r="L5" s="823" t="s">
        <v>355</v>
      </c>
      <c r="M5" s="824" t="s">
        <v>356</v>
      </c>
      <c r="N5" s="824" t="s">
        <v>357</v>
      </c>
      <c r="O5" s="825" t="s">
        <v>358</v>
      </c>
      <c r="P5" s="824" t="s">
        <v>347</v>
      </c>
      <c r="Q5" s="824" t="s">
        <v>348</v>
      </c>
      <c r="R5" s="824" t="s">
        <v>349</v>
      </c>
      <c r="S5" s="825" t="s">
        <v>350</v>
      </c>
      <c r="T5" s="823" t="s">
        <v>343</v>
      </c>
      <c r="U5" s="824" t="s">
        <v>344</v>
      </c>
      <c r="V5" s="824" t="s">
        <v>345</v>
      </c>
      <c r="W5" s="825" t="s">
        <v>346</v>
      </c>
      <c r="X5" s="823" t="s">
        <v>287</v>
      </c>
      <c r="Y5" s="824" t="s">
        <v>288</v>
      </c>
      <c r="Z5" s="824" t="s">
        <v>289</v>
      </c>
      <c r="AA5" s="825" t="s">
        <v>290</v>
      </c>
      <c r="AB5" s="823" t="s">
        <v>291</v>
      </c>
      <c r="AC5" s="824" t="s">
        <v>292</v>
      </c>
      <c r="AD5" s="824" t="s">
        <v>293</v>
      </c>
      <c r="AE5" s="825" t="s">
        <v>294</v>
      </c>
      <c r="AF5" s="823" t="s">
        <v>295</v>
      </c>
      <c r="AG5" s="824" t="s">
        <v>296</v>
      </c>
      <c r="AH5" s="824" t="s">
        <v>297</v>
      </c>
      <c r="AI5" s="825" t="s">
        <v>298</v>
      </c>
      <c r="AJ5" s="823" t="s">
        <v>299</v>
      </c>
      <c r="AK5" s="824" t="s">
        <v>300</v>
      </c>
      <c r="AL5" s="824" t="s">
        <v>301</v>
      </c>
      <c r="AM5" s="825" t="s">
        <v>302</v>
      </c>
      <c r="AN5" s="824" t="s">
        <v>303</v>
      </c>
      <c r="AO5" s="824" t="s">
        <v>304</v>
      </c>
      <c r="AP5" s="824" t="s">
        <v>305</v>
      </c>
      <c r="AQ5" s="825" t="s">
        <v>334</v>
      </c>
      <c r="AR5" s="823" t="s">
        <v>335</v>
      </c>
      <c r="AS5" s="824" t="s">
        <v>336</v>
      </c>
      <c r="AT5" s="824" t="s">
        <v>337</v>
      </c>
      <c r="AU5" s="825" t="s">
        <v>338</v>
      </c>
      <c r="AV5" s="823" t="s">
        <v>486</v>
      </c>
      <c r="AW5" s="824" t="s">
        <v>487</v>
      </c>
      <c r="AX5" s="824" t="s">
        <v>488</v>
      </c>
      <c r="AY5" s="825" t="s">
        <v>489</v>
      </c>
      <c r="AZ5" s="823" t="s">
        <v>490</v>
      </c>
      <c r="BA5" s="824" t="s">
        <v>491</v>
      </c>
      <c r="BB5" s="824" t="s">
        <v>492</v>
      </c>
      <c r="BC5" s="825" t="s">
        <v>485</v>
      </c>
      <c r="BD5" s="529" t="s">
        <v>484</v>
      </c>
      <c r="BE5" s="530" t="s">
        <v>483</v>
      </c>
      <c r="BF5" s="530" t="s">
        <v>503</v>
      </c>
      <c r="BG5" s="530" t="s">
        <v>530</v>
      </c>
      <c r="BH5" s="529" t="s">
        <v>531</v>
      </c>
      <c r="BI5" s="530" t="s">
        <v>516</v>
      </c>
      <c r="BJ5" s="530" t="s">
        <v>519</v>
      </c>
      <c r="BK5" s="894" t="s">
        <v>528</v>
      </c>
      <c r="BL5" s="966" t="s">
        <v>533</v>
      </c>
      <c r="BM5" s="967" t="s">
        <v>386</v>
      </c>
      <c r="BN5" s="967" t="s">
        <v>387</v>
      </c>
      <c r="BO5" s="968" t="s">
        <v>388</v>
      </c>
      <c r="BP5" s="966" t="s">
        <v>505</v>
      </c>
      <c r="BQ5" s="967" t="s">
        <v>506</v>
      </c>
      <c r="BR5" s="967" t="s">
        <v>507</v>
      </c>
      <c r="BS5" s="968" t="s">
        <v>508</v>
      </c>
      <c r="BT5" s="966" t="s">
        <v>520</v>
      </c>
      <c r="BU5" s="967" t="s">
        <v>521</v>
      </c>
      <c r="BV5" s="967" t="s">
        <v>522</v>
      </c>
      <c r="BW5" s="968" t="s">
        <v>523</v>
      </c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Q5" s="99"/>
      <c r="CW5" s="505"/>
      <c r="CX5" s="505"/>
      <c r="CY5" s="505"/>
      <c r="DK5"/>
      <c r="DL5"/>
      <c r="DM5"/>
      <c r="DN5"/>
      <c r="DO5"/>
      <c r="DP5"/>
    </row>
    <row r="6" spans="1:122" s="7" customFormat="1" ht="15" customHeight="1">
      <c r="A6" s="505"/>
      <c r="B6" s="467" t="s">
        <v>115</v>
      </c>
      <c r="C6" s="451"/>
      <c r="D6" s="826">
        <v>37620</v>
      </c>
      <c r="E6" s="827">
        <v>37711</v>
      </c>
      <c r="F6" s="827">
        <v>37802</v>
      </c>
      <c r="G6" s="828">
        <v>37894</v>
      </c>
      <c r="H6" s="826">
        <v>37985</v>
      </c>
      <c r="I6" s="827">
        <v>38077</v>
      </c>
      <c r="J6" s="827">
        <v>38168</v>
      </c>
      <c r="K6" s="828">
        <v>38260</v>
      </c>
      <c r="L6" s="827">
        <v>38351</v>
      </c>
      <c r="M6" s="827">
        <v>38442</v>
      </c>
      <c r="N6" s="827">
        <v>38533</v>
      </c>
      <c r="O6" s="828">
        <v>38625</v>
      </c>
      <c r="P6" s="827">
        <v>38716</v>
      </c>
      <c r="Q6" s="827">
        <v>38807</v>
      </c>
      <c r="R6" s="827">
        <v>38898</v>
      </c>
      <c r="S6" s="828">
        <v>38990</v>
      </c>
      <c r="T6" s="827">
        <v>39081</v>
      </c>
      <c r="U6" s="827">
        <v>39172</v>
      </c>
      <c r="V6" s="827">
        <v>39263</v>
      </c>
      <c r="W6" s="828">
        <v>39355</v>
      </c>
      <c r="X6" s="826">
        <v>39446</v>
      </c>
      <c r="Y6" s="827">
        <v>39538</v>
      </c>
      <c r="Z6" s="827">
        <v>39629</v>
      </c>
      <c r="AA6" s="828">
        <v>39721</v>
      </c>
      <c r="AB6" s="827">
        <v>39813</v>
      </c>
      <c r="AC6" s="827">
        <v>39903</v>
      </c>
      <c r="AD6" s="827">
        <v>39994</v>
      </c>
      <c r="AE6" s="828">
        <v>40086</v>
      </c>
      <c r="AF6" s="827">
        <v>40178</v>
      </c>
      <c r="AG6" s="827">
        <v>40268</v>
      </c>
      <c r="AH6" s="827">
        <v>40359</v>
      </c>
      <c r="AI6" s="827">
        <v>40451</v>
      </c>
      <c r="AJ6" s="826">
        <v>40543</v>
      </c>
      <c r="AK6" s="827">
        <v>40633</v>
      </c>
      <c r="AL6" s="827">
        <v>40724</v>
      </c>
      <c r="AM6" s="828">
        <v>40816</v>
      </c>
      <c r="AN6" s="827">
        <v>40908</v>
      </c>
      <c r="AO6" s="827">
        <v>40999</v>
      </c>
      <c r="AP6" s="827">
        <v>41090</v>
      </c>
      <c r="AQ6" s="828">
        <v>41182</v>
      </c>
      <c r="AR6" s="827">
        <v>41274</v>
      </c>
      <c r="AS6" s="827">
        <v>41364</v>
      </c>
      <c r="AT6" s="827">
        <v>41455</v>
      </c>
      <c r="AU6" s="828">
        <v>41547</v>
      </c>
      <c r="AV6" s="827">
        <v>41639</v>
      </c>
      <c r="AW6" s="827">
        <v>41729</v>
      </c>
      <c r="AX6" s="827">
        <v>41820</v>
      </c>
      <c r="AY6" s="828">
        <v>41912</v>
      </c>
      <c r="AZ6" s="827">
        <v>42004</v>
      </c>
      <c r="BA6" s="827">
        <v>42094</v>
      </c>
      <c r="BB6" s="827">
        <v>42185</v>
      </c>
      <c r="BC6" s="828">
        <v>42277</v>
      </c>
      <c r="BD6" s="532">
        <v>42369</v>
      </c>
      <c r="BE6" s="532">
        <v>42460</v>
      </c>
      <c r="BF6" s="532">
        <v>42551</v>
      </c>
      <c r="BG6" s="532">
        <v>42643</v>
      </c>
      <c r="BH6" s="534">
        <v>42735</v>
      </c>
      <c r="BI6" s="532">
        <v>42825</v>
      </c>
      <c r="BJ6" s="532">
        <v>42916</v>
      </c>
      <c r="BK6" s="896">
        <v>43008</v>
      </c>
      <c r="BL6" s="971">
        <v>43100</v>
      </c>
      <c r="BM6" s="969">
        <v>43190</v>
      </c>
      <c r="BN6" s="969">
        <v>43281</v>
      </c>
      <c r="BO6" s="970">
        <v>43373</v>
      </c>
      <c r="BP6" s="971">
        <v>43465</v>
      </c>
      <c r="BQ6" s="969">
        <v>43555</v>
      </c>
      <c r="BR6" s="969">
        <v>43646</v>
      </c>
      <c r="BS6" s="970">
        <v>43738</v>
      </c>
      <c r="BT6" s="971">
        <v>43830</v>
      </c>
      <c r="BU6" s="969">
        <v>43921</v>
      </c>
      <c r="BV6" s="969">
        <v>44012</v>
      </c>
      <c r="BW6" s="970">
        <v>44104</v>
      </c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Q6" s="99"/>
      <c r="CR6" s="526" t="str">
        <f t="shared" ref="CR6:DD6" si="0">"CY"&amp;CR299</f>
        <v>CY2005</v>
      </c>
      <c r="CS6" s="527" t="str">
        <f t="shared" si="0"/>
        <v>CY2006</v>
      </c>
      <c r="CT6" s="527" t="str">
        <f t="shared" si="0"/>
        <v>CY2007</v>
      </c>
      <c r="CU6" s="527" t="str">
        <f t="shared" si="0"/>
        <v>CY2008</v>
      </c>
      <c r="CV6" s="527" t="str">
        <f t="shared" si="0"/>
        <v>CY2009</v>
      </c>
      <c r="CW6" s="527" t="str">
        <f t="shared" si="0"/>
        <v>CY2010</v>
      </c>
      <c r="CX6" s="527" t="str">
        <f t="shared" si="0"/>
        <v>CY2011</v>
      </c>
      <c r="CY6" s="527" t="str">
        <f t="shared" si="0"/>
        <v>CY2012</v>
      </c>
      <c r="CZ6" s="527" t="str">
        <f t="shared" si="0"/>
        <v>CY2013</v>
      </c>
      <c r="DA6" s="901" t="str">
        <f t="shared" si="0"/>
        <v>CY2014</v>
      </c>
      <c r="DB6" s="902" t="str">
        <f t="shared" si="0"/>
        <v>CY2015</v>
      </c>
      <c r="DC6" s="902" t="str">
        <f t="shared" si="0"/>
        <v>CY2016</v>
      </c>
      <c r="DD6" s="902" t="str">
        <f t="shared" si="0"/>
        <v>CY2017</v>
      </c>
      <c r="DE6" s="902" t="str">
        <f>"CY"&amp;DE299</f>
        <v>CY2018</v>
      </c>
      <c r="DF6" s="876" t="str">
        <f>"CY"&amp;DF299</f>
        <v>CY2019</v>
      </c>
      <c r="DK6"/>
      <c r="DL6"/>
      <c r="DM6"/>
      <c r="DN6"/>
      <c r="DO6"/>
      <c r="DP6"/>
    </row>
    <row r="7" spans="1:122" s="7" customFormat="1" ht="15">
      <c r="A7" s="505"/>
      <c r="B7" s="468"/>
      <c r="C7" s="452"/>
      <c r="D7" s="829" t="s">
        <v>375</v>
      </c>
      <c r="E7" s="830" t="s">
        <v>376</v>
      </c>
      <c r="F7" s="830" t="s">
        <v>377</v>
      </c>
      <c r="G7" s="831" t="s">
        <v>378</v>
      </c>
      <c r="H7" s="829" t="s">
        <v>367</v>
      </c>
      <c r="I7" s="830" t="s">
        <v>368</v>
      </c>
      <c r="J7" s="830" t="s">
        <v>369</v>
      </c>
      <c r="K7" s="831" t="s">
        <v>370</v>
      </c>
      <c r="L7" s="830" t="s">
        <v>359</v>
      </c>
      <c r="M7" s="830" t="s">
        <v>360</v>
      </c>
      <c r="N7" s="830" t="s">
        <v>361</v>
      </c>
      <c r="O7" s="831" t="s">
        <v>362</v>
      </c>
      <c r="P7" s="830" t="s">
        <v>351</v>
      </c>
      <c r="Q7" s="830" t="s">
        <v>352</v>
      </c>
      <c r="R7" s="830" t="s">
        <v>353</v>
      </c>
      <c r="S7" s="831" t="s">
        <v>354</v>
      </c>
      <c r="T7" s="830" t="s">
        <v>339</v>
      </c>
      <c r="U7" s="830" t="s">
        <v>340</v>
      </c>
      <c r="V7" s="830" t="s">
        <v>341</v>
      </c>
      <c r="W7" s="831" t="s">
        <v>342</v>
      </c>
      <c r="X7" s="829" t="s">
        <v>306</v>
      </c>
      <c r="Y7" s="830" t="s">
        <v>307</v>
      </c>
      <c r="Z7" s="830" t="s">
        <v>308</v>
      </c>
      <c r="AA7" s="831" t="s">
        <v>309</v>
      </c>
      <c r="AB7" s="829" t="s">
        <v>310</v>
      </c>
      <c r="AC7" s="830" t="s">
        <v>311</v>
      </c>
      <c r="AD7" s="830" t="s">
        <v>312</v>
      </c>
      <c r="AE7" s="831" t="s">
        <v>313</v>
      </c>
      <c r="AF7" s="829" t="s">
        <v>314</v>
      </c>
      <c r="AG7" s="830" t="s">
        <v>315</v>
      </c>
      <c r="AH7" s="830" t="s">
        <v>316</v>
      </c>
      <c r="AI7" s="831" t="s">
        <v>317</v>
      </c>
      <c r="AJ7" s="829" t="s">
        <v>318</v>
      </c>
      <c r="AK7" s="830" t="s">
        <v>319</v>
      </c>
      <c r="AL7" s="830" t="s">
        <v>320</v>
      </c>
      <c r="AM7" s="831" t="s">
        <v>321</v>
      </c>
      <c r="AN7" s="830" t="s">
        <v>322</v>
      </c>
      <c r="AO7" s="830" t="s">
        <v>323</v>
      </c>
      <c r="AP7" s="830" t="s">
        <v>324</v>
      </c>
      <c r="AQ7" s="831" t="s">
        <v>1</v>
      </c>
      <c r="AR7" s="829" t="s">
        <v>2</v>
      </c>
      <c r="AS7" s="830" t="s">
        <v>451</v>
      </c>
      <c r="AT7" s="830" t="s">
        <v>452</v>
      </c>
      <c r="AU7" s="831" t="s">
        <v>453</v>
      </c>
      <c r="AV7" s="829" t="s">
        <v>454</v>
      </c>
      <c r="AW7" s="830" t="s">
        <v>455</v>
      </c>
      <c r="AX7" s="830" t="s">
        <v>456</v>
      </c>
      <c r="AY7" s="831" t="s">
        <v>457</v>
      </c>
      <c r="AZ7" s="829" t="s">
        <v>477</v>
      </c>
      <c r="BA7" s="830" t="s">
        <v>478</v>
      </c>
      <c r="BB7" s="830" t="s">
        <v>479</v>
      </c>
      <c r="BC7" s="831" t="s">
        <v>480</v>
      </c>
      <c r="BD7" s="11" t="s">
        <v>481</v>
      </c>
      <c r="BE7" s="12" t="s">
        <v>482</v>
      </c>
      <c r="BF7" s="12" t="s">
        <v>502</v>
      </c>
      <c r="BG7" s="12" t="s">
        <v>514</v>
      </c>
      <c r="BH7" s="11" t="s">
        <v>515</v>
      </c>
      <c r="BI7" s="12" t="s">
        <v>517</v>
      </c>
      <c r="BJ7" s="12" t="s">
        <v>518</v>
      </c>
      <c r="BK7" s="878" t="s">
        <v>529</v>
      </c>
      <c r="BL7" s="962" t="s">
        <v>534</v>
      </c>
      <c r="BM7" s="963" t="s">
        <v>389</v>
      </c>
      <c r="BN7" s="963" t="s">
        <v>390</v>
      </c>
      <c r="BO7" s="964" t="s">
        <v>391</v>
      </c>
      <c r="BP7" s="962" t="s">
        <v>509</v>
      </c>
      <c r="BQ7" s="963" t="s">
        <v>510</v>
      </c>
      <c r="BR7" s="963" t="s">
        <v>511</v>
      </c>
      <c r="BS7" s="964" t="s">
        <v>512</v>
      </c>
      <c r="BT7" s="962" t="s">
        <v>524</v>
      </c>
      <c r="BU7" s="963" t="s">
        <v>525</v>
      </c>
      <c r="BV7" s="963" t="s">
        <v>526</v>
      </c>
      <c r="BW7" s="964" t="s">
        <v>527</v>
      </c>
      <c r="BX7" s="6"/>
      <c r="BY7" s="11" t="e">
        <f t="shared" ref="BY7:CD7" si="1">"FY"&amp;LEFT(BY295,4)&amp;""&amp;BY296</f>
        <v>#NAME?</v>
      </c>
      <c r="BZ7" s="12" t="e">
        <f t="shared" si="1"/>
        <v>#NAME?</v>
      </c>
      <c r="CA7" s="12" t="e">
        <f t="shared" si="1"/>
        <v>#NAME?</v>
      </c>
      <c r="CB7" s="12" t="e">
        <f t="shared" si="1"/>
        <v>#NAME?</v>
      </c>
      <c r="CC7" s="12" t="e">
        <f t="shared" si="1"/>
        <v>#NAME?</v>
      </c>
      <c r="CD7" s="12" t="e">
        <f t="shared" si="1"/>
        <v>#NAME?</v>
      </c>
      <c r="CE7" s="12" t="e">
        <f>"FY"&amp;LEFT(CE295,4)&amp;""&amp;CE296</f>
        <v>#NAME?</v>
      </c>
      <c r="CF7" s="12" t="e">
        <f>"FY"&amp;LEFT(CF295,4)&amp;""&amp;CF296</f>
        <v>#NAME?</v>
      </c>
      <c r="CG7" s="12" t="e">
        <f>"FY"&amp;LEFT(CG295,4)&amp;""&amp;CG296</f>
        <v>#NAME?</v>
      </c>
      <c r="CH7" s="12" t="e">
        <f>"FY"&amp;LEFT(CH295,4)&amp;""&amp;CH296</f>
        <v>#NAME?</v>
      </c>
      <c r="CI7" s="13" t="s">
        <v>493</v>
      </c>
      <c r="CJ7" s="877" t="s">
        <v>447</v>
      </c>
      <c r="CK7" s="878" t="s">
        <v>448</v>
      </c>
      <c r="CL7" s="878" t="s">
        <v>504</v>
      </c>
      <c r="CM7" s="878" t="s">
        <v>535</v>
      </c>
      <c r="CN7" s="878" t="s">
        <v>446</v>
      </c>
      <c r="CO7" s="878" t="s">
        <v>494</v>
      </c>
      <c r="CP7" s="879" t="s">
        <v>513</v>
      </c>
      <c r="CQ7" s="103"/>
      <c r="CR7" s="795">
        <v>38717</v>
      </c>
      <c r="CS7" s="796">
        <v>39082</v>
      </c>
      <c r="CT7" s="796">
        <v>39447</v>
      </c>
      <c r="CU7" s="796">
        <v>39813</v>
      </c>
      <c r="CV7" s="797">
        <f t="shared" ref="CV7:DA7" si="2">EOMONTH(CU7,12)</f>
        <v>40178</v>
      </c>
      <c r="CW7" s="797">
        <f t="shared" si="2"/>
        <v>40543</v>
      </c>
      <c r="CX7" s="797">
        <f t="shared" si="2"/>
        <v>40908</v>
      </c>
      <c r="CY7" s="797">
        <f t="shared" si="2"/>
        <v>41274</v>
      </c>
      <c r="CZ7" s="797">
        <f t="shared" si="2"/>
        <v>41639</v>
      </c>
      <c r="DA7" s="907">
        <f t="shared" si="2"/>
        <v>42004</v>
      </c>
      <c r="DB7" s="908">
        <f>EOMONTH(DA7,12)</f>
        <v>42369</v>
      </c>
      <c r="DC7" s="903">
        <f>EOMONTH(DB7,12)</f>
        <v>42735</v>
      </c>
      <c r="DD7" s="908">
        <f>EOMONTH(DC7,12)</f>
        <v>43100</v>
      </c>
      <c r="DE7" s="908">
        <f>EOMONTH(DD7,12)</f>
        <v>43465</v>
      </c>
      <c r="DF7" s="909">
        <f>EOMONTH(DE7,12)</f>
        <v>43830</v>
      </c>
      <c r="DK7"/>
      <c r="DL7"/>
      <c r="DM7"/>
      <c r="DN7"/>
      <c r="DO7"/>
      <c r="DP7"/>
    </row>
    <row r="8" spans="1:122" s="7" customFormat="1" ht="14.25">
      <c r="A8" s="505"/>
      <c r="B8" s="14" t="s">
        <v>6</v>
      </c>
      <c r="C8" s="24"/>
      <c r="D8" s="17">
        <v>160.19399999999999</v>
      </c>
      <c r="E8" s="17">
        <v>157.364</v>
      </c>
      <c r="F8" s="17">
        <v>150.19900000000001</v>
      </c>
      <c r="G8" s="605">
        <f>617.789-F8-E8-D8</f>
        <v>150.03200000000001</v>
      </c>
      <c r="H8" s="17">
        <v>175.108</v>
      </c>
      <c r="I8" s="17">
        <v>183.471</v>
      </c>
      <c r="J8" s="17">
        <v>207.37700000000001</v>
      </c>
      <c r="K8" s="18">
        <f>784.023-J8-I8-H8</f>
        <v>218.06699999999995</v>
      </c>
      <c r="L8" s="17">
        <v>220.16</v>
      </c>
      <c r="M8" s="17">
        <v>105.58499999999999</v>
      </c>
      <c r="N8" s="17">
        <v>191.53200000000001</v>
      </c>
      <c r="O8" s="18">
        <f>792.371-N8-M8-L8</f>
        <v>275.09399999999994</v>
      </c>
      <c r="P8" s="17">
        <v>198.32499999999999</v>
      </c>
      <c r="Q8" s="17">
        <v>185.23400000000001</v>
      </c>
      <c r="R8" s="17">
        <v>197.05799999999999</v>
      </c>
      <c r="S8" s="18">
        <f>773.75-R8-Q8-P8</f>
        <v>193.13299999999998</v>
      </c>
      <c r="T8" s="17">
        <v>196.03</v>
      </c>
      <c r="U8" s="17">
        <v>180.21</v>
      </c>
      <c r="V8" s="17">
        <v>175.05</v>
      </c>
      <c r="W8" s="605">
        <f>741.744-V8-U8-T8</f>
        <v>190.45399999999992</v>
      </c>
      <c r="X8" s="17">
        <v>210.53299999999999</v>
      </c>
      <c r="Y8" s="17">
        <v>201.708</v>
      </c>
      <c r="Z8" s="17">
        <v>215.21</v>
      </c>
      <c r="AA8" s="18">
        <f>860.017-Z8-Y8-X8</f>
        <v>232.56600000000006</v>
      </c>
      <c r="AB8" s="16">
        <v>210.22800000000001</v>
      </c>
      <c r="AC8" s="17">
        <v>172.99</v>
      </c>
      <c r="AD8" s="17">
        <v>191.21299999999999</v>
      </c>
      <c r="AE8" s="18">
        <f>802.577-AD8-AC8-AB8</f>
        <v>228.14600000000002</v>
      </c>
      <c r="AF8" s="16">
        <v>245.13800000000001</v>
      </c>
      <c r="AG8" s="17">
        <v>238.05799999999999</v>
      </c>
      <c r="AH8" s="17">
        <v>275.37</v>
      </c>
      <c r="AI8" s="18">
        <f>1071.849-AH8-AG8-AF8</f>
        <v>313.2829999999999</v>
      </c>
      <c r="AJ8" s="16">
        <v>335.12</v>
      </c>
      <c r="AK8" s="17">
        <v>325.411</v>
      </c>
      <c r="AL8" s="17">
        <v>356.07499999999999</v>
      </c>
      <c r="AM8" s="53">
        <v>402.31599999999997</v>
      </c>
      <c r="AN8" s="16">
        <v>393.74</v>
      </c>
      <c r="AO8" s="17">
        <v>364.69</v>
      </c>
      <c r="AP8" s="17">
        <v>389.03800000000001</v>
      </c>
      <c r="AQ8" s="53">
        <v>421.113</v>
      </c>
      <c r="AR8" s="16">
        <v>453.72300000000001</v>
      </c>
      <c r="AS8" s="17">
        <v>425.2</v>
      </c>
      <c r="AT8" s="17">
        <v>436.1</v>
      </c>
      <c r="AU8" s="53">
        <v>477</v>
      </c>
      <c r="AV8" s="16">
        <v>505.2</v>
      </c>
      <c r="AW8" s="17">
        <v>481</v>
      </c>
      <c r="AX8" s="17">
        <v>587</v>
      </c>
      <c r="AY8" s="53">
        <v>718.2</v>
      </c>
      <c r="AZ8" s="16">
        <v>805.5</v>
      </c>
      <c r="BA8" s="17">
        <v>762.1</v>
      </c>
      <c r="BB8" s="17">
        <v>810</v>
      </c>
      <c r="BC8" s="53">
        <v>880.8</v>
      </c>
      <c r="BD8" s="854">
        <v>926.8</v>
      </c>
      <c r="BE8" s="17">
        <v>775.1</v>
      </c>
      <c r="BF8" s="17">
        <v>751.7</v>
      </c>
      <c r="BG8" s="53">
        <v>835.4</v>
      </c>
      <c r="BH8" s="854">
        <v>914.3</v>
      </c>
      <c r="BI8" s="17">
        <v>851.7</v>
      </c>
      <c r="BJ8" s="17">
        <v>900.8</v>
      </c>
      <c r="BK8" s="53">
        <v>984.6</v>
      </c>
      <c r="BL8" s="854">
        <v>1051.9000000000001</v>
      </c>
      <c r="BM8" s="523">
        <f>'BU-Segment'!BM63</f>
        <v>902.71428250000008</v>
      </c>
      <c r="BN8" s="523">
        <f>'BU-Segment'!BN63</f>
        <v>868.11900083750015</v>
      </c>
      <c r="BO8" s="617">
        <f>'BU-Segment'!BO63</f>
        <v>1031.6292427112503</v>
      </c>
      <c r="BP8" s="524">
        <f>'BU-Segment'!BP63</f>
        <v>1074.111857351744</v>
      </c>
      <c r="BQ8" s="523">
        <f>'BU-Segment'!BQ63</f>
        <v>978.01908972602337</v>
      </c>
      <c r="BR8" s="523">
        <f>'BU-Segment'!BR63</f>
        <v>978.30933771510013</v>
      </c>
      <c r="BS8" s="617">
        <f>'BU-Segment'!BS63</f>
        <v>1052.3061280678833</v>
      </c>
      <c r="BT8" s="524">
        <f>'BU-Segment'!BT63</f>
        <v>1096.7076503445662</v>
      </c>
      <c r="BU8" s="523">
        <f>'BU-Segment'!BU63</f>
        <v>1037.134618439238</v>
      </c>
      <c r="BV8" s="523">
        <f>'BU-Segment'!BV63</f>
        <v>1050.6310512325501</v>
      </c>
      <c r="BW8" s="617">
        <f>'BU-Segment'!BW63</f>
        <v>1136.1113248292809</v>
      </c>
      <c r="BX8" s="398"/>
      <c r="BY8" s="524">
        <f>SUM(D8:G8)</f>
        <v>617.78899999999999</v>
      </c>
      <c r="BZ8" s="523">
        <f>SUM(H8:K8)</f>
        <v>784.02299999999991</v>
      </c>
      <c r="CA8" s="523">
        <f>SUM(L8:O8)</f>
        <v>792.37099999999998</v>
      </c>
      <c r="CB8" s="523">
        <f>SUM(P8:S8)</f>
        <v>773.75</v>
      </c>
      <c r="CC8" s="722">
        <f>SUM(T8:W8)</f>
        <v>741.74399999999991</v>
      </c>
      <c r="CD8" s="523">
        <f>SUM(X8:AA8)</f>
        <v>860.01700000000005</v>
      </c>
      <c r="CE8" s="523">
        <f>SUM(AB8:AE8)</f>
        <v>802.577</v>
      </c>
      <c r="CF8" s="523">
        <f>SUM(AF8:AI8)</f>
        <v>1071.8489999999999</v>
      </c>
      <c r="CG8" s="523">
        <f>SUM(AJ8:AM8)</f>
        <v>1418.922</v>
      </c>
      <c r="CH8" s="523">
        <f>SUM(AN8:AQ8)</f>
        <v>1568.5810000000001</v>
      </c>
      <c r="CI8" s="838">
        <f>SUM(AR8:AU8)</f>
        <v>1792.0230000000001</v>
      </c>
      <c r="CJ8" s="524">
        <f>SUM(AV8:AY8)</f>
        <v>2291.4</v>
      </c>
      <c r="CK8" s="523">
        <f>SUM(AZ8:BC8)</f>
        <v>3258.3999999999996</v>
      </c>
      <c r="CL8" s="523">
        <f>SUM(BD8:BG8)</f>
        <v>3289.0000000000005</v>
      </c>
      <c r="CM8" s="523">
        <f>SUM(BH8:BK8)</f>
        <v>3651.4</v>
      </c>
      <c r="CN8" s="523">
        <f>SUM(BL8:BO8)</f>
        <v>3854.3625260487506</v>
      </c>
      <c r="CO8" s="523">
        <f>SUM(BP8:BS8)</f>
        <v>4082.7464128607508</v>
      </c>
      <c r="CP8" s="838">
        <f>SUM(BT8:BW8)</f>
        <v>4320.5846448456359</v>
      </c>
      <c r="CQ8" s="106"/>
      <c r="CR8" s="528">
        <f>SUM(M8:P8)</f>
        <v>770.53600000000006</v>
      </c>
      <c r="CS8" s="525">
        <f>SUM(Q8:T8)</f>
        <v>771.45499999999993</v>
      </c>
      <c r="CT8" s="525">
        <f>SUM(U8:X8)</f>
        <v>756.24699999999996</v>
      </c>
      <c r="CU8" s="525">
        <f>SUM(Y8:AB8)</f>
        <v>859.71199999999999</v>
      </c>
      <c r="CV8" s="525">
        <f>SUM(AC8:AF8)</f>
        <v>837.48699999999997</v>
      </c>
      <c r="CW8" s="525">
        <f>SUM(AG8:AJ8)</f>
        <v>1161.8309999999999</v>
      </c>
      <c r="CX8" s="525">
        <f>SUM(AK8:AN8)</f>
        <v>1477.5419999999999</v>
      </c>
      <c r="CY8" s="525">
        <f>SUM(AO8:AR8)</f>
        <v>1628.5640000000001</v>
      </c>
      <c r="CZ8" s="525">
        <f>SUM(AS8:AV8)</f>
        <v>1843.5</v>
      </c>
      <c r="DA8" s="528">
        <f>SUM(AW8:AZ8)</f>
        <v>2591.6999999999998</v>
      </c>
      <c r="DB8" s="525">
        <f>SUM(BA8:BD8)</f>
        <v>3379.7</v>
      </c>
      <c r="DC8" s="525">
        <f>SUM(BE8:BH8)</f>
        <v>3276.5</v>
      </c>
      <c r="DD8" s="525">
        <f>SUM(BI8:BL8)</f>
        <v>3789</v>
      </c>
      <c r="DE8" s="525">
        <f>SUM(BM8:BP8)</f>
        <v>3876.5743834004943</v>
      </c>
      <c r="DF8" s="852">
        <f>SUM(BQ8:BT8)</f>
        <v>4105.3422058535725</v>
      </c>
      <c r="DK8"/>
      <c r="DL8"/>
      <c r="DM8"/>
      <c r="DN8"/>
      <c r="DO8"/>
      <c r="DP8"/>
    </row>
    <row r="9" spans="1:122" s="7" customFormat="1" ht="14.25" hidden="1" outlineLevel="1">
      <c r="A9" s="505"/>
      <c r="B9" s="25" t="s">
        <v>7</v>
      </c>
      <c r="C9" s="26"/>
      <c r="D9" s="28"/>
      <c r="E9" s="28"/>
      <c r="F9" s="28"/>
      <c r="G9" s="53"/>
      <c r="H9" s="28"/>
      <c r="I9" s="28"/>
      <c r="J9" s="28"/>
      <c r="K9" s="53"/>
      <c r="L9" s="28"/>
      <c r="M9" s="28"/>
      <c r="N9" s="28"/>
      <c r="O9" s="53"/>
      <c r="P9" s="28"/>
      <c r="Q9" s="28"/>
      <c r="R9" s="28"/>
      <c r="S9" s="53">
        <v>-5.0380000000000003</v>
      </c>
      <c r="T9" s="28">
        <v>0</v>
      </c>
      <c r="U9" s="28"/>
      <c r="V9" s="28">
        <v>-0.105</v>
      </c>
      <c r="W9" s="53"/>
      <c r="X9" s="28">
        <v>0</v>
      </c>
      <c r="Y9" s="28">
        <v>0</v>
      </c>
      <c r="Z9" s="28">
        <v>0</v>
      </c>
      <c r="AA9" s="28">
        <v>0</v>
      </c>
      <c r="AB9" s="27">
        <v>0</v>
      </c>
      <c r="AC9" s="28">
        <v>0</v>
      </c>
      <c r="AD9" s="28">
        <v>0</v>
      </c>
      <c r="AE9" s="28">
        <v>0</v>
      </c>
      <c r="AF9" s="27">
        <v>0</v>
      </c>
      <c r="AG9" s="28">
        <v>0</v>
      </c>
      <c r="AH9" s="28">
        <v>0</v>
      </c>
      <c r="AI9" s="28">
        <v>0</v>
      </c>
      <c r="AJ9" s="27">
        <v>0</v>
      </c>
      <c r="AK9" s="28">
        <v>0</v>
      </c>
      <c r="AL9" s="28">
        <v>0</v>
      </c>
      <c r="AM9" s="53">
        <v>0</v>
      </c>
      <c r="AN9" s="27">
        <v>0</v>
      </c>
      <c r="AO9" s="28">
        <v>0</v>
      </c>
      <c r="AP9" s="28">
        <v>0</v>
      </c>
      <c r="AQ9" s="53">
        <v>0</v>
      </c>
      <c r="AR9" s="27">
        <v>0</v>
      </c>
      <c r="AS9" s="28">
        <v>0</v>
      </c>
      <c r="AT9" s="28">
        <v>0</v>
      </c>
      <c r="AU9" s="53">
        <v>0</v>
      </c>
      <c r="AV9" s="27">
        <v>0</v>
      </c>
      <c r="AW9" s="28">
        <v>0</v>
      </c>
      <c r="AX9" s="28">
        <v>0</v>
      </c>
      <c r="AY9" s="53">
        <v>0</v>
      </c>
      <c r="AZ9" s="27">
        <v>0</v>
      </c>
      <c r="BA9" s="28">
        <v>0</v>
      </c>
      <c r="BB9" s="28">
        <v>0</v>
      </c>
      <c r="BC9" s="53">
        <v>0</v>
      </c>
      <c r="BD9" s="27">
        <v>0</v>
      </c>
      <c r="BE9" s="28">
        <v>0</v>
      </c>
      <c r="BF9" s="28">
        <v>0</v>
      </c>
      <c r="BG9" s="53">
        <v>0</v>
      </c>
      <c r="BH9" s="27">
        <v>0</v>
      </c>
      <c r="BI9" s="28">
        <v>0</v>
      </c>
      <c r="BJ9" s="28">
        <v>0</v>
      </c>
      <c r="BK9" s="53">
        <v>0</v>
      </c>
      <c r="BL9" s="27">
        <v>0</v>
      </c>
      <c r="BM9" s="43">
        <f t="shared" ref="BM9:BS9" si="3">BL9</f>
        <v>0</v>
      </c>
      <c r="BN9" s="43">
        <f t="shared" si="3"/>
        <v>0</v>
      </c>
      <c r="BO9" s="389">
        <f t="shared" si="3"/>
        <v>0</v>
      </c>
      <c r="BP9" s="832">
        <f t="shared" si="3"/>
        <v>0</v>
      </c>
      <c r="BQ9" s="43">
        <f t="shared" si="3"/>
        <v>0</v>
      </c>
      <c r="BR9" s="43">
        <f t="shared" si="3"/>
        <v>0</v>
      </c>
      <c r="BS9" s="389">
        <f t="shared" si="3"/>
        <v>0</v>
      </c>
      <c r="BT9" s="832">
        <f t="shared" ref="BT9" si="4">BS9</f>
        <v>0</v>
      </c>
      <c r="BU9" s="43">
        <f t="shared" ref="BU9" si="5">BT9</f>
        <v>0</v>
      </c>
      <c r="BV9" s="43">
        <f t="shared" ref="BV9" si="6">BU9</f>
        <v>0</v>
      </c>
      <c r="BW9" s="389">
        <f t="shared" ref="BW9" si="7">BV9</f>
        <v>0</v>
      </c>
      <c r="BX9" s="398"/>
      <c r="BY9" s="30">
        <f>SUM(D9:G9)</f>
        <v>0</v>
      </c>
      <c r="BZ9" s="31">
        <f>SUM(H9:K9)</f>
        <v>0</v>
      </c>
      <c r="CA9" s="31">
        <f>SUM(L9:O9)</f>
        <v>0</v>
      </c>
      <c r="CB9" s="31">
        <f>SUM(P9:S9)</f>
        <v>-5.0380000000000003</v>
      </c>
      <c r="CC9" s="31">
        <f>SUM(T9:W9)</f>
        <v>-0.105</v>
      </c>
      <c r="CD9" s="31">
        <f>SUM(X9:AA9)</f>
        <v>0</v>
      </c>
      <c r="CE9" s="31">
        <f>SUM(AB9:AE9)</f>
        <v>0</v>
      </c>
      <c r="CF9" s="31">
        <f>SUM(AF9:AI9)</f>
        <v>0</v>
      </c>
      <c r="CG9" s="31">
        <f>SUM(AJ9:AM9)</f>
        <v>0</v>
      </c>
      <c r="CH9" s="31">
        <f>SUM(AN9:AQ9)</f>
        <v>0</v>
      </c>
      <c r="CI9" s="32">
        <f>SUM(AR9:AU9)</f>
        <v>0</v>
      </c>
      <c r="CJ9" s="30">
        <f>SUM(AV9:AY9)</f>
        <v>0</v>
      </c>
      <c r="CK9" s="31">
        <f>SUM(AZ9:BC9)</f>
        <v>0</v>
      </c>
      <c r="CL9" s="31">
        <f>SUM(BD9:BG9)</f>
        <v>0</v>
      </c>
      <c r="CM9" s="31">
        <f>SUM(BH9:BK9)</f>
        <v>0</v>
      </c>
      <c r="CN9" s="31">
        <f>SUM(BL9:BO9)</f>
        <v>0</v>
      </c>
      <c r="CO9" s="31">
        <f>SUM(BP9:BS9)</f>
        <v>0</v>
      </c>
      <c r="CP9" s="32">
        <f>SUM(BT9:BW9)</f>
        <v>0</v>
      </c>
      <c r="CQ9" s="106"/>
      <c r="CR9" s="193">
        <f>SUM(M9:P9)</f>
        <v>0</v>
      </c>
      <c r="CS9" s="75">
        <f>SUM(Q9:T9)</f>
        <v>-5.0380000000000003</v>
      </c>
      <c r="CT9" s="75">
        <f>SUM(U9:X9)</f>
        <v>-0.105</v>
      </c>
      <c r="CU9" s="75">
        <f>SUM(Y9:AB9)</f>
        <v>0</v>
      </c>
      <c r="CV9" s="75">
        <f>SUM(AC9:AF9)</f>
        <v>0</v>
      </c>
      <c r="CW9" s="75">
        <f>SUM(AG9:AJ9)</f>
        <v>0</v>
      </c>
      <c r="CX9" s="75">
        <f>SUM(AK9:AN9)</f>
        <v>0</v>
      </c>
      <c r="CY9" s="75">
        <f>SUM(AO9:AR9)</f>
        <v>0</v>
      </c>
      <c r="CZ9" s="75">
        <f>SUM(AS9:AV9)</f>
        <v>0</v>
      </c>
      <c r="DA9" s="193">
        <f>SUM(AW9:AZ9)</f>
        <v>0</v>
      </c>
      <c r="DB9" s="75">
        <f>SUM(BA9:BD9)</f>
        <v>0</v>
      </c>
      <c r="DC9" s="75">
        <f>SUM(BE9:BH9)</f>
        <v>0</v>
      </c>
      <c r="DD9" s="75">
        <f>SUM(BI9:BL9)</f>
        <v>0</v>
      </c>
      <c r="DE9" s="75">
        <f>SUM(BM9:BP9)</f>
        <v>0</v>
      </c>
      <c r="DF9" s="76">
        <f>SUM(BQ9:BT9)</f>
        <v>0</v>
      </c>
      <c r="DK9"/>
      <c r="DL9"/>
      <c r="DM9"/>
      <c r="DN9"/>
      <c r="DO9"/>
      <c r="DP9"/>
    </row>
    <row r="10" spans="1:122" s="7" customFormat="1" ht="14.25" hidden="1" outlineLevel="1">
      <c r="A10" s="505"/>
      <c r="B10" s="14" t="s">
        <v>8</v>
      </c>
      <c r="C10" s="24"/>
      <c r="D10" s="30">
        <f t="shared" ref="D10:S10" si="8">D8-D9</f>
        <v>160.19399999999999</v>
      </c>
      <c r="E10" s="31">
        <f t="shared" si="8"/>
        <v>157.364</v>
      </c>
      <c r="F10" s="31">
        <f t="shared" si="8"/>
        <v>150.19900000000001</v>
      </c>
      <c r="G10" s="32">
        <f t="shared" si="8"/>
        <v>150.03200000000001</v>
      </c>
      <c r="H10" s="31">
        <f t="shared" si="8"/>
        <v>175.108</v>
      </c>
      <c r="I10" s="31">
        <f t="shared" si="8"/>
        <v>183.471</v>
      </c>
      <c r="J10" s="31">
        <f t="shared" si="8"/>
        <v>207.37700000000001</v>
      </c>
      <c r="K10" s="32">
        <f t="shared" si="8"/>
        <v>218.06699999999995</v>
      </c>
      <c r="L10" s="31">
        <f t="shared" si="8"/>
        <v>220.16</v>
      </c>
      <c r="M10" s="31">
        <f t="shared" si="8"/>
        <v>105.58499999999999</v>
      </c>
      <c r="N10" s="31">
        <f t="shared" si="8"/>
        <v>191.53200000000001</v>
      </c>
      <c r="O10" s="32">
        <f t="shared" si="8"/>
        <v>275.09399999999994</v>
      </c>
      <c r="P10" s="31">
        <f t="shared" si="8"/>
        <v>198.32499999999999</v>
      </c>
      <c r="Q10" s="31">
        <f t="shared" si="8"/>
        <v>185.23400000000001</v>
      </c>
      <c r="R10" s="31">
        <f t="shared" si="8"/>
        <v>197.05799999999999</v>
      </c>
      <c r="S10" s="32">
        <f t="shared" si="8"/>
        <v>198.17099999999999</v>
      </c>
      <c r="T10" s="31">
        <f>T8-T9</f>
        <v>196.03</v>
      </c>
      <c r="U10" s="31">
        <f>U8-U9</f>
        <v>180.21</v>
      </c>
      <c r="V10" s="31">
        <f>V8-V9</f>
        <v>175.155</v>
      </c>
      <c r="W10" s="32">
        <f>W8-W9</f>
        <v>190.45399999999992</v>
      </c>
      <c r="X10" s="31">
        <f t="shared" ref="X10:AH10" si="9">X8-X9</f>
        <v>210.53299999999999</v>
      </c>
      <c r="Y10" s="31">
        <f t="shared" si="9"/>
        <v>201.708</v>
      </c>
      <c r="Z10" s="31">
        <f t="shared" si="9"/>
        <v>215.21</v>
      </c>
      <c r="AA10" s="31">
        <f t="shared" si="9"/>
        <v>232.56600000000006</v>
      </c>
      <c r="AB10" s="30">
        <f t="shared" si="9"/>
        <v>210.22800000000001</v>
      </c>
      <c r="AC10" s="31">
        <f t="shared" si="9"/>
        <v>172.99</v>
      </c>
      <c r="AD10" s="31">
        <f t="shared" si="9"/>
        <v>191.21299999999999</v>
      </c>
      <c r="AE10" s="31">
        <f t="shared" si="9"/>
        <v>228.14600000000002</v>
      </c>
      <c r="AF10" s="30">
        <f t="shared" si="9"/>
        <v>245.13800000000001</v>
      </c>
      <c r="AG10" s="31">
        <f t="shared" si="9"/>
        <v>238.05799999999999</v>
      </c>
      <c r="AH10" s="31">
        <f t="shared" si="9"/>
        <v>275.37</v>
      </c>
      <c r="AI10" s="31">
        <f t="shared" ref="AI10:AV10" si="10">AI8-AI9</f>
        <v>313.2829999999999</v>
      </c>
      <c r="AJ10" s="30">
        <f t="shared" si="10"/>
        <v>335.12</v>
      </c>
      <c r="AK10" s="31">
        <f t="shared" si="10"/>
        <v>325.411</v>
      </c>
      <c r="AL10" s="31">
        <f t="shared" si="10"/>
        <v>356.07499999999999</v>
      </c>
      <c r="AM10" s="32">
        <f t="shared" si="10"/>
        <v>402.31599999999997</v>
      </c>
      <c r="AN10" s="30">
        <f t="shared" si="10"/>
        <v>393.74</v>
      </c>
      <c r="AO10" s="31">
        <f t="shared" si="10"/>
        <v>364.69</v>
      </c>
      <c r="AP10" s="31">
        <f t="shared" si="10"/>
        <v>389.03800000000001</v>
      </c>
      <c r="AQ10" s="32">
        <f t="shared" si="10"/>
        <v>421.113</v>
      </c>
      <c r="AR10" s="30">
        <f t="shared" si="10"/>
        <v>453.72300000000001</v>
      </c>
      <c r="AS10" s="31">
        <f>AS8-AS9</f>
        <v>425.2</v>
      </c>
      <c r="AT10" s="31">
        <f t="shared" si="10"/>
        <v>436.1</v>
      </c>
      <c r="AU10" s="32">
        <f t="shared" si="10"/>
        <v>477</v>
      </c>
      <c r="AV10" s="30">
        <f t="shared" si="10"/>
        <v>505.2</v>
      </c>
      <c r="AW10" s="31">
        <f t="shared" ref="AW10:BB10" si="11">AW8-AW9</f>
        <v>481</v>
      </c>
      <c r="AX10" s="31">
        <f t="shared" si="11"/>
        <v>587</v>
      </c>
      <c r="AY10" s="32">
        <f t="shared" si="11"/>
        <v>718.2</v>
      </c>
      <c r="AZ10" s="30">
        <f t="shared" si="11"/>
        <v>805.5</v>
      </c>
      <c r="BA10" s="31">
        <f t="shared" si="11"/>
        <v>762.1</v>
      </c>
      <c r="BB10" s="31">
        <f t="shared" si="11"/>
        <v>810</v>
      </c>
      <c r="BC10" s="32">
        <f t="shared" ref="BC10:BH10" si="12">BC8-BC9</f>
        <v>880.8</v>
      </c>
      <c r="BD10" s="30">
        <f t="shared" si="12"/>
        <v>926.8</v>
      </c>
      <c r="BE10" s="31">
        <f t="shared" si="12"/>
        <v>775.1</v>
      </c>
      <c r="BF10" s="31">
        <f t="shared" si="12"/>
        <v>751.7</v>
      </c>
      <c r="BG10" s="32">
        <f t="shared" si="12"/>
        <v>835.4</v>
      </c>
      <c r="BH10" s="30">
        <f t="shared" si="12"/>
        <v>914.3</v>
      </c>
      <c r="BI10" s="31">
        <f t="shared" ref="BI10:BS10" si="13">BI8-BI9</f>
        <v>851.7</v>
      </c>
      <c r="BJ10" s="31">
        <f t="shared" si="13"/>
        <v>900.8</v>
      </c>
      <c r="BK10" s="32">
        <f t="shared" si="13"/>
        <v>984.6</v>
      </c>
      <c r="BL10" s="30">
        <f t="shared" si="13"/>
        <v>1051.9000000000001</v>
      </c>
      <c r="BM10" s="31">
        <f t="shared" si="13"/>
        <v>902.71428250000008</v>
      </c>
      <c r="BN10" s="31">
        <f t="shared" si="13"/>
        <v>868.11900083750015</v>
      </c>
      <c r="BO10" s="32">
        <f t="shared" si="13"/>
        <v>1031.6292427112503</v>
      </c>
      <c r="BP10" s="30">
        <f t="shared" si="13"/>
        <v>1074.111857351744</v>
      </c>
      <c r="BQ10" s="31">
        <f t="shared" si="13"/>
        <v>978.01908972602337</v>
      </c>
      <c r="BR10" s="31">
        <f t="shared" si="13"/>
        <v>978.30933771510013</v>
      </c>
      <c r="BS10" s="32">
        <f t="shared" si="13"/>
        <v>1052.3061280678833</v>
      </c>
      <c r="BT10" s="30">
        <f t="shared" ref="BT10:BW10" si="14">BT8-BT9</f>
        <v>1096.7076503445662</v>
      </c>
      <c r="BU10" s="31">
        <f t="shared" si="14"/>
        <v>1037.134618439238</v>
      </c>
      <c r="BV10" s="31">
        <f t="shared" si="14"/>
        <v>1050.6310512325501</v>
      </c>
      <c r="BW10" s="32">
        <f t="shared" si="14"/>
        <v>1136.1113248292809</v>
      </c>
      <c r="BX10" s="398"/>
      <c r="BY10" s="30">
        <f>BY8-BY9</f>
        <v>617.78899999999999</v>
      </c>
      <c r="BZ10" s="31">
        <f>BZ8-BZ9</f>
        <v>784.02299999999991</v>
      </c>
      <c r="CA10" s="31">
        <f>CA8-CA9</f>
        <v>792.37099999999998</v>
      </c>
      <c r="CB10" s="31">
        <f>CB8-CB9</f>
        <v>778.78800000000001</v>
      </c>
      <c r="CC10" s="31">
        <f>CC8-CC9</f>
        <v>741.84899999999993</v>
      </c>
      <c r="CD10" s="31">
        <f t="shared" ref="CD10:CJ10" si="15">CD8-CD9</f>
        <v>860.01700000000005</v>
      </c>
      <c r="CE10" s="31">
        <f t="shared" si="15"/>
        <v>802.577</v>
      </c>
      <c r="CF10" s="31">
        <f t="shared" si="15"/>
        <v>1071.8489999999999</v>
      </c>
      <c r="CG10" s="31">
        <f t="shared" si="15"/>
        <v>1418.922</v>
      </c>
      <c r="CH10" s="31">
        <f t="shared" si="15"/>
        <v>1568.5810000000001</v>
      </c>
      <c r="CI10" s="32">
        <f t="shared" si="15"/>
        <v>1792.0230000000001</v>
      </c>
      <c r="CJ10" s="30">
        <f t="shared" si="15"/>
        <v>2291.4</v>
      </c>
      <c r="CK10" s="31">
        <f t="shared" ref="CK10:CP10" si="16">CK8-CK9</f>
        <v>3258.3999999999996</v>
      </c>
      <c r="CL10" s="31">
        <f t="shared" si="16"/>
        <v>3289.0000000000005</v>
      </c>
      <c r="CM10" s="31">
        <f t="shared" si="16"/>
        <v>3651.4</v>
      </c>
      <c r="CN10" s="31">
        <f t="shared" si="16"/>
        <v>3854.3625260487506</v>
      </c>
      <c r="CO10" s="31">
        <f t="shared" si="16"/>
        <v>4082.7464128607508</v>
      </c>
      <c r="CP10" s="32">
        <f t="shared" si="16"/>
        <v>4320.5846448456359</v>
      </c>
      <c r="CQ10" s="106"/>
      <c r="CR10" s="30">
        <f>CR8-CR9</f>
        <v>770.53600000000006</v>
      </c>
      <c r="CS10" s="31">
        <f>CS8-CS9</f>
        <v>776.49299999999994</v>
      </c>
      <c r="CT10" s="31">
        <f>CT8-CT9</f>
        <v>756.35199999999998</v>
      </c>
      <c r="CU10" s="31">
        <f t="shared" ref="CU10:CZ10" si="17">CU8-CU9</f>
        <v>859.71199999999999</v>
      </c>
      <c r="CV10" s="31">
        <f t="shared" si="17"/>
        <v>837.48699999999997</v>
      </c>
      <c r="CW10" s="31">
        <f t="shared" si="17"/>
        <v>1161.8309999999999</v>
      </c>
      <c r="CX10" s="31">
        <f t="shared" si="17"/>
        <v>1477.5419999999999</v>
      </c>
      <c r="CY10" s="31">
        <f t="shared" si="17"/>
        <v>1628.5640000000001</v>
      </c>
      <c r="CZ10" s="31">
        <f t="shared" si="17"/>
        <v>1843.5</v>
      </c>
      <c r="DA10" s="30">
        <f t="shared" ref="DA10:DF10" si="18">DA8-DA9</f>
        <v>2591.6999999999998</v>
      </c>
      <c r="DB10" s="31">
        <f t="shared" si="18"/>
        <v>3379.7</v>
      </c>
      <c r="DC10" s="31">
        <f t="shared" si="18"/>
        <v>3276.5</v>
      </c>
      <c r="DD10" s="31">
        <f t="shared" si="18"/>
        <v>3789</v>
      </c>
      <c r="DE10" s="31">
        <f t="shared" si="18"/>
        <v>3876.5743834004943</v>
      </c>
      <c r="DF10" s="32">
        <f t="shared" si="18"/>
        <v>4105.3422058535725</v>
      </c>
      <c r="DG10" s="33"/>
      <c r="DH10" s="33"/>
      <c r="DI10" s="33"/>
      <c r="DJ10" s="33"/>
      <c r="DK10"/>
      <c r="DL10"/>
      <c r="DM10"/>
      <c r="DN10"/>
      <c r="DO10"/>
      <c r="DP10"/>
      <c r="DQ10" s="33"/>
      <c r="DR10" s="33"/>
    </row>
    <row r="11" spans="1:122" s="33" customFormat="1" ht="14.25" collapsed="1">
      <c r="B11" s="19" t="s">
        <v>5</v>
      </c>
      <c r="C11" s="34"/>
      <c r="D11" s="36"/>
      <c r="E11" s="21">
        <f>E10/D10-1</f>
        <v>-1.7666079878147611E-2</v>
      </c>
      <c r="F11" s="21">
        <f>F10/E10-1</f>
        <v>-4.5531379476881573E-2</v>
      </c>
      <c r="G11" s="37">
        <f>G10/F10-1</f>
        <v>-1.1118582680310629E-3</v>
      </c>
      <c r="H11" s="36"/>
      <c r="I11" s="21">
        <f>I10/H10-1</f>
        <v>4.7759097242844328E-2</v>
      </c>
      <c r="J11" s="21">
        <f>J10/I10-1</f>
        <v>0.13029852129219344</v>
      </c>
      <c r="K11" s="37">
        <f>K10/J10-1</f>
        <v>5.1548628825761389E-2</v>
      </c>
      <c r="L11" s="36"/>
      <c r="M11" s="21">
        <f>M10/L10-1</f>
        <v>-0.52041696947674421</v>
      </c>
      <c r="N11" s="21">
        <f>N10/M10-1</f>
        <v>0.81400767154425369</v>
      </c>
      <c r="O11" s="37">
        <f>O10/N10-1</f>
        <v>0.43628218783284223</v>
      </c>
      <c r="P11" s="36"/>
      <c r="Q11" s="21">
        <f>Q10/P10-1</f>
        <v>-6.6007815454430796E-2</v>
      </c>
      <c r="R11" s="21">
        <f>R10/Q10-1</f>
        <v>6.3832773680857713E-2</v>
      </c>
      <c r="S11" s="37">
        <f>S10/R10-1</f>
        <v>5.6480833054226576E-3</v>
      </c>
      <c r="T11" s="36"/>
      <c r="U11" s="21">
        <f>U10/T10-1</f>
        <v>-8.0701933377544166E-2</v>
      </c>
      <c r="V11" s="21">
        <f>V10/U10-1</f>
        <v>-2.8050607624438229E-2</v>
      </c>
      <c r="W11" s="37">
        <f>W10/V10-1</f>
        <v>8.7345493991036083E-2</v>
      </c>
      <c r="X11" s="36"/>
      <c r="Y11" s="21">
        <f t="shared" ref="Y11:AW11" si="19">Y10/X10-1</f>
        <v>-4.1917419121942801E-2</v>
      </c>
      <c r="Z11" s="21">
        <f t="shared" si="19"/>
        <v>6.6938346520713177E-2</v>
      </c>
      <c r="AA11" s="21">
        <f t="shared" si="19"/>
        <v>8.0646810092467991E-2</v>
      </c>
      <c r="AB11" s="20">
        <f t="shared" si="19"/>
        <v>-9.6050153504811719E-2</v>
      </c>
      <c r="AC11" s="21">
        <f t="shared" si="19"/>
        <v>-0.17713149532888106</v>
      </c>
      <c r="AD11" s="21">
        <f t="shared" si="19"/>
        <v>0.10534134921093696</v>
      </c>
      <c r="AE11" s="21">
        <f t="shared" si="19"/>
        <v>0.19315109328340663</v>
      </c>
      <c r="AF11" s="20">
        <f t="shared" si="19"/>
        <v>7.4478623337687289E-2</v>
      </c>
      <c r="AG11" s="21">
        <f t="shared" si="19"/>
        <v>-2.8881691129078346E-2</v>
      </c>
      <c r="AH11" s="21">
        <f t="shared" si="19"/>
        <v>0.15673491334044654</v>
      </c>
      <c r="AI11" s="21">
        <f t="shared" si="19"/>
        <v>0.13768021207829428</v>
      </c>
      <c r="AJ11" s="20">
        <f>AJ10/AI10-1</f>
        <v>6.9703750283290455E-2</v>
      </c>
      <c r="AK11" s="21">
        <f t="shared" si="19"/>
        <v>-2.8971711625686347E-2</v>
      </c>
      <c r="AL11" s="21">
        <f t="shared" si="19"/>
        <v>9.4231602496535061E-2</v>
      </c>
      <c r="AM11" s="37">
        <f t="shared" si="19"/>
        <v>0.12986309064101653</v>
      </c>
      <c r="AN11" s="20">
        <f>AN10/AM10-1</f>
        <v>-2.1316577019059535E-2</v>
      </c>
      <c r="AO11" s="21">
        <f t="shared" si="19"/>
        <v>-7.377965154670596E-2</v>
      </c>
      <c r="AP11" s="21">
        <f t="shared" si="19"/>
        <v>6.6763552606323273E-2</v>
      </c>
      <c r="AQ11" s="37">
        <f t="shared" si="19"/>
        <v>8.2446958908898305E-2</v>
      </c>
      <c r="AR11" s="20">
        <f t="shared" si="19"/>
        <v>7.7437647377307295E-2</v>
      </c>
      <c r="AS11" s="21">
        <f t="shared" si="19"/>
        <v>-6.286434674900776E-2</v>
      </c>
      <c r="AT11" s="21">
        <f t="shared" si="19"/>
        <v>2.5634995296331287E-2</v>
      </c>
      <c r="AU11" s="37">
        <f t="shared" si="19"/>
        <v>9.3785828938316884E-2</v>
      </c>
      <c r="AV11" s="20">
        <f t="shared" si="19"/>
        <v>5.9119496855345899E-2</v>
      </c>
      <c r="AW11" s="21">
        <f t="shared" si="19"/>
        <v>-4.7901821060965966E-2</v>
      </c>
      <c r="AX11" s="21">
        <f t="shared" ref="AX11:BL11" si="20">AX10/AW10-1</f>
        <v>0.22037422037422028</v>
      </c>
      <c r="AY11" s="37">
        <f t="shared" si="20"/>
        <v>0.2235093696763204</v>
      </c>
      <c r="AZ11" s="20">
        <f t="shared" si="20"/>
        <v>0.12155388471177941</v>
      </c>
      <c r="BA11" s="21">
        <f t="shared" si="20"/>
        <v>-5.3879577901924214E-2</v>
      </c>
      <c r="BB11" s="21">
        <f t="shared" si="20"/>
        <v>6.2852644009972369E-2</v>
      </c>
      <c r="BC11" s="37">
        <f t="shared" si="20"/>
        <v>8.7407407407407378E-2</v>
      </c>
      <c r="BD11" s="20">
        <f t="shared" si="20"/>
        <v>5.2225249772933635E-2</v>
      </c>
      <c r="BE11" s="21">
        <f t="shared" si="20"/>
        <v>-0.16368148467846344</v>
      </c>
      <c r="BF11" s="21">
        <f t="shared" si="20"/>
        <v>-3.0189652948006684E-2</v>
      </c>
      <c r="BG11" s="37">
        <f t="shared" si="20"/>
        <v>0.1113476120792869</v>
      </c>
      <c r="BH11" s="20">
        <f t="shared" si="20"/>
        <v>9.4445774479291256E-2</v>
      </c>
      <c r="BI11" s="859">
        <f t="shared" si="20"/>
        <v>-6.8467680192496938E-2</v>
      </c>
      <c r="BJ11" s="859">
        <f t="shared" si="20"/>
        <v>5.7649407068216307E-2</v>
      </c>
      <c r="BK11" s="885">
        <f t="shared" si="20"/>
        <v>9.3028419182948463E-2</v>
      </c>
      <c r="BL11" s="880">
        <f t="shared" si="20"/>
        <v>6.8352630509851853E-2</v>
      </c>
      <c r="BM11" s="881">
        <f t="shared" ref="BM11:BS11" si="21">BM10/BL10-1</f>
        <v>-0.14182499999999998</v>
      </c>
      <c r="BN11" s="881">
        <f t="shared" si="21"/>
        <v>-3.8323622804206536E-2</v>
      </c>
      <c r="BO11" s="885">
        <f t="shared" si="21"/>
        <v>0.18835003232967718</v>
      </c>
      <c r="BP11" s="20">
        <f t="shared" si="21"/>
        <v>4.1180118672134558E-2</v>
      </c>
      <c r="BQ11" s="21">
        <f t="shared" si="21"/>
        <v>-8.9462533131921984E-2</v>
      </c>
      <c r="BR11" s="21">
        <f t="shared" si="21"/>
        <v>2.9677129222305254E-4</v>
      </c>
      <c r="BS11" s="37">
        <f t="shared" si="21"/>
        <v>7.563741599932694E-2</v>
      </c>
      <c r="BT11" s="880">
        <f t="shared" ref="BT11" si="22">BT10/BS10-1</f>
        <v>4.2194491785586763E-2</v>
      </c>
      <c r="BU11" s="881">
        <f t="shared" ref="BU11" si="23">BU10/BT10-1</f>
        <v>-5.4319883595789098E-2</v>
      </c>
      <c r="BV11" s="881">
        <f t="shared" ref="BV11" si="24">BV10/BU10-1</f>
        <v>1.3013192842432186E-2</v>
      </c>
      <c r="BW11" s="885">
        <f t="shared" ref="BW11" si="25">BW10/BV10-1</f>
        <v>8.1360886389612475E-2</v>
      </c>
      <c r="BX11" s="398"/>
      <c r="BY11" s="35"/>
      <c r="BZ11" s="36"/>
      <c r="CA11" s="36"/>
      <c r="CB11" s="36"/>
      <c r="CC11" s="36"/>
      <c r="CD11" s="36"/>
      <c r="CE11" s="36"/>
      <c r="CF11" s="36"/>
      <c r="CG11" s="36"/>
      <c r="CH11" s="36"/>
      <c r="CI11" s="514"/>
      <c r="CJ11" s="882"/>
      <c r="CK11" s="884"/>
      <c r="CL11" s="884"/>
      <c r="CM11" s="884"/>
      <c r="CN11" s="884"/>
      <c r="CO11" s="884"/>
      <c r="CP11" s="890"/>
      <c r="CQ11" s="107"/>
      <c r="CR11" s="35"/>
      <c r="CS11" s="36"/>
      <c r="CT11" s="36"/>
      <c r="CU11" s="36"/>
      <c r="CV11" s="36"/>
      <c r="CW11" s="36"/>
      <c r="CX11" s="36"/>
      <c r="CY11" s="36"/>
      <c r="CZ11" s="36"/>
      <c r="DA11" s="882"/>
      <c r="DB11" s="884"/>
      <c r="DC11" s="884"/>
      <c r="DD11" s="884"/>
      <c r="DE11" s="884"/>
      <c r="DF11" s="890"/>
      <c r="DK11"/>
      <c r="DL11"/>
      <c r="DM11"/>
      <c r="DN11"/>
      <c r="DO11"/>
      <c r="DP11"/>
    </row>
    <row r="12" spans="1:122" s="33" customFormat="1" ht="14.25">
      <c r="B12" s="19" t="s">
        <v>9</v>
      </c>
      <c r="C12" s="34"/>
      <c r="D12" s="36"/>
      <c r="E12" s="36"/>
      <c r="F12" s="36"/>
      <c r="G12" s="37"/>
      <c r="H12" s="36"/>
      <c r="I12" s="36"/>
      <c r="J12" s="36"/>
      <c r="K12" s="37"/>
      <c r="L12" s="36"/>
      <c r="M12" s="36"/>
      <c r="N12" s="36"/>
      <c r="O12" s="37"/>
      <c r="P12" s="36"/>
      <c r="Q12" s="36"/>
      <c r="R12" s="36"/>
      <c r="S12" s="37"/>
      <c r="T12" s="36"/>
      <c r="U12" s="36"/>
      <c r="V12" s="36"/>
      <c r="W12" s="37"/>
      <c r="X12" s="36"/>
      <c r="Y12" s="36"/>
      <c r="Z12" s="36"/>
      <c r="AA12" s="21"/>
      <c r="AB12" s="20">
        <f t="shared" ref="AB12:AW12" si="26">AB10/X10-1</f>
        <v>-1.4487040036478271E-3</v>
      </c>
      <c r="AC12" s="21">
        <f t="shared" si="26"/>
        <v>-0.14237412497273283</v>
      </c>
      <c r="AD12" s="21">
        <f t="shared" si="26"/>
        <v>-0.11150504158728691</v>
      </c>
      <c r="AE12" s="21">
        <f t="shared" si="26"/>
        <v>-1.9005357618912644E-2</v>
      </c>
      <c r="AF12" s="20">
        <f t="shared" si="26"/>
        <v>0.16605780390813774</v>
      </c>
      <c r="AG12" s="21">
        <f t="shared" si="26"/>
        <v>0.37613734897970974</v>
      </c>
      <c r="AH12" s="21">
        <f t="shared" si="26"/>
        <v>0.44012174904425971</v>
      </c>
      <c r="AI12" s="21">
        <f t="shared" si="26"/>
        <v>0.37316893568153664</v>
      </c>
      <c r="AJ12" s="20">
        <f t="shared" si="26"/>
        <v>0.36706671344304032</v>
      </c>
      <c r="AK12" s="21">
        <f t="shared" si="26"/>
        <v>0.36693998941434436</v>
      </c>
      <c r="AL12" s="21">
        <f t="shared" si="26"/>
        <v>0.29307840360242587</v>
      </c>
      <c r="AM12" s="37">
        <f t="shared" si="26"/>
        <v>0.28419352470450066</v>
      </c>
      <c r="AN12" s="20">
        <f t="shared" si="26"/>
        <v>0.17492241585103852</v>
      </c>
      <c r="AO12" s="21">
        <f t="shared" si="26"/>
        <v>0.12070581510766387</v>
      </c>
      <c r="AP12" s="21">
        <f t="shared" si="26"/>
        <v>9.257319384961038E-2</v>
      </c>
      <c r="AQ12" s="37">
        <f t="shared" si="26"/>
        <v>4.6721979737321062E-2</v>
      </c>
      <c r="AR12" s="20">
        <f t="shared" si="26"/>
        <v>0.15234164677198159</v>
      </c>
      <c r="AS12" s="21">
        <f t="shared" si="26"/>
        <v>0.1659217417532699</v>
      </c>
      <c r="AT12" s="21">
        <f t="shared" si="26"/>
        <v>0.12097018800220027</v>
      </c>
      <c r="AU12" s="37">
        <f t="shared" si="26"/>
        <v>0.13271259733135765</v>
      </c>
      <c r="AV12" s="20">
        <f t="shared" si="26"/>
        <v>0.1134546849068705</v>
      </c>
      <c r="AW12" s="21">
        <f t="shared" si="26"/>
        <v>0.13123236124176851</v>
      </c>
      <c r="AX12" s="21">
        <f t="shared" ref="AX12:BL12" si="27">AX10/AT10-1</f>
        <v>0.3460215546892913</v>
      </c>
      <c r="AY12" s="37">
        <f t="shared" si="27"/>
        <v>0.50566037735849068</v>
      </c>
      <c r="AZ12" s="20">
        <f t="shared" si="27"/>
        <v>0.5944180522565321</v>
      </c>
      <c r="BA12" s="21">
        <f t="shared" si="27"/>
        <v>0.58440748440748447</v>
      </c>
      <c r="BB12" s="21">
        <f t="shared" si="27"/>
        <v>0.37989778534923335</v>
      </c>
      <c r="BC12" s="37">
        <f t="shared" si="27"/>
        <v>0.22639933166248949</v>
      </c>
      <c r="BD12" s="20">
        <f t="shared" si="27"/>
        <v>0.15058969584109239</v>
      </c>
      <c r="BE12" s="21">
        <f t="shared" si="27"/>
        <v>1.7058128854481103E-2</v>
      </c>
      <c r="BF12" s="21">
        <f t="shared" si="27"/>
        <v>-7.1975308641975211E-2</v>
      </c>
      <c r="BG12" s="37">
        <f t="shared" si="27"/>
        <v>-5.1544050862851964E-2</v>
      </c>
      <c r="BH12" s="20">
        <f t="shared" si="27"/>
        <v>-1.3487268018990028E-2</v>
      </c>
      <c r="BI12" s="859">
        <f t="shared" si="27"/>
        <v>9.882595794091098E-2</v>
      </c>
      <c r="BJ12" s="859">
        <f t="shared" si="27"/>
        <v>0.19835040574697338</v>
      </c>
      <c r="BK12" s="885">
        <f t="shared" si="27"/>
        <v>0.17859707924347634</v>
      </c>
      <c r="BL12" s="880">
        <f t="shared" si="27"/>
        <v>0.15049764847424285</v>
      </c>
      <c r="BM12" s="881">
        <f t="shared" ref="BM12:BS12" si="28">BM8/BI8-1</f>
        <v>5.9897008923329942E-2</v>
      </c>
      <c r="BN12" s="881">
        <f t="shared" si="28"/>
        <v>-3.6279972427286644E-2</v>
      </c>
      <c r="BO12" s="885">
        <f t="shared" si="28"/>
        <v>4.7764820953940967E-2</v>
      </c>
      <c r="BP12" s="20">
        <f t="shared" si="28"/>
        <v>2.111594006250006E-2</v>
      </c>
      <c r="BQ12" s="21">
        <f t="shared" si="28"/>
        <v>8.342042292437446E-2</v>
      </c>
      <c r="BR12" s="21">
        <f t="shared" si="28"/>
        <v>0.12692999090135815</v>
      </c>
      <c r="BS12" s="37">
        <f t="shared" si="28"/>
        <v>2.00429422708992E-2</v>
      </c>
      <c r="BT12" s="880">
        <f t="shared" ref="BT12" si="29">BT8/BP8-1</f>
        <v>2.1036722421566845E-2</v>
      </c>
      <c r="BU12" s="881">
        <f t="shared" ref="BU12" si="30">BU8/BQ8-1</f>
        <v>6.044414606444426E-2</v>
      </c>
      <c r="BV12" s="881">
        <f t="shared" ref="BV12" si="31">BV8/BR8-1</f>
        <v>7.3925200066434771E-2</v>
      </c>
      <c r="BW12" s="885">
        <f t="shared" ref="BW12" si="32">BW8/BS8-1</f>
        <v>7.963955974985204E-2</v>
      </c>
      <c r="BX12" s="398"/>
      <c r="BY12" s="35"/>
      <c r="BZ12" s="21">
        <f>BZ10/BY10-1</f>
        <v>0.26907892500513908</v>
      </c>
      <c r="CA12" s="21">
        <f>CA10/BZ10-1</f>
        <v>1.064764681648378E-2</v>
      </c>
      <c r="CB12" s="21">
        <f>CB10/CA10-1</f>
        <v>-1.7142222519501593E-2</v>
      </c>
      <c r="CC12" s="21">
        <f>CC10/CB10-1</f>
        <v>-4.7431393395892196E-2</v>
      </c>
      <c r="CD12" s="36"/>
      <c r="CE12" s="21">
        <f t="shared" ref="CE12:CJ12" si="33">CE10/CD10-1</f>
        <v>-6.6789377419283591E-2</v>
      </c>
      <c r="CF12" s="21">
        <f t="shared" si="33"/>
        <v>0.33550924085788636</v>
      </c>
      <c r="CG12" s="21">
        <f t="shared" si="33"/>
        <v>0.32380773784367034</v>
      </c>
      <c r="CH12" s="21">
        <f t="shared" si="33"/>
        <v>0.10547373287608486</v>
      </c>
      <c r="CI12" s="37">
        <f t="shared" si="33"/>
        <v>0.14244849325600661</v>
      </c>
      <c r="CJ12" s="880">
        <f t="shared" si="33"/>
        <v>0.27866662425649658</v>
      </c>
      <c r="CK12" s="881">
        <f t="shared" ref="CK12:CP12" si="34">CK10/CJ10-1</f>
        <v>0.42201274330103855</v>
      </c>
      <c r="CL12" s="881">
        <f t="shared" si="34"/>
        <v>9.3911122023080384E-3</v>
      </c>
      <c r="CM12" s="881">
        <f t="shared" si="34"/>
        <v>0.11018546670720575</v>
      </c>
      <c r="CN12" s="881">
        <f t="shared" si="34"/>
        <v>5.5584851303267291E-2</v>
      </c>
      <c r="CO12" s="881">
        <f t="shared" si="34"/>
        <v>5.9253348710331277E-2</v>
      </c>
      <c r="CP12" s="885">
        <f t="shared" si="34"/>
        <v>5.8254470871786035E-2</v>
      </c>
      <c r="CQ12" s="107"/>
      <c r="CR12" s="35"/>
      <c r="CS12" s="36"/>
      <c r="CT12" s="36"/>
      <c r="CU12" s="36"/>
      <c r="CV12" s="881">
        <f t="shared" ref="CV12:DF12" si="35">CV10/CU10-1</f>
        <v>-2.5851680562793189E-2</v>
      </c>
      <c r="CW12" s="881">
        <f t="shared" si="35"/>
        <v>0.38728242945860636</v>
      </c>
      <c r="CX12" s="881">
        <f t="shared" si="35"/>
        <v>0.27173573437100584</v>
      </c>
      <c r="CY12" s="881">
        <f t="shared" si="35"/>
        <v>0.10221164609872346</v>
      </c>
      <c r="CZ12" s="881">
        <f t="shared" si="35"/>
        <v>0.13197884762281364</v>
      </c>
      <c r="DA12" s="880">
        <f t="shared" si="35"/>
        <v>0.40585842148087869</v>
      </c>
      <c r="DB12" s="881">
        <f t="shared" si="35"/>
        <v>0.30404753636609172</v>
      </c>
      <c r="DC12" s="881">
        <f t="shared" si="35"/>
        <v>-3.0535254608397122E-2</v>
      </c>
      <c r="DD12" s="881">
        <f t="shared" si="35"/>
        <v>0.15641690828628119</v>
      </c>
      <c r="DE12" s="881">
        <f t="shared" si="35"/>
        <v>2.3112795830164679E-2</v>
      </c>
      <c r="DF12" s="885">
        <f t="shared" si="35"/>
        <v>5.9012880916889721E-2</v>
      </c>
      <c r="DG12" s="7"/>
      <c r="DH12" s="7"/>
      <c r="DI12" s="7"/>
      <c r="DJ12" s="7"/>
      <c r="DK12"/>
      <c r="DL12"/>
      <c r="DM12"/>
      <c r="DN12"/>
      <c r="DO12"/>
      <c r="DP12"/>
      <c r="DQ12" s="7"/>
      <c r="DR12" s="7"/>
    </row>
    <row r="13" spans="1:122" s="7" customFormat="1" ht="14.25">
      <c r="A13" s="505"/>
      <c r="B13" s="14"/>
      <c r="C13" s="24"/>
      <c r="D13" s="39"/>
      <c r="E13" s="39"/>
      <c r="F13" s="39"/>
      <c r="G13" s="40"/>
      <c r="H13" s="39"/>
      <c r="I13" s="39"/>
      <c r="J13" s="39"/>
      <c r="K13" s="40"/>
      <c r="L13" s="39"/>
      <c r="M13" s="39"/>
      <c r="N13" s="39"/>
      <c r="O13" s="40"/>
      <c r="P13" s="39"/>
      <c r="Q13" s="39"/>
      <c r="R13" s="39"/>
      <c r="S13" s="40"/>
      <c r="T13" s="39"/>
      <c r="U13" s="39"/>
      <c r="V13" s="39"/>
      <c r="W13" s="40"/>
      <c r="X13" s="39"/>
      <c r="Y13" s="39"/>
      <c r="Z13" s="39"/>
      <c r="AA13" s="39"/>
      <c r="AB13" s="38"/>
      <c r="AC13" s="39"/>
      <c r="AD13" s="39"/>
      <c r="AE13" s="39"/>
      <c r="AF13" s="38"/>
      <c r="AG13" s="39"/>
      <c r="AH13" s="39"/>
      <c r="AI13" s="39"/>
      <c r="AJ13" s="38"/>
      <c r="AK13" s="39"/>
      <c r="AL13" s="39"/>
      <c r="AM13" s="40"/>
      <c r="AN13" s="38"/>
      <c r="AO13" s="39"/>
      <c r="AP13" s="39"/>
      <c r="AQ13" s="40"/>
      <c r="AR13" s="38"/>
      <c r="AS13" s="39"/>
      <c r="AT13" s="39"/>
      <c r="AU13" s="40"/>
      <c r="AV13" s="38"/>
      <c r="AW13" s="39"/>
      <c r="AX13" s="39"/>
      <c r="AY13" s="40"/>
      <c r="AZ13" s="38"/>
      <c r="BA13" s="39"/>
      <c r="BB13" s="39"/>
      <c r="BC13" s="40"/>
      <c r="BD13" s="38"/>
      <c r="BE13" s="39"/>
      <c r="BF13" s="39"/>
      <c r="BG13" s="40"/>
      <c r="BH13" s="38"/>
      <c r="BI13" s="39"/>
      <c r="BJ13" s="39"/>
      <c r="BK13" s="40"/>
      <c r="BL13" s="38"/>
      <c r="BM13" s="39"/>
      <c r="BN13" s="39"/>
      <c r="BO13" s="40"/>
      <c r="BP13" s="38"/>
      <c r="BQ13" s="39"/>
      <c r="BR13" s="39"/>
      <c r="BS13" s="40"/>
      <c r="BT13" s="38"/>
      <c r="BU13" s="39"/>
      <c r="BV13" s="39"/>
      <c r="BW13" s="40"/>
      <c r="BX13" s="56"/>
      <c r="BY13" s="56"/>
      <c r="BZ13" s="57"/>
      <c r="CA13" s="57"/>
      <c r="CB13" s="57"/>
      <c r="CC13" s="57"/>
      <c r="CD13" s="57"/>
      <c r="CE13" s="57"/>
      <c r="CF13" s="57"/>
      <c r="CG13" s="57"/>
      <c r="CH13" s="57"/>
      <c r="CI13" s="58"/>
      <c r="CJ13" s="56"/>
      <c r="CK13" s="57"/>
      <c r="CL13" s="57"/>
      <c r="CM13" s="57"/>
      <c r="CN13" s="57"/>
      <c r="CO13" s="57"/>
      <c r="CP13" s="58"/>
      <c r="CQ13" s="108"/>
      <c r="CR13" s="56"/>
      <c r="CS13" s="57"/>
      <c r="CT13" s="57"/>
      <c r="CU13" s="57"/>
      <c r="CV13" s="57"/>
      <c r="CW13" s="57"/>
      <c r="CX13" s="57"/>
      <c r="CY13" s="81">
        <f>+CY8/CX8-1</f>
        <v>0.10221164609872346</v>
      </c>
      <c r="CZ13" s="57"/>
      <c r="DA13" s="56"/>
      <c r="DB13" s="57"/>
      <c r="DC13" s="57"/>
      <c r="DD13" s="57"/>
      <c r="DE13" s="57"/>
      <c r="DF13" s="58"/>
      <c r="DK13"/>
      <c r="DL13"/>
      <c r="DM13"/>
      <c r="DN13"/>
      <c r="DO13"/>
      <c r="DP13"/>
    </row>
    <row r="14" spans="1:122" s="7" customFormat="1" ht="14.25">
      <c r="A14" s="505"/>
      <c r="B14" s="14" t="s">
        <v>10</v>
      </c>
      <c r="C14" s="24"/>
      <c r="D14" s="28">
        <v>95.073999999999998</v>
      </c>
      <c r="E14" s="28">
        <v>93.844999999999999</v>
      </c>
      <c r="F14" s="28">
        <v>94.120999999999995</v>
      </c>
      <c r="G14" s="54">
        <f>370.94-F14-E14-D14</f>
        <v>87.90000000000002</v>
      </c>
      <c r="H14" s="28">
        <v>105.54</v>
      </c>
      <c r="I14" s="28">
        <v>111.267</v>
      </c>
      <c r="J14" s="28">
        <v>123.593</v>
      </c>
      <c r="K14" s="54">
        <f>470.807-J14-I14-H14</f>
        <v>130.40699999999998</v>
      </c>
      <c r="L14" s="28">
        <v>132.14099999999999</v>
      </c>
      <c r="M14" s="28">
        <v>117.90600000000001</v>
      </c>
      <c r="N14" s="28">
        <v>113.658</v>
      </c>
      <c r="O14" s="54">
        <f>484.599-N14-M14-L14</f>
        <v>120.89399999999998</v>
      </c>
      <c r="P14" s="28">
        <v>123.602</v>
      </c>
      <c r="Q14" s="28">
        <v>115.884</v>
      </c>
      <c r="R14" s="28">
        <v>123.711</v>
      </c>
      <c r="S14" s="54">
        <f>511.071-R14-Q14-P14</f>
        <v>147.874</v>
      </c>
      <c r="T14" s="28">
        <v>120.714</v>
      </c>
      <c r="U14" s="28">
        <v>111.508</v>
      </c>
      <c r="V14" s="28">
        <v>106.41800000000001</v>
      </c>
      <c r="W14" s="54">
        <f>454.359-V14-U14-T14</f>
        <v>115.71899999999999</v>
      </c>
      <c r="X14" s="28">
        <v>128.19499999999999</v>
      </c>
      <c r="Y14" s="28">
        <v>121.34099999999999</v>
      </c>
      <c r="Z14" s="28">
        <v>128.77600000000001</v>
      </c>
      <c r="AA14" s="41">
        <f>517.054-Z14-Y14-X14</f>
        <v>138.74199999999996</v>
      </c>
      <c r="AB14" s="27">
        <v>126.361</v>
      </c>
      <c r="AC14" s="28">
        <v>108.11499999999999</v>
      </c>
      <c r="AD14" s="28">
        <v>114.26300000000001</v>
      </c>
      <c r="AE14" s="41">
        <f>484.357-AD14-AC14-AB14</f>
        <v>135.61800000000005</v>
      </c>
      <c r="AF14" s="27">
        <v>142.584</v>
      </c>
      <c r="AG14" s="28">
        <v>138.20400000000001</v>
      </c>
      <c r="AH14" s="28">
        <v>157.10400000000001</v>
      </c>
      <c r="AI14" s="41">
        <f>615.016-AH14-AG14-AF14</f>
        <v>177.12399999999991</v>
      </c>
      <c r="AJ14" s="27">
        <v>186.58199999999999</v>
      </c>
      <c r="AK14" s="28">
        <v>184.43</v>
      </c>
      <c r="AL14" s="28">
        <v>199.85</v>
      </c>
      <c r="AM14" s="53">
        <v>227.756</v>
      </c>
      <c r="AN14" s="27">
        <v>221.89</v>
      </c>
      <c r="AO14" s="28">
        <v>212.41800000000001</v>
      </c>
      <c r="AP14" s="28">
        <v>223.73599999999999</v>
      </c>
      <c r="AQ14" s="53">
        <v>243.44</v>
      </c>
      <c r="AR14" s="27">
        <v>261.15800000000002</v>
      </c>
      <c r="AS14" s="28">
        <v>248.5</v>
      </c>
      <c r="AT14" s="28">
        <v>247.9</v>
      </c>
      <c r="AU14" s="53">
        <v>267.89999999999998</v>
      </c>
      <c r="AV14" s="27">
        <v>283.2</v>
      </c>
      <c r="AW14" s="28">
        <v>268.60000000000002</v>
      </c>
      <c r="AX14" s="28">
        <v>322.8</v>
      </c>
      <c r="AY14" s="53">
        <v>394.2</v>
      </c>
      <c r="AZ14" s="27">
        <v>432.5</v>
      </c>
      <c r="BA14" s="28">
        <v>409.9</v>
      </c>
      <c r="BB14" s="28">
        <v>416.9</v>
      </c>
      <c r="BC14" s="53">
        <v>444.6</v>
      </c>
      <c r="BD14" s="27">
        <v>454.7</v>
      </c>
      <c r="BE14" s="28">
        <v>384.7</v>
      </c>
      <c r="BF14" s="28">
        <v>373.4</v>
      </c>
      <c r="BG14" s="53">
        <v>411</v>
      </c>
      <c r="BH14" s="27">
        <v>450.4</v>
      </c>
      <c r="BI14" s="28">
        <v>426.3</v>
      </c>
      <c r="BJ14" s="28">
        <v>447.2</v>
      </c>
      <c r="BK14" s="53">
        <v>485.7</v>
      </c>
      <c r="BL14" s="27">
        <v>515.1</v>
      </c>
      <c r="BM14" s="31">
        <f t="shared" ref="BM14:BS14" si="36">BM21+BM17+BM18</f>
        <v>448.541512985</v>
      </c>
      <c r="BN14" s="31">
        <f t="shared" si="36"/>
        <v>430.16675653290008</v>
      </c>
      <c r="BO14" s="32">
        <f t="shared" si="36"/>
        <v>510.11961399298275</v>
      </c>
      <c r="BP14" s="30">
        <f t="shared" si="36"/>
        <v>530.81568273969037</v>
      </c>
      <c r="BQ14" s="31">
        <f t="shared" si="36"/>
        <v>484.8846055929971</v>
      </c>
      <c r="BR14" s="31">
        <f t="shared" si="36"/>
        <v>484.50486066939754</v>
      </c>
      <c r="BS14" s="32">
        <f t="shared" si="36"/>
        <v>519.60178914862331</v>
      </c>
      <c r="BT14" s="30">
        <f t="shared" ref="BT14:BW14" si="37">BT21+BT17+BT18</f>
        <v>541.66635479954323</v>
      </c>
      <c r="BU14" s="31">
        <f t="shared" si="37"/>
        <v>512.33948579473679</v>
      </c>
      <c r="BV14" s="31">
        <f t="shared" si="37"/>
        <v>518.4667440276985</v>
      </c>
      <c r="BW14" s="32">
        <f t="shared" si="37"/>
        <v>560.5845377435121</v>
      </c>
      <c r="BX14" s="67"/>
      <c r="BY14" s="30">
        <f>SUM(D14:G14)</f>
        <v>370.94</v>
      </c>
      <c r="BZ14" s="31">
        <f>SUM(H14:K14)</f>
        <v>470.80700000000002</v>
      </c>
      <c r="CA14" s="31">
        <f>SUM(L14:O14)</f>
        <v>484.59899999999993</v>
      </c>
      <c r="CB14" s="31">
        <f>SUM(P14:S14)</f>
        <v>511.07100000000003</v>
      </c>
      <c r="CC14" s="31">
        <f>SUM(T14:W14)</f>
        <v>454.35899999999998</v>
      </c>
      <c r="CD14" s="31">
        <f>SUM(X14:AA14)</f>
        <v>517.05399999999997</v>
      </c>
      <c r="CE14" s="31">
        <f>SUM(AB14:AE14)</f>
        <v>484.35700000000008</v>
      </c>
      <c r="CF14" s="31">
        <f>SUM(AF14:AI14)</f>
        <v>615.01599999999996</v>
      </c>
      <c r="CG14" s="31">
        <f>SUM(AJ14:AM14)</f>
        <v>798.61799999999994</v>
      </c>
      <c r="CH14" s="31">
        <f>SUM(AN14:AQ14)</f>
        <v>901.48399999999992</v>
      </c>
      <c r="CI14" s="32">
        <f>SUM(AR14:AU14)</f>
        <v>1025.4580000000001</v>
      </c>
      <c r="CJ14" s="30">
        <f>SUM(AV14:AY14)</f>
        <v>1268.8</v>
      </c>
      <c r="CK14" s="31">
        <f>SUM(AZ14:BC14)</f>
        <v>1703.9</v>
      </c>
      <c r="CL14" s="31">
        <f>SUM(BD14:BG14)</f>
        <v>1623.8</v>
      </c>
      <c r="CM14" s="31">
        <f>SUM(BH14:BK14)</f>
        <v>1809.6000000000001</v>
      </c>
      <c r="CN14" s="31">
        <f>SUM(BL14:BO14)</f>
        <v>1903.9278835108828</v>
      </c>
      <c r="CO14" s="31">
        <f>SUM(BP14:BS14)</f>
        <v>2019.8069381507082</v>
      </c>
      <c r="CP14" s="32">
        <f>SUM(BT14:BW14)</f>
        <v>2133.0571223654906</v>
      </c>
      <c r="CQ14" s="106"/>
      <c r="CR14" s="193">
        <f>SUM(M14:P14)</f>
        <v>476.05999999999995</v>
      </c>
      <c r="CS14" s="75">
        <f>SUM(Q14:T14)</f>
        <v>508.18299999999999</v>
      </c>
      <c r="CT14" s="75">
        <f>SUM(U14:X14)</f>
        <v>461.84</v>
      </c>
      <c r="CU14" s="75">
        <f>SUM(Y14:AB14)</f>
        <v>515.22</v>
      </c>
      <c r="CV14" s="75">
        <f>SUM(AC14:AF14)</f>
        <v>500.58000000000004</v>
      </c>
      <c r="CW14" s="75">
        <f>SUM(AG14:AJ14)</f>
        <v>659.0139999999999</v>
      </c>
      <c r="CX14" s="75">
        <f>SUM(AK14:AN14)</f>
        <v>833.92599999999993</v>
      </c>
      <c r="CY14" s="75">
        <f>SUM(AO14:AR14)</f>
        <v>940.75200000000007</v>
      </c>
      <c r="CZ14" s="75">
        <f>SUM(AS14:AV14)</f>
        <v>1047.5</v>
      </c>
      <c r="DA14" s="193">
        <f>SUM(AW14:AZ14)</f>
        <v>1418.1000000000001</v>
      </c>
      <c r="DB14" s="75">
        <f>SUM(BA14:BD14)</f>
        <v>1726.1000000000001</v>
      </c>
      <c r="DC14" s="75">
        <f>SUM(BE14:BH14)</f>
        <v>1619.5</v>
      </c>
      <c r="DD14" s="75">
        <f>SUM(BI14:BL14)</f>
        <v>1874.3000000000002</v>
      </c>
      <c r="DE14" s="75">
        <f>SUM(BM14:BP14)</f>
        <v>1919.6435662505733</v>
      </c>
      <c r="DF14" s="76">
        <f>SUM(BQ14:BT14)</f>
        <v>2030.657610210561</v>
      </c>
      <c r="DG14" s="42"/>
      <c r="DH14" s="42"/>
      <c r="DI14" s="42"/>
      <c r="DJ14" s="42"/>
      <c r="DK14"/>
      <c r="DL14"/>
      <c r="DM14"/>
      <c r="DN14"/>
      <c r="DO14"/>
      <c r="DP14"/>
      <c r="DQ14" s="42"/>
      <c r="DR14" s="42"/>
    </row>
    <row r="15" spans="1:122" s="42" customFormat="1" ht="14.25" hidden="1" outlineLevel="1">
      <c r="B15" s="19" t="s">
        <v>237</v>
      </c>
      <c r="C15" s="34"/>
      <c r="D15" s="20">
        <f t="shared" ref="D15:S15" si="38">D14/D8</f>
        <v>0.59349288987103144</v>
      </c>
      <c r="E15" s="21">
        <f t="shared" si="38"/>
        <v>0.59635621870313416</v>
      </c>
      <c r="F15" s="21">
        <f t="shared" si="38"/>
        <v>0.62664198829552786</v>
      </c>
      <c r="G15" s="37">
        <f t="shared" si="38"/>
        <v>0.58587501333048964</v>
      </c>
      <c r="H15" s="21">
        <f t="shared" si="38"/>
        <v>0.60271375379765635</v>
      </c>
      <c r="I15" s="21">
        <f t="shared" si="38"/>
        <v>0.60645551613061466</v>
      </c>
      <c r="J15" s="21">
        <f t="shared" si="38"/>
        <v>0.5959821966756198</v>
      </c>
      <c r="K15" s="37">
        <f t="shared" si="38"/>
        <v>0.59801345458047306</v>
      </c>
      <c r="L15" s="21">
        <f t="shared" si="38"/>
        <v>0.60020439680232551</v>
      </c>
      <c r="M15" s="21">
        <f t="shared" si="38"/>
        <v>1.1166927120329593</v>
      </c>
      <c r="N15" s="21">
        <f t="shared" si="38"/>
        <v>0.59341519954890043</v>
      </c>
      <c r="O15" s="37">
        <f t="shared" si="38"/>
        <v>0.43946432855678425</v>
      </c>
      <c r="P15" s="21">
        <f t="shared" si="38"/>
        <v>0.62322954745997738</v>
      </c>
      <c r="Q15" s="21">
        <f t="shared" si="38"/>
        <v>0.62560868954943472</v>
      </c>
      <c r="R15" s="21">
        <f t="shared" si="38"/>
        <v>0.62778978777821759</v>
      </c>
      <c r="S15" s="37">
        <f t="shared" si="38"/>
        <v>0.76565889827217515</v>
      </c>
      <c r="T15" s="21">
        <f>T14/T8</f>
        <v>0.61579350099474572</v>
      </c>
      <c r="U15" s="21">
        <f>U14/U8</f>
        <v>0.61876699406248259</v>
      </c>
      <c r="V15" s="21">
        <f>V14/V8</f>
        <v>0.60792916309625822</v>
      </c>
      <c r="W15" s="37">
        <f>W14/W8</f>
        <v>0.60759553487981377</v>
      </c>
      <c r="X15" s="21">
        <f t="shared" ref="X15:AW15" si="39">X14/X8</f>
        <v>0.60890691720537871</v>
      </c>
      <c r="Y15" s="21">
        <f t="shared" si="39"/>
        <v>0.60156761258849423</v>
      </c>
      <c r="Z15" s="21">
        <f t="shared" si="39"/>
        <v>0.59837368152037551</v>
      </c>
      <c r="AA15" s="21">
        <f t="shared" si="39"/>
        <v>0.59657043591926562</v>
      </c>
      <c r="AB15" s="20">
        <f t="shared" si="39"/>
        <v>0.60106646117548568</v>
      </c>
      <c r="AC15" s="21">
        <f t="shared" si="39"/>
        <v>0.62497832244638407</v>
      </c>
      <c r="AD15" s="21">
        <f t="shared" si="39"/>
        <v>0.5975692029307631</v>
      </c>
      <c r="AE15" s="21">
        <f t="shared" si="39"/>
        <v>0.59443514240880857</v>
      </c>
      <c r="AF15" s="20">
        <f t="shared" si="39"/>
        <v>0.58164788812831958</v>
      </c>
      <c r="AG15" s="21">
        <f t="shared" si="39"/>
        <v>0.58054759764427166</v>
      </c>
      <c r="AH15" s="21">
        <f t="shared" si="39"/>
        <v>0.57051966445146529</v>
      </c>
      <c r="AI15" s="21">
        <f t="shared" si="39"/>
        <v>0.56538018341244167</v>
      </c>
      <c r="AJ15" s="20">
        <f t="shared" si="39"/>
        <v>0.55676175698257335</v>
      </c>
      <c r="AK15" s="21">
        <f t="shared" si="39"/>
        <v>0.56676018942199247</v>
      </c>
      <c r="AL15" s="21">
        <f t="shared" si="39"/>
        <v>0.56125816190409328</v>
      </c>
      <c r="AM15" s="37">
        <f t="shared" si="39"/>
        <v>0.56611221030234948</v>
      </c>
      <c r="AN15" s="20">
        <f t="shared" si="39"/>
        <v>0.56354447097069127</v>
      </c>
      <c r="AO15" s="21">
        <f t="shared" si="39"/>
        <v>0.58246181688557408</v>
      </c>
      <c r="AP15" s="21">
        <f t="shared" si="39"/>
        <v>0.57510063284306412</v>
      </c>
      <c r="AQ15" s="37">
        <f t="shared" si="39"/>
        <v>0.57808711675963453</v>
      </c>
      <c r="AR15" s="20">
        <f t="shared" si="39"/>
        <v>0.5755890708648228</v>
      </c>
      <c r="AS15" s="21">
        <f t="shared" si="39"/>
        <v>0.58443085606773282</v>
      </c>
      <c r="AT15" s="21">
        <f t="shared" si="39"/>
        <v>0.56844760376060532</v>
      </c>
      <c r="AU15" s="37">
        <f t="shared" si="39"/>
        <v>0.56163522012578615</v>
      </c>
      <c r="AV15" s="20">
        <f t="shared" si="39"/>
        <v>0.56057007125890734</v>
      </c>
      <c r="AW15" s="21">
        <f t="shared" si="39"/>
        <v>0.55841995841995851</v>
      </c>
      <c r="AX15" s="21">
        <f t="shared" ref="AX15:BC15" si="40">AX14/AX8</f>
        <v>0.54991482112436119</v>
      </c>
      <c r="AY15" s="37">
        <f t="shared" si="40"/>
        <v>0.54887218045112773</v>
      </c>
      <c r="AZ15" s="20">
        <f t="shared" si="40"/>
        <v>0.5369335816263191</v>
      </c>
      <c r="BA15" s="21">
        <f t="shared" si="40"/>
        <v>0.53785592441936747</v>
      </c>
      <c r="BB15" s="21">
        <f t="shared" si="40"/>
        <v>0.51469135802469135</v>
      </c>
      <c r="BC15" s="37">
        <f t="shared" si="40"/>
        <v>0.50476839237057225</v>
      </c>
      <c r="BD15" s="20">
        <f t="shared" ref="BD15:BI15" si="41">BD14/BD8</f>
        <v>0.49061286145878291</v>
      </c>
      <c r="BE15" s="21">
        <f t="shared" si="41"/>
        <v>0.49632305508966584</v>
      </c>
      <c r="BF15" s="21">
        <f t="shared" si="41"/>
        <v>0.49674072103232669</v>
      </c>
      <c r="BG15" s="37">
        <f t="shared" si="41"/>
        <v>0.4919798898731147</v>
      </c>
      <c r="BH15" s="20">
        <f t="shared" si="41"/>
        <v>0.49261730285464289</v>
      </c>
      <c r="BI15" s="859">
        <f t="shared" si="41"/>
        <v>0.5005283550545967</v>
      </c>
      <c r="BJ15" s="859">
        <f t="shared" ref="BJ15:BS15" si="42">BJ14/BJ8</f>
        <v>0.49644760213143874</v>
      </c>
      <c r="BK15" s="885">
        <f t="shared" si="42"/>
        <v>0.49329677026203533</v>
      </c>
      <c r="BL15" s="880">
        <f t="shared" si="42"/>
        <v>0.48968533130525715</v>
      </c>
      <c r="BM15" s="881">
        <f t="shared" si="42"/>
        <v>0.49688093085532847</v>
      </c>
      <c r="BN15" s="881">
        <f t="shared" si="42"/>
        <v>0.49551588678269393</v>
      </c>
      <c r="BO15" s="885">
        <f t="shared" si="42"/>
        <v>0.49447959874840769</v>
      </c>
      <c r="BP15" s="20">
        <f t="shared" si="42"/>
        <v>0.49419032022273068</v>
      </c>
      <c r="BQ15" s="21">
        <f t="shared" si="42"/>
        <v>0.49578235300992934</v>
      </c>
      <c r="BR15" s="21">
        <f t="shared" si="42"/>
        <v>0.4952470982245632</v>
      </c>
      <c r="BS15" s="37">
        <f t="shared" si="42"/>
        <v>0.49377436402718</v>
      </c>
      <c r="BT15" s="880">
        <f t="shared" ref="BT15:BW15" si="43">BT14/BT8</f>
        <v>0.49390223058019261</v>
      </c>
      <c r="BU15" s="881">
        <f t="shared" si="43"/>
        <v>0.49399516387346676</v>
      </c>
      <c r="BV15" s="881">
        <f t="shared" si="43"/>
        <v>0.49348126863322578</v>
      </c>
      <c r="BW15" s="885">
        <f t="shared" si="43"/>
        <v>0.49342395018177376</v>
      </c>
      <c r="BX15" s="398"/>
      <c r="BY15" s="20">
        <f>BY14/BY8</f>
        <v>0.60043153892348355</v>
      </c>
      <c r="BZ15" s="21">
        <f>BZ14/BZ8</f>
        <v>0.60050151589940615</v>
      </c>
      <c r="CA15" s="21">
        <f>CA14/CA8</f>
        <v>0.61158093872693464</v>
      </c>
      <c r="CB15" s="21">
        <f>CB14/CB8</f>
        <v>0.66051179321486275</v>
      </c>
      <c r="CC15" s="21">
        <f>CC14/CC8</f>
        <v>0.61255500550055009</v>
      </c>
      <c r="CD15" s="21">
        <f t="shared" ref="CD15:CJ15" si="44">CD14/CD8</f>
        <v>0.60121369693854887</v>
      </c>
      <c r="CE15" s="21">
        <f t="shared" si="44"/>
        <v>0.60350221847872554</v>
      </c>
      <c r="CF15" s="21">
        <f t="shared" si="44"/>
        <v>0.57378977822435806</v>
      </c>
      <c r="CG15" s="21">
        <f t="shared" si="44"/>
        <v>0.56283432070261785</v>
      </c>
      <c r="CH15" s="21">
        <f t="shared" si="44"/>
        <v>0.57471306869074645</v>
      </c>
      <c r="CI15" s="37">
        <f t="shared" si="44"/>
        <v>0.57223484296797533</v>
      </c>
      <c r="CJ15" s="880">
        <f t="shared" si="44"/>
        <v>0.55372261499519937</v>
      </c>
      <c r="CK15" s="881">
        <f t="shared" ref="CK15:CP15" si="45">CK14/CK8</f>
        <v>0.52292536214092811</v>
      </c>
      <c r="CL15" s="881">
        <f t="shared" si="45"/>
        <v>0.4937062937062936</v>
      </c>
      <c r="CM15" s="881">
        <f t="shared" si="45"/>
        <v>0.49559073232184919</v>
      </c>
      <c r="CN15" s="881">
        <f t="shared" si="45"/>
        <v>0.4939669973033568</v>
      </c>
      <c r="CO15" s="881">
        <f t="shared" si="45"/>
        <v>0.49471770565721818</v>
      </c>
      <c r="CP15" s="885">
        <f t="shared" si="45"/>
        <v>0.49369640863538727</v>
      </c>
      <c r="CQ15" s="107"/>
      <c r="CR15" s="20">
        <f>CR14/CR8</f>
        <v>0.61782966662167627</v>
      </c>
      <c r="CS15" s="21">
        <f>CS14/CS8</f>
        <v>0.65873317303018331</v>
      </c>
      <c r="CT15" s="21">
        <f>CT14/CT8</f>
        <v>0.61069994327250221</v>
      </c>
      <c r="CU15" s="21">
        <f t="shared" ref="CU15:CZ15" si="46">CU14/CU8</f>
        <v>0.59929371696568157</v>
      </c>
      <c r="CV15" s="21">
        <f t="shared" si="46"/>
        <v>0.59771674067776581</v>
      </c>
      <c r="CW15" s="21">
        <f t="shared" si="46"/>
        <v>0.56722018951121111</v>
      </c>
      <c r="CX15" s="21">
        <f t="shared" si="46"/>
        <v>0.56440087659098692</v>
      </c>
      <c r="CY15" s="21">
        <f t="shared" si="46"/>
        <v>0.57765737177046772</v>
      </c>
      <c r="CZ15" s="21">
        <f t="shared" si="46"/>
        <v>0.56821263900189856</v>
      </c>
      <c r="DA15" s="880">
        <f t="shared" ref="DA15:DF15" si="47">DA14/DA8</f>
        <v>0.54716981132075482</v>
      </c>
      <c r="DB15" s="881">
        <f t="shared" si="47"/>
        <v>0.51072580406544965</v>
      </c>
      <c r="DC15" s="881">
        <f t="shared" si="47"/>
        <v>0.49427743018464826</v>
      </c>
      <c r="DD15" s="881">
        <f t="shared" si="47"/>
        <v>0.49466877804169973</v>
      </c>
      <c r="DE15" s="881">
        <f t="shared" si="47"/>
        <v>0.4951906958036183</v>
      </c>
      <c r="DF15" s="885">
        <f t="shared" si="47"/>
        <v>0.49463784220354701</v>
      </c>
      <c r="DG15" s="7"/>
      <c r="DH15" s="7"/>
      <c r="DI15" s="7"/>
      <c r="DJ15" s="7"/>
      <c r="DK15"/>
      <c r="DL15"/>
      <c r="DM15"/>
      <c r="DN15"/>
      <c r="DO15"/>
      <c r="DP15"/>
      <c r="DQ15" s="7"/>
      <c r="DR15" s="7"/>
    </row>
    <row r="16" spans="1:122" s="7" customFormat="1" ht="14.25" hidden="1" outlineLevel="1">
      <c r="A16" s="505"/>
      <c r="B16" s="25" t="s">
        <v>11</v>
      </c>
      <c r="C16" s="26"/>
      <c r="D16" s="27"/>
      <c r="E16" s="28"/>
      <c r="F16" s="28"/>
      <c r="G16" s="53"/>
      <c r="H16" s="28"/>
      <c r="I16" s="28"/>
      <c r="J16" s="28"/>
      <c r="K16" s="53"/>
      <c r="L16" s="28"/>
      <c r="M16" s="28"/>
      <c r="N16" s="28"/>
      <c r="O16" s="53"/>
      <c r="P16" s="28">
        <v>0.35</v>
      </c>
      <c r="Q16" s="28">
        <v>0.56000000000000005</v>
      </c>
      <c r="R16" s="28">
        <v>0.60399999999999998</v>
      </c>
      <c r="S16" s="53">
        <v>0.7</v>
      </c>
      <c r="T16" s="28">
        <v>0.125</v>
      </c>
      <c r="U16" s="28">
        <v>0.27600000000000002</v>
      </c>
      <c r="V16" s="28">
        <v>0.47499999999999998</v>
      </c>
      <c r="W16" s="53">
        <f>1.274-V16-U16-T16</f>
        <v>0.39800000000000002</v>
      </c>
      <c r="X16" s="28">
        <v>0.83399999999999996</v>
      </c>
      <c r="Y16" s="28">
        <v>0.67700000000000005</v>
      </c>
      <c r="Z16" s="28">
        <v>0.65100000000000002</v>
      </c>
      <c r="AA16" s="28">
        <v>0.81200000000000006</v>
      </c>
      <c r="AB16" s="27">
        <v>0.90900000000000003</v>
      </c>
      <c r="AC16" s="28">
        <v>0.82799999999999996</v>
      </c>
      <c r="AD16" s="28">
        <v>0.52200000000000002</v>
      </c>
      <c r="AE16" s="28">
        <v>0.87</v>
      </c>
      <c r="AF16" s="27">
        <v>0.98699999999999999</v>
      </c>
      <c r="AG16" s="28">
        <v>0.84399999999999997</v>
      </c>
      <c r="AH16" s="28">
        <v>0.92100000000000004</v>
      </c>
      <c r="AI16" s="41">
        <f>3.857-AH16-AG16-AF16</f>
        <v>1.105</v>
      </c>
      <c r="AJ16" s="27">
        <v>1.345</v>
      </c>
      <c r="AK16" s="28">
        <v>1.8740000000000001</v>
      </c>
      <c r="AL16" s="28">
        <v>2.1779999999999999</v>
      </c>
      <c r="AM16" s="53">
        <v>2.16</v>
      </c>
      <c r="AN16" s="27">
        <v>2.5169999999999999</v>
      </c>
      <c r="AO16" s="521">
        <v>2.4020000000000001</v>
      </c>
      <c r="AP16" s="28">
        <v>2.1110000000000002</v>
      </c>
      <c r="AQ16" s="53">
        <v>2.3889999999999998</v>
      </c>
      <c r="AR16" s="27">
        <v>2.4060000000000001</v>
      </c>
      <c r="AS16" s="521">
        <v>2.7</v>
      </c>
      <c r="AT16" s="28">
        <v>2.4</v>
      </c>
      <c r="AU16" s="53">
        <v>2.7</v>
      </c>
      <c r="AV16" s="27">
        <v>2.7</v>
      </c>
      <c r="AW16" s="521">
        <v>2.8</v>
      </c>
      <c r="AX16" s="28">
        <v>2.4</v>
      </c>
      <c r="AY16" s="53">
        <v>3.3</v>
      </c>
      <c r="AZ16" s="27">
        <v>3.2</v>
      </c>
      <c r="BA16" s="521">
        <v>3.8</v>
      </c>
      <c r="BB16" s="28">
        <v>3.6</v>
      </c>
      <c r="BC16" s="53">
        <v>3.9</v>
      </c>
      <c r="BD16" s="27">
        <v>4</v>
      </c>
      <c r="BE16" s="521">
        <v>3.2</v>
      </c>
      <c r="BF16" s="28">
        <v>2.2000000000000002</v>
      </c>
      <c r="BG16" s="53">
        <v>1.9</v>
      </c>
      <c r="BH16" s="27">
        <v>3.8</v>
      </c>
      <c r="BI16" s="521">
        <v>3.4</v>
      </c>
      <c r="BJ16" s="28">
        <v>2.9</v>
      </c>
      <c r="BK16" s="53">
        <v>3.5</v>
      </c>
      <c r="BL16" s="27">
        <v>4.0999999999999996</v>
      </c>
      <c r="BM16" s="29">
        <v>4</v>
      </c>
      <c r="BN16" s="29">
        <f t="shared" ref="BM16:BO18" si="48">BM16</f>
        <v>4</v>
      </c>
      <c r="BO16" s="388">
        <f t="shared" si="48"/>
        <v>4</v>
      </c>
      <c r="BP16" s="833">
        <f t="shared" ref="BP16:BS18" si="49">BO16</f>
        <v>4</v>
      </c>
      <c r="BQ16" s="29">
        <f t="shared" si="49"/>
        <v>4</v>
      </c>
      <c r="BR16" s="29">
        <f t="shared" si="49"/>
        <v>4</v>
      </c>
      <c r="BS16" s="388">
        <f t="shared" si="49"/>
        <v>4</v>
      </c>
      <c r="BT16" s="833">
        <f t="shared" ref="BT16:BT18" si="50">BS16</f>
        <v>4</v>
      </c>
      <c r="BU16" s="29">
        <f t="shared" ref="BU16:BU18" si="51">BT16</f>
        <v>4</v>
      </c>
      <c r="BV16" s="29">
        <f t="shared" ref="BV16:BV18" si="52">BU16</f>
        <v>4</v>
      </c>
      <c r="BW16" s="388">
        <f t="shared" ref="BW16:BW18" si="53">BV16</f>
        <v>4</v>
      </c>
      <c r="BX16" s="67">
        <f>AY16</f>
        <v>3.3</v>
      </c>
      <c r="BY16" s="30">
        <f>SUM(D16:G16)</f>
        <v>0</v>
      </c>
      <c r="BZ16" s="31">
        <f>SUM(H16:K16)</f>
        <v>0</v>
      </c>
      <c r="CA16" s="31">
        <f>SUM(L16:O16)</f>
        <v>0</v>
      </c>
      <c r="CB16" s="31">
        <f>SUM(P16:S16)</f>
        <v>2.214</v>
      </c>
      <c r="CC16" s="31">
        <f>SUM(T16:W16)</f>
        <v>1.274</v>
      </c>
      <c r="CD16" s="31">
        <f>SUM(X16:AA16)</f>
        <v>2.9740000000000002</v>
      </c>
      <c r="CE16" s="31">
        <f>SUM(AB16:AE16)</f>
        <v>3.1290000000000004</v>
      </c>
      <c r="CF16" s="31">
        <f>SUM(AF16:AI16)</f>
        <v>3.8569999999999998</v>
      </c>
      <c r="CG16" s="31">
        <f>SUM(AJ16:AM16)</f>
        <v>7.5570000000000004</v>
      </c>
      <c r="CH16" s="31">
        <f>SUM(AN16:AQ16)</f>
        <v>9.4190000000000005</v>
      </c>
      <c r="CI16" s="32">
        <f>SUM(AR16:AU16)</f>
        <v>10.206</v>
      </c>
      <c r="CJ16" s="30">
        <f>SUM(AV16:AY16)</f>
        <v>11.2</v>
      </c>
      <c r="CK16" s="31">
        <f>SUM(AZ16:BC16)</f>
        <v>14.5</v>
      </c>
      <c r="CL16" s="31">
        <f>SUM(BD16:BG16)</f>
        <v>11.3</v>
      </c>
      <c r="CM16" s="31">
        <f>SUM(BH16:BK16)</f>
        <v>13.6</v>
      </c>
      <c r="CN16" s="31">
        <f>SUM(BL16:BO16)</f>
        <v>16.100000000000001</v>
      </c>
      <c r="CO16" s="31">
        <f>SUM(BP16:BS16)</f>
        <v>16</v>
      </c>
      <c r="CP16" s="32">
        <f>SUM(BT16:BW16)</f>
        <v>16</v>
      </c>
      <c r="CQ16" s="106"/>
      <c r="CR16" s="193">
        <f>SUM(M16:P16)</f>
        <v>0.35</v>
      </c>
      <c r="CS16" s="75">
        <f>SUM(Q16:T16)</f>
        <v>1.9890000000000001</v>
      </c>
      <c r="CT16" s="75">
        <f>SUM(U16:X16)</f>
        <v>1.9830000000000001</v>
      </c>
      <c r="CU16" s="75">
        <f>SUM(Y16:AB16)</f>
        <v>3.0490000000000004</v>
      </c>
      <c r="CV16" s="75">
        <f>SUM(AC16:AF16)</f>
        <v>3.2070000000000003</v>
      </c>
      <c r="CW16" s="75">
        <f>SUM(AG16:AJ16)</f>
        <v>4.2149999999999999</v>
      </c>
      <c r="CX16" s="75">
        <f>SUM(AK16:AN16)</f>
        <v>8.7289999999999992</v>
      </c>
      <c r="CY16" s="75">
        <f>SUM(AO16:AR16)</f>
        <v>9.3079999999999998</v>
      </c>
      <c r="CZ16" s="75">
        <f>SUM(AS16:AV16)</f>
        <v>10.5</v>
      </c>
      <c r="DA16" s="193">
        <f>SUM(AW16:AZ16)</f>
        <v>11.7</v>
      </c>
      <c r="DB16" s="75">
        <f>SUM(BA16:BD16)</f>
        <v>15.3</v>
      </c>
      <c r="DC16" s="75">
        <f>SUM(BE16:BH16)</f>
        <v>11.100000000000001</v>
      </c>
      <c r="DD16" s="75">
        <f>SUM(BI16:BL16)</f>
        <v>13.9</v>
      </c>
      <c r="DE16" s="75">
        <f>SUM(BM16:BP16)</f>
        <v>16</v>
      </c>
      <c r="DF16" s="76">
        <f>SUM(BQ16:BT16)</f>
        <v>16</v>
      </c>
      <c r="DK16"/>
      <c r="DL16"/>
      <c r="DM16"/>
      <c r="DN16"/>
      <c r="DO16"/>
      <c r="DP16"/>
    </row>
    <row r="17" spans="1:122" s="7" customFormat="1" ht="14.25" hidden="1" outlineLevel="1">
      <c r="A17" s="505"/>
      <c r="B17" s="25" t="s">
        <v>238</v>
      </c>
      <c r="C17" s="26"/>
      <c r="D17" s="27">
        <v>-4.8049999999999997</v>
      </c>
      <c r="E17" s="28">
        <v>0</v>
      </c>
      <c r="F17" s="28"/>
      <c r="G17" s="53"/>
      <c r="H17" s="28"/>
      <c r="I17" s="28">
        <v>0.97399999999999998</v>
      </c>
      <c r="J17" s="28">
        <v>0</v>
      </c>
      <c r="K17" s="53"/>
      <c r="L17" s="28"/>
      <c r="M17" s="28"/>
      <c r="N17" s="28"/>
      <c r="O17" s="53">
        <v>0.998</v>
      </c>
      <c r="P17" s="28">
        <v>0.4</v>
      </c>
      <c r="Q17" s="28"/>
      <c r="R17" s="28"/>
      <c r="S17" s="53">
        <v>23.256</v>
      </c>
      <c r="T17" s="28"/>
      <c r="U17" s="28"/>
      <c r="V17" s="28">
        <v>-1.2490000000000001</v>
      </c>
      <c r="W17" s="53"/>
      <c r="X17" s="28">
        <v>0.61499999999999999</v>
      </c>
      <c r="Y17" s="28">
        <v>0.33600000000000002</v>
      </c>
      <c r="Z17" s="28">
        <v>0.33</v>
      </c>
      <c r="AA17" s="28">
        <v>0.308</v>
      </c>
      <c r="AB17" s="27">
        <v>0</v>
      </c>
      <c r="AC17" s="28">
        <v>3.4580000000000002</v>
      </c>
      <c r="AD17" s="28">
        <v>0</v>
      </c>
      <c r="AE17" s="28">
        <v>0</v>
      </c>
      <c r="AF17" s="27">
        <v>0</v>
      </c>
      <c r="AG17" s="28">
        <v>0</v>
      </c>
      <c r="AH17" s="28">
        <v>0</v>
      </c>
      <c r="AI17" s="28">
        <v>0</v>
      </c>
      <c r="AJ17" s="27">
        <v>0</v>
      </c>
      <c r="AK17" s="28">
        <v>0</v>
      </c>
      <c r="AL17" s="28">
        <v>1.617</v>
      </c>
      <c r="AM17" s="53">
        <v>2.9550000000000001</v>
      </c>
      <c r="AN17" s="27">
        <v>7.5999999999999998E-2</v>
      </c>
      <c r="AO17" s="28">
        <v>2.8460000000000001</v>
      </c>
      <c r="AP17" s="28">
        <v>0.65200000000000002</v>
      </c>
      <c r="AQ17" s="53">
        <v>0.65300000000000002</v>
      </c>
      <c r="AR17" s="27">
        <v>1.0999999999999999E-2</v>
      </c>
      <c r="AS17" s="28">
        <v>0</v>
      </c>
      <c r="AT17" s="28">
        <v>1.2</v>
      </c>
      <c r="AU17" s="53">
        <v>0</v>
      </c>
      <c r="AV17" s="27">
        <v>0</v>
      </c>
      <c r="AW17" s="28">
        <v>0</v>
      </c>
      <c r="AX17" s="28">
        <v>0</v>
      </c>
      <c r="AY17" s="53">
        <v>2.2999999999999998</v>
      </c>
      <c r="AZ17" s="27">
        <v>0.2</v>
      </c>
      <c r="BA17" s="28">
        <v>0</v>
      </c>
      <c r="BB17" s="28">
        <v>0</v>
      </c>
      <c r="BC17" s="53">
        <v>0</v>
      </c>
      <c r="BD17" s="27">
        <v>0</v>
      </c>
      <c r="BE17" s="28">
        <v>0</v>
      </c>
      <c r="BF17" s="28">
        <v>1.8</v>
      </c>
      <c r="BG17" s="53">
        <v>-0.4</v>
      </c>
      <c r="BH17" s="27">
        <v>0</v>
      </c>
      <c r="BI17" s="28">
        <v>0</v>
      </c>
      <c r="BJ17" s="28">
        <v>0</v>
      </c>
      <c r="BK17" s="53">
        <v>0</v>
      </c>
      <c r="BL17" s="27">
        <v>0</v>
      </c>
      <c r="BM17" s="43">
        <f t="shared" si="48"/>
        <v>0</v>
      </c>
      <c r="BN17" s="43">
        <f t="shared" si="48"/>
        <v>0</v>
      </c>
      <c r="BO17" s="389">
        <f t="shared" si="48"/>
        <v>0</v>
      </c>
      <c r="BP17" s="832">
        <f t="shared" si="49"/>
        <v>0</v>
      </c>
      <c r="BQ17" s="43">
        <f t="shared" si="49"/>
        <v>0</v>
      </c>
      <c r="BR17" s="43">
        <f t="shared" si="49"/>
        <v>0</v>
      </c>
      <c r="BS17" s="389">
        <f t="shared" si="49"/>
        <v>0</v>
      </c>
      <c r="BT17" s="832">
        <f t="shared" si="50"/>
        <v>0</v>
      </c>
      <c r="BU17" s="43">
        <f t="shared" si="51"/>
        <v>0</v>
      </c>
      <c r="BV17" s="43">
        <f t="shared" si="52"/>
        <v>0</v>
      </c>
      <c r="BW17" s="389">
        <f t="shared" si="53"/>
        <v>0</v>
      </c>
      <c r="BX17" s="67"/>
      <c r="BY17" s="30">
        <f>SUM(D17:G17)</f>
        <v>-4.8049999999999997</v>
      </c>
      <c r="BZ17" s="31">
        <f>SUM(H17:K17)</f>
        <v>0.97399999999999998</v>
      </c>
      <c r="CA17" s="31">
        <f>SUM(L17:O17)</f>
        <v>0.998</v>
      </c>
      <c r="CB17" s="31">
        <f>SUM(P17:S17)</f>
        <v>23.655999999999999</v>
      </c>
      <c r="CC17" s="31">
        <f>SUM(T17:W17)</f>
        <v>-1.2490000000000001</v>
      </c>
      <c r="CD17" s="31">
        <f>SUM(X17:AA17)</f>
        <v>1.5890000000000002</v>
      </c>
      <c r="CE17" s="31">
        <f>SUM(AB17:AE17)</f>
        <v>3.4580000000000002</v>
      </c>
      <c r="CF17" s="31">
        <f>SUM(AF17:AI17)</f>
        <v>0</v>
      </c>
      <c r="CG17" s="31">
        <f>SUM(AJ17:AM17)</f>
        <v>4.5720000000000001</v>
      </c>
      <c r="CH17" s="31">
        <f>SUM(AN17:AQ17)</f>
        <v>4.2270000000000003</v>
      </c>
      <c r="CI17" s="32">
        <f>SUM(AR17:AU17)</f>
        <v>1.2109999999999999</v>
      </c>
      <c r="CJ17" s="30">
        <f>SUM(AV17:AY17)</f>
        <v>2.2999999999999998</v>
      </c>
      <c r="CK17" s="31">
        <f>SUM(AZ17:BC17)</f>
        <v>0.2</v>
      </c>
      <c r="CL17" s="31">
        <f>SUM(BD17:BG17)</f>
        <v>1.4</v>
      </c>
      <c r="CM17" s="31">
        <f>SUM(BH17:BK17)</f>
        <v>0</v>
      </c>
      <c r="CN17" s="31">
        <f>SUM(BL17:BO17)</f>
        <v>0</v>
      </c>
      <c r="CO17" s="31">
        <f>SUM(BP17:BS17)</f>
        <v>0</v>
      </c>
      <c r="CP17" s="32">
        <f>SUM(BT17:BW17)</f>
        <v>0</v>
      </c>
      <c r="CQ17" s="106"/>
      <c r="CR17" s="193">
        <f>SUM(M17:P17)</f>
        <v>1.3980000000000001</v>
      </c>
      <c r="CS17" s="75">
        <f>SUM(Q17:T17)</f>
        <v>23.256</v>
      </c>
      <c r="CT17" s="75">
        <f>SUM(U17:X17)</f>
        <v>-0.63400000000000012</v>
      </c>
      <c r="CU17" s="75">
        <f>SUM(Y17:AB17)</f>
        <v>0.97399999999999998</v>
      </c>
      <c r="CV17" s="75">
        <f>SUM(AC17:AF17)</f>
        <v>3.4580000000000002</v>
      </c>
      <c r="CW17" s="75">
        <f>SUM(AG17:AJ17)</f>
        <v>0</v>
      </c>
      <c r="CX17" s="75">
        <f>SUM(AK17:AN17)</f>
        <v>4.6479999999999997</v>
      </c>
      <c r="CY17" s="75">
        <f>SUM(AO17:AR17)</f>
        <v>4.1619999999999999</v>
      </c>
      <c r="CZ17" s="75">
        <f>SUM(AS17:AV17)</f>
        <v>1.2</v>
      </c>
      <c r="DA17" s="193">
        <f>SUM(AW17:AZ17)</f>
        <v>2.5</v>
      </c>
      <c r="DB17" s="75">
        <f>SUM(BA17:BD17)</f>
        <v>0</v>
      </c>
      <c r="DC17" s="75">
        <f>SUM(BE17:BH17)</f>
        <v>1.4</v>
      </c>
      <c r="DD17" s="75">
        <f>SUM(BI17:BL17)</f>
        <v>0</v>
      </c>
      <c r="DE17" s="75">
        <f>SUM(BM17:BP17)</f>
        <v>0</v>
      </c>
      <c r="DF17" s="76">
        <f>SUM(BQ17:BT17)</f>
        <v>0</v>
      </c>
      <c r="DK17"/>
      <c r="DL17"/>
      <c r="DM17"/>
      <c r="DN17"/>
      <c r="DO17"/>
      <c r="DP17"/>
    </row>
    <row r="18" spans="1:122" s="7" customFormat="1" ht="14.25" hidden="1" outlineLevel="1">
      <c r="A18" s="505"/>
      <c r="B18" s="25" t="s">
        <v>12</v>
      </c>
      <c r="C18" s="26"/>
      <c r="D18" s="27"/>
      <c r="E18" s="28"/>
      <c r="F18" s="28"/>
      <c r="G18" s="53"/>
      <c r="H18" s="28"/>
      <c r="I18" s="28"/>
      <c r="J18" s="28"/>
      <c r="K18" s="53"/>
      <c r="L18" s="28"/>
      <c r="M18" s="28"/>
      <c r="N18" s="28"/>
      <c r="O18" s="53"/>
      <c r="P18" s="28"/>
      <c r="Q18" s="28"/>
      <c r="R18" s="28"/>
      <c r="S18" s="53"/>
      <c r="T18" s="28"/>
      <c r="U18" s="28"/>
      <c r="V18" s="28"/>
      <c r="W18" s="53"/>
      <c r="X18" s="28">
        <v>0</v>
      </c>
      <c r="Y18" s="28">
        <v>0</v>
      </c>
      <c r="Z18" s="28">
        <v>0</v>
      </c>
      <c r="AA18" s="28">
        <v>0</v>
      </c>
      <c r="AB18" s="27">
        <v>0</v>
      </c>
      <c r="AC18" s="28">
        <v>0</v>
      </c>
      <c r="AD18" s="28">
        <v>0</v>
      </c>
      <c r="AE18" s="28">
        <v>0</v>
      </c>
      <c r="AF18" s="27">
        <v>0</v>
      </c>
      <c r="AG18" s="28">
        <v>0</v>
      </c>
      <c r="AH18" s="28">
        <v>0</v>
      </c>
      <c r="AI18" s="28">
        <v>0</v>
      </c>
      <c r="AJ18" s="27">
        <v>0</v>
      </c>
      <c r="AK18" s="28">
        <v>0</v>
      </c>
      <c r="AL18" s="28">
        <v>0</v>
      </c>
      <c r="AM18" s="53">
        <v>0</v>
      </c>
      <c r="AN18" s="27">
        <v>0</v>
      </c>
      <c r="AO18" s="28">
        <v>0</v>
      </c>
      <c r="AP18" s="28">
        <v>0</v>
      </c>
      <c r="AQ18" s="53">
        <v>0</v>
      </c>
      <c r="AR18" s="27">
        <v>0</v>
      </c>
      <c r="AS18" s="28">
        <v>0</v>
      </c>
      <c r="AT18" s="28">
        <v>0</v>
      </c>
      <c r="AU18" s="53">
        <v>0</v>
      </c>
      <c r="AV18" s="27">
        <v>0</v>
      </c>
      <c r="AW18" s="28">
        <v>0</v>
      </c>
      <c r="AX18" s="28">
        <v>0</v>
      </c>
      <c r="AY18" s="53">
        <v>0</v>
      </c>
      <c r="AZ18" s="27">
        <v>0</v>
      </c>
      <c r="BA18" s="28">
        <v>0</v>
      </c>
      <c r="BB18" s="28">
        <v>0</v>
      </c>
      <c r="BC18" s="53">
        <v>0</v>
      </c>
      <c r="BD18" s="27">
        <v>0</v>
      </c>
      <c r="BE18" s="28">
        <v>0</v>
      </c>
      <c r="BF18" s="28">
        <v>0</v>
      </c>
      <c r="BG18" s="53">
        <v>0</v>
      </c>
      <c r="BH18" s="27">
        <v>0</v>
      </c>
      <c r="BI18" s="28">
        <v>0</v>
      </c>
      <c r="BJ18" s="28">
        <v>0</v>
      </c>
      <c r="BK18" s="53">
        <v>0</v>
      </c>
      <c r="BL18" s="27">
        <v>0</v>
      </c>
      <c r="BM18" s="29">
        <f t="shared" si="48"/>
        <v>0</v>
      </c>
      <c r="BN18" s="29">
        <f t="shared" si="48"/>
        <v>0</v>
      </c>
      <c r="BO18" s="388">
        <f t="shared" si="48"/>
        <v>0</v>
      </c>
      <c r="BP18" s="833">
        <f t="shared" si="49"/>
        <v>0</v>
      </c>
      <c r="BQ18" s="29">
        <f t="shared" si="49"/>
        <v>0</v>
      </c>
      <c r="BR18" s="29">
        <f t="shared" si="49"/>
        <v>0</v>
      </c>
      <c r="BS18" s="388">
        <f t="shared" si="49"/>
        <v>0</v>
      </c>
      <c r="BT18" s="833">
        <f t="shared" si="50"/>
        <v>0</v>
      </c>
      <c r="BU18" s="29">
        <f t="shared" si="51"/>
        <v>0</v>
      </c>
      <c r="BV18" s="29">
        <f t="shared" si="52"/>
        <v>0</v>
      </c>
      <c r="BW18" s="388">
        <f t="shared" si="53"/>
        <v>0</v>
      </c>
      <c r="BX18" s="67"/>
      <c r="BY18" s="30">
        <f>SUM(D18:G18)</f>
        <v>0</v>
      </c>
      <c r="BZ18" s="31">
        <f>SUM(H18:K18)</f>
        <v>0</v>
      </c>
      <c r="CA18" s="31">
        <f>SUM(L18:O18)</f>
        <v>0</v>
      </c>
      <c r="CB18" s="31">
        <f>SUM(P18:S18)</f>
        <v>0</v>
      </c>
      <c r="CC18" s="31">
        <f>SUM(T18:W18)</f>
        <v>0</v>
      </c>
      <c r="CD18" s="31">
        <f>SUM(X18:AA18)</f>
        <v>0</v>
      </c>
      <c r="CE18" s="31">
        <f>SUM(AB18:AE18)</f>
        <v>0</v>
      </c>
      <c r="CF18" s="31">
        <f>SUM(AF18:AI18)</f>
        <v>0</v>
      </c>
      <c r="CG18" s="31">
        <f>SUM(AJ18:AM18)</f>
        <v>0</v>
      </c>
      <c r="CH18" s="31">
        <f>SUM(AN18:AQ18)</f>
        <v>0</v>
      </c>
      <c r="CI18" s="32">
        <f>SUM(AR18:AU18)</f>
        <v>0</v>
      </c>
      <c r="CJ18" s="30">
        <f>SUM(AV18:AY18)</f>
        <v>0</v>
      </c>
      <c r="CK18" s="31">
        <f>SUM(AZ18:BC18)</f>
        <v>0</v>
      </c>
      <c r="CL18" s="31">
        <f>SUM(BD18:BG18)</f>
        <v>0</v>
      </c>
      <c r="CM18" s="31">
        <f>SUM(BH18:BK18)</f>
        <v>0</v>
      </c>
      <c r="CN18" s="31">
        <f>SUM(BL18:BO18)</f>
        <v>0</v>
      </c>
      <c r="CO18" s="31">
        <f>SUM(BP18:BS18)</f>
        <v>0</v>
      </c>
      <c r="CP18" s="32">
        <f>SUM(BT18:BW18)</f>
        <v>0</v>
      </c>
      <c r="CQ18" s="106"/>
      <c r="CR18" s="193">
        <f>SUM(M18:P18)</f>
        <v>0</v>
      </c>
      <c r="CS18" s="75">
        <f>SUM(Q18:T18)</f>
        <v>0</v>
      </c>
      <c r="CT18" s="75">
        <f>SUM(U18:X18)</f>
        <v>0</v>
      </c>
      <c r="CU18" s="75">
        <f>SUM(Y18:AB18)</f>
        <v>0</v>
      </c>
      <c r="CV18" s="75">
        <f>SUM(AC18:AF18)</f>
        <v>0</v>
      </c>
      <c r="CW18" s="75">
        <f>SUM(AG18:AJ18)</f>
        <v>0</v>
      </c>
      <c r="CX18" s="75">
        <f>SUM(AK18:AN18)</f>
        <v>0</v>
      </c>
      <c r="CY18" s="75">
        <f>SUM(AO18:AR18)</f>
        <v>0</v>
      </c>
      <c r="CZ18" s="75">
        <f>SUM(AS18:AV18)</f>
        <v>0</v>
      </c>
      <c r="DA18" s="193">
        <f>SUM(AW18:AZ18)</f>
        <v>0</v>
      </c>
      <c r="DB18" s="75">
        <f>SUM(BA18:BD18)</f>
        <v>0</v>
      </c>
      <c r="DC18" s="75">
        <f>SUM(BE18:BH18)</f>
        <v>0</v>
      </c>
      <c r="DD18" s="75">
        <f>SUM(BI18:BL18)</f>
        <v>0</v>
      </c>
      <c r="DE18" s="75">
        <f>SUM(BM18:BP18)</f>
        <v>0</v>
      </c>
      <c r="DF18" s="76">
        <f>SUM(BQ18:BT18)</f>
        <v>0</v>
      </c>
      <c r="DK18"/>
      <c r="DL18"/>
      <c r="DM18"/>
      <c r="DN18"/>
      <c r="DO18"/>
      <c r="DP18"/>
    </row>
    <row r="19" spans="1:122" s="7" customFormat="1" ht="14.25" hidden="1" outlineLevel="1">
      <c r="A19" s="505"/>
      <c r="B19" s="14" t="s">
        <v>13</v>
      </c>
      <c r="C19" s="24"/>
      <c r="D19" s="30">
        <f t="shared" ref="D19:S19" si="54">D14-D17-D16-D18</f>
        <v>99.878999999999991</v>
      </c>
      <c r="E19" s="31">
        <f t="shared" si="54"/>
        <v>93.844999999999999</v>
      </c>
      <c r="F19" s="31">
        <f t="shared" si="54"/>
        <v>94.120999999999995</v>
      </c>
      <c r="G19" s="32">
        <f t="shared" si="54"/>
        <v>87.90000000000002</v>
      </c>
      <c r="H19" s="31">
        <f t="shared" si="54"/>
        <v>105.54</v>
      </c>
      <c r="I19" s="31">
        <f t="shared" si="54"/>
        <v>110.29299999999999</v>
      </c>
      <c r="J19" s="31">
        <f t="shared" si="54"/>
        <v>123.593</v>
      </c>
      <c r="K19" s="32">
        <f t="shared" si="54"/>
        <v>130.40699999999998</v>
      </c>
      <c r="L19" s="31">
        <f t="shared" si="54"/>
        <v>132.14099999999999</v>
      </c>
      <c r="M19" s="31">
        <f t="shared" si="54"/>
        <v>117.90600000000001</v>
      </c>
      <c r="N19" s="31">
        <f t="shared" si="54"/>
        <v>113.658</v>
      </c>
      <c r="O19" s="32">
        <f t="shared" si="54"/>
        <v>119.89599999999997</v>
      </c>
      <c r="P19" s="31">
        <f t="shared" si="54"/>
        <v>122.852</v>
      </c>
      <c r="Q19" s="31">
        <f t="shared" si="54"/>
        <v>115.324</v>
      </c>
      <c r="R19" s="31">
        <f t="shared" si="54"/>
        <v>123.107</v>
      </c>
      <c r="S19" s="32">
        <f t="shared" si="54"/>
        <v>123.91799999999999</v>
      </c>
      <c r="T19" s="31">
        <f>T14-T17-T16-T18</f>
        <v>120.589</v>
      </c>
      <c r="U19" s="31">
        <f>U14-U17-U16-U18</f>
        <v>111.232</v>
      </c>
      <c r="V19" s="31">
        <f>V14-V17-V16-V18</f>
        <v>107.19200000000001</v>
      </c>
      <c r="W19" s="32">
        <f>W14-W17-W16-W18</f>
        <v>115.321</v>
      </c>
      <c r="X19" s="31">
        <f t="shared" ref="X19:AV19" si="55">X14-X17-X16-X18</f>
        <v>126.746</v>
      </c>
      <c r="Y19" s="31">
        <f t="shared" si="55"/>
        <v>120.32799999999999</v>
      </c>
      <c r="Z19" s="31">
        <f t="shared" si="55"/>
        <v>127.795</v>
      </c>
      <c r="AA19" s="31">
        <f t="shared" si="55"/>
        <v>137.62199999999996</v>
      </c>
      <c r="AB19" s="30">
        <f t="shared" si="55"/>
        <v>125.452</v>
      </c>
      <c r="AC19" s="31">
        <f t="shared" si="55"/>
        <v>103.82899999999999</v>
      </c>
      <c r="AD19" s="31">
        <f t="shared" si="55"/>
        <v>113.741</v>
      </c>
      <c r="AE19" s="31">
        <f t="shared" si="55"/>
        <v>134.74800000000005</v>
      </c>
      <c r="AF19" s="30">
        <f t="shared" si="55"/>
        <v>141.59700000000001</v>
      </c>
      <c r="AG19" s="31">
        <f t="shared" si="55"/>
        <v>137.36000000000001</v>
      </c>
      <c r="AH19" s="31">
        <f t="shared" si="55"/>
        <v>156.18300000000002</v>
      </c>
      <c r="AI19" s="31">
        <f t="shared" si="55"/>
        <v>176.01899999999992</v>
      </c>
      <c r="AJ19" s="30">
        <f t="shared" si="55"/>
        <v>185.23699999999999</v>
      </c>
      <c r="AK19" s="31">
        <f t="shared" si="55"/>
        <v>182.55600000000001</v>
      </c>
      <c r="AL19" s="31">
        <f t="shared" si="55"/>
        <v>196.05500000000001</v>
      </c>
      <c r="AM19" s="32">
        <f t="shared" si="55"/>
        <v>222.64099999999999</v>
      </c>
      <c r="AN19" s="30">
        <f t="shared" si="55"/>
        <v>219.297</v>
      </c>
      <c r="AO19" s="31">
        <f t="shared" si="55"/>
        <v>207.17000000000002</v>
      </c>
      <c r="AP19" s="31">
        <f t="shared" si="55"/>
        <v>220.97300000000001</v>
      </c>
      <c r="AQ19" s="32">
        <f t="shared" si="55"/>
        <v>240.398</v>
      </c>
      <c r="AR19" s="30">
        <f t="shared" si="55"/>
        <v>258.74099999999999</v>
      </c>
      <c r="AS19" s="31">
        <f>AS14-AS17-AS16-AS18</f>
        <v>245.8</v>
      </c>
      <c r="AT19" s="31">
        <f t="shared" si="55"/>
        <v>244.3</v>
      </c>
      <c r="AU19" s="32">
        <f t="shared" si="55"/>
        <v>265.2</v>
      </c>
      <c r="AV19" s="30">
        <f t="shared" si="55"/>
        <v>280.5</v>
      </c>
      <c r="AW19" s="31">
        <f t="shared" ref="AW19:BB19" si="56">AW14-AW17-AW16-AW18</f>
        <v>265.8</v>
      </c>
      <c r="AX19" s="31">
        <f t="shared" si="56"/>
        <v>320.40000000000003</v>
      </c>
      <c r="AY19" s="32">
        <f t="shared" si="56"/>
        <v>388.59999999999997</v>
      </c>
      <c r="AZ19" s="30">
        <f t="shared" si="56"/>
        <v>429.1</v>
      </c>
      <c r="BA19" s="31">
        <f t="shared" si="56"/>
        <v>406.09999999999997</v>
      </c>
      <c r="BB19" s="31">
        <f t="shared" si="56"/>
        <v>413.29999999999995</v>
      </c>
      <c r="BC19" s="32">
        <f t="shared" ref="BC19:BH19" si="57">BC14-BC17-BC16-BC18</f>
        <v>440.70000000000005</v>
      </c>
      <c r="BD19" s="30">
        <f t="shared" si="57"/>
        <v>450.7</v>
      </c>
      <c r="BE19" s="31">
        <f t="shared" si="57"/>
        <v>381.5</v>
      </c>
      <c r="BF19" s="31">
        <f t="shared" si="57"/>
        <v>369.4</v>
      </c>
      <c r="BG19" s="32">
        <f t="shared" si="57"/>
        <v>409.5</v>
      </c>
      <c r="BH19" s="30">
        <f t="shared" si="57"/>
        <v>446.59999999999997</v>
      </c>
      <c r="BI19" s="31">
        <f>BI14-BI17-BI16-BI18</f>
        <v>422.90000000000003</v>
      </c>
      <c r="BJ19" s="31">
        <f>BJ14-BJ17-BJ16-BJ18</f>
        <v>444.3</v>
      </c>
      <c r="BK19" s="32">
        <f t="shared" ref="BK19:BL19" si="58">BK14-BK17-BK16-BK18</f>
        <v>482.2</v>
      </c>
      <c r="BL19" s="30">
        <f t="shared" si="58"/>
        <v>511</v>
      </c>
      <c r="BM19" s="31">
        <f t="shared" ref="BM19:BS19" si="59">BM8-BM26</f>
        <v>444.541512985</v>
      </c>
      <c r="BN19" s="31">
        <f t="shared" si="59"/>
        <v>426.16675653290008</v>
      </c>
      <c r="BO19" s="32">
        <f t="shared" si="59"/>
        <v>506.11961399298275</v>
      </c>
      <c r="BP19" s="30">
        <f t="shared" si="59"/>
        <v>526.81568273969037</v>
      </c>
      <c r="BQ19" s="31">
        <f t="shared" si="59"/>
        <v>480.8846055929971</v>
      </c>
      <c r="BR19" s="31">
        <f t="shared" si="59"/>
        <v>480.50486066939754</v>
      </c>
      <c r="BS19" s="32">
        <f t="shared" si="59"/>
        <v>515.60178914862331</v>
      </c>
      <c r="BT19" s="30">
        <f t="shared" ref="BT19:BW19" si="60">BT8-BT26</f>
        <v>537.66635479954323</v>
      </c>
      <c r="BU19" s="31">
        <f t="shared" si="60"/>
        <v>508.33948579473679</v>
      </c>
      <c r="BV19" s="31">
        <f t="shared" si="60"/>
        <v>514.4667440276985</v>
      </c>
      <c r="BW19" s="32">
        <f t="shared" si="60"/>
        <v>556.5845377435121</v>
      </c>
      <c r="BX19" s="67"/>
      <c r="BY19" s="30">
        <f>BY14-BY17-BY16-BY18</f>
        <v>375.745</v>
      </c>
      <c r="BZ19" s="31">
        <f>BZ14-BZ17-BZ16-BZ18</f>
        <v>469.83300000000003</v>
      </c>
      <c r="CA19" s="31">
        <f>CA14-CA17-CA16-CA18</f>
        <v>483.60099999999994</v>
      </c>
      <c r="CB19" s="31">
        <f>CB14-CB17-CB16-CB18</f>
        <v>485.20100000000002</v>
      </c>
      <c r="CC19" s="31">
        <f>CC14-CC17-CC16-CC18</f>
        <v>454.334</v>
      </c>
      <c r="CD19" s="31">
        <f t="shared" ref="CD19:CJ19" si="61">CD14-CD17-CD16-CD18</f>
        <v>512.49099999999987</v>
      </c>
      <c r="CE19" s="31">
        <f t="shared" si="61"/>
        <v>477.77000000000004</v>
      </c>
      <c r="CF19" s="31">
        <f t="shared" si="61"/>
        <v>611.15899999999999</v>
      </c>
      <c r="CG19" s="31">
        <f t="shared" si="61"/>
        <v>786.48899999999992</v>
      </c>
      <c r="CH19" s="31">
        <f t="shared" si="61"/>
        <v>887.83799999999997</v>
      </c>
      <c r="CI19" s="32">
        <f t="shared" si="61"/>
        <v>1014.0410000000001</v>
      </c>
      <c r="CJ19" s="30">
        <f t="shared" si="61"/>
        <v>1255.3</v>
      </c>
      <c r="CK19" s="31">
        <f t="shared" ref="CK19:CP19" si="62">CK14-CK17-CK16-CK18</f>
        <v>1689.2</v>
      </c>
      <c r="CL19" s="31">
        <f t="shared" si="62"/>
        <v>1611.1</v>
      </c>
      <c r="CM19" s="31">
        <f t="shared" si="62"/>
        <v>1796.0000000000002</v>
      </c>
      <c r="CN19" s="31">
        <f t="shared" si="62"/>
        <v>1887.8278835108829</v>
      </c>
      <c r="CO19" s="31">
        <f t="shared" si="62"/>
        <v>2003.8069381507082</v>
      </c>
      <c r="CP19" s="32">
        <f t="shared" si="62"/>
        <v>2117.0571223654906</v>
      </c>
      <c r="CQ19" s="106"/>
      <c r="CR19" s="30">
        <f>CR14-CR17-CR16-CR18</f>
        <v>474.3119999999999</v>
      </c>
      <c r="CS19" s="31">
        <f>CS14-CS17-CS16-CS18</f>
        <v>482.93800000000005</v>
      </c>
      <c r="CT19" s="31">
        <f>CT14-CT17-CT16-CT18</f>
        <v>460.49099999999999</v>
      </c>
      <c r="CU19" s="31">
        <f t="shared" ref="CU19:CZ19" si="63">CU14-CU17-CU16-CU18</f>
        <v>511.197</v>
      </c>
      <c r="CV19" s="31">
        <f t="shared" si="63"/>
        <v>493.91500000000002</v>
      </c>
      <c r="CW19" s="31">
        <f t="shared" si="63"/>
        <v>654.79899999999986</v>
      </c>
      <c r="CX19" s="31">
        <f t="shared" si="63"/>
        <v>820.54899999999986</v>
      </c>
      <c r="CY19" s="31">
        <f t="shared" si="63"/>
        <v>927.28200000000004</v>
      </c>
      <c r="CZ19" s="31">
        <f t="shared" si="63"/>
        <v>1035.8</v>
      </c>
      <c r="DA19" s="30">
        <f t="shared" ref="DA19:DF19" si="64">DA14-DA17-DA16-DA18</f>
        <v>1403.9</v>
      </c>
      <c r="DB19" s="31">
        <f t="shared" si="64"/>
        <v>1710.8000000000002</v>
      </c>
      <c r="DC19" s="31">
        <f t="shared" si="64"/>
        <v>1607</v>
      </c>
      <c r="DD19" s="31">
        <f t="shared" si="64"/>
        <v>1860.4</v>
      </c>
      <c r="DE19" s="31">
        <f t="shared" si="64"/>
        <v>1903.6435662505733</v>
      </c>
      <c r="DF19" s="32">
        <f t="shared" si="64"/>
        <v>2014.657610210561</v>
      </c>
      <c r="DG19" s="42"/>
      <c r="DH19" s="42"/>
      <c r="DI19" s="42"/>
      <c r="DJ19" s="42"/>
      <c r="DK19"/>
      <c r="DL19"/>
      <c r="DM19"/>
      <c r="DN19"/>
      <c r="DO19"/>
      <c r="DP19"/>
      <c r="DQ19" s="42"/>
      <c r="DR19" s="42"/>
    </row>
    <row r="20" spans="1:122" s="42" customFormat="1" ht="14.25" hidden="1" outlineLevel="1">
      <c r="B20" s="19" t="s">
        <v>237</v>
      </c>
      <c r="C20" s="34"/>
      <c r="D20" s="20">
        <f t="shared" ref="D20:S20" si="65">D19/D10</f>
        <v>0.62348777107756848</v>
      </c>
      <c r="E20" s="21">
        <f t="shared" si="65"/>
        <v>0.59635621870313416</v>
      </c>
      <c r="F20" s="21">
        <f t="shared" si="65"/>
        <v>0.62664198829552786</v>
      </c>
      <c r="G20" s="37">
        <f t="shared" si="65"/>
        <v>0.58587501333048964</v>
      </c>
      <c r="H20" s="21">
        <f t="shared" si="65"/>
        <v>0.60271375379765635</v>
      </c>
      <c r="I20" s="21">
        <f t="shared" si="65"/>
        <v>0.60114677523968363</v>
      </c>
      <c r="J20" s="21">
        <f t="shared" si="65"/>
        <v>0.5959821966756198</v>
      </c>
      <c r="K20" s="37">
        <f t="shared" si="65"/>
        <v>0.59801345458047306</v>
      </c>
      <c r="L20" s="21">
        <f t="shared" si="65"/>
        <v>0.60020439680232551</v>
      </c>
      <c r="M20" s="21">
        <f t="shared" si="65"/>
        <v>1.1166927120329593</v>
      </c>
      <c r="N20" s="21">
        <f t="shared" si="65"/>
        <v>0.59341519954890043</v>
      </c>
      <c r="O20" s="37">
        <f t="shared" si="65"/>
        <v>0.4358364777130726</v>
      </c>
      <c r="P20" s="21">
        <f t="shared" si="65"/>
        <v>0.6194478759611749</v>
      </c>
      <c r="Q20" s="21">
        <f t="shared" si="65"/>
        <v>0.62258548646576761</v>
      </c>
      <c r="R20" s="21">
        <f t="shared" si="65"/>
        <v>0.62472470034203131</v>
      </c>
      <c r="S20" s="37">
        <f t="shared" si="65"/>
        <v>0.6253084457362581</v>
      </c>
      <c r="T20" s="21">
        <f>T19/T10</f>
        <v>0.61515584349334285</v>
      </c>
      <c r="U20" s="21">
        <f>U19/U10</f>
        <v>0.61723544753343318</v>
      </c>
      <c r="V20" s="21">
        <f>V19/V10</f>
        <v>0.61198367160514977</v>
      </c>
      <c r="W20" s="37">
        <f>W19/W10</f>
        <v>0.60550579142470118</v>
      </c>
      <c r="X20" s="21">
        <f t="shared" ref="X20:AW20" si="66">X19/X10</f>
        <v>0.60202438572575323</v>
      </c>
      <c r="Y20" s="21">
        <f t="shared" si="66"/>
        <v>0.5965455014178912</v>
      </c>
      <c r="Z20" s="21">
        <f t="shared" si="66"/>
        <v>0.59381534315319917</v>
      </c>
      <c r="AA20" s="21">
        <f t="shared" si="66"/>
        <v>0.59175459869456382</v>
      </c>
      <c r="AB20" s="20">
        <f t="shared" si="66"/>
        <v>0.59674258424187065</v>
      </c>
      <c r="AC20" s="21">
        <f t="shared" si="66"/>
        <v>0.6002023238337475</v>
      </c>
      <c r="AD20" s="21">
        <f t="shared" si="66"/>
        <v>0.59483926302081969</v>
      </c>
      <c r="AE20" s="21">
        <f t="shared" si="66"/>
        <v>0.59062179481560073</v>
      </c>
      <c r="AF20" s="20">
        <f t="shared" si="66"/>
        <v>0.57762158457685064</v>
      </c>
      <c r="AG20" s="21">
        <f t="shared" si="66"/>
        <v>0.57700224315082882</v>
      </c>
      <c r="AH20" s="21">
        <f t="shared" si="66"/>
        <v>0.56717507353742247</v>
      </c>
      <c r="AI20" s="21">
        <f t="shared" si="66"/>
        <v>0.56185302107040591</v>
      </c>
      <c r="AJ20" s="20">
        <f t="shared" si="66"/>
        <v>0.55274826927667697</v>
      </c>
      <c r="AK20" s="21">
        <f t="shared" si="66"/>
        <v>0.56100131833281608</v>
      </c>
      <c r="AL20" s="21">
        <f t="shared" si="66"/>
        <v>0.55060029488169626</v>
      </c>
      <c r="AM20" s="37">
        <f t="shared" si="66"/>
        <v>0.55339832370574371</v>
      </c>
      <c r="AN20" s="20">
        <f t="shared" si="66"/>
        <v>0.55695890689287342</v>
      </c>
      <c r="AO20" s="21">
        <f t="shared" si="66"/>
        <v>0.56807151279168611</v>
      </c>
      <c r="AP20" s="21">
        <f t="shared" si="66"/>
        <v>0.56799849886129372</v>
      </c>
      <c r="AQ20" s="37">
        <f t="shared" si="66"/>
        <v>0.57086340245967238</v>
      </c>
      <c r="AR20" s="20">
        <f t="shared" si="66"/>
        <v>0.57026203212091953</v>
      </c>
      <c r="AS20" s="21">
        <f t="shared" si="66"/>
        <v>0.57808090310442151</v>
      </c>
      <c r="AT20" s="21">
        <f t="shared" si="66"/>
        <v>0.56019261637239171</v>
      </c>
      <c r="AU20" s="37">
        <f t="shared" si="66"/>
        <v>0.55597484276729559</v>
      </c>
      <c r="AV20" s="20">
        <f t="shared" si="66"/>
        <v>0.55522565320665085</v>
      </c>
      <c r="AW20" s="21">
        <f t="shared" si="66"/>
        <v>0.55259875259875257</v>
      </c>
      <c r="AX20" s="21">
        <f t="shared" ref="AX20:BC20" si="67">AX19/AX10</f>
        <v>0.54582623509369688</v>
      </c>
      <c r="AY20" s="37">
        <f t="shared" si="67"/>
        <v>0.54107490949596204</v>
      </c>
      <c r="AZ20" s="20">
        <f t="shared" si="67"/>
        <v>0.5327126008690255</v>
      </c>
      <c r="BA20" s="21">
        <f t="shared" si="67"/>
        <v>0.5328697021388269</v>
      </c>
      <c r="BB20" s="21">
        <f t="shared" si="67"/>
        <v>0.51024691358024687</v>
      </c>
      <c r="BC20" s="37">
        <f t="shared" si="67"/>
        <v>0.50034059945504095</v>
      </c>
      <c r="BD20" s="20">
        <f t="shared" ref="BD20:BI20" si="68">BD19/BD10</f>
        <v>0.4862969356927061</v>
      </c>
      <c r="BE20" s="21">
        <f t="shared" si="68"/>
        <v>0.49219455554122049</v>
      </c>
      <c r="BF20" s="21">
        <f t="shared" si="68"/>
        <v>0.49141944924837028</v>
      </c>
      <c r="BG20" s="37">
        <f t="shared" si="68"/>
        <v>0.49018434282978213</v>
      </c>
      <c r="BH20" s="20">
        <f t="shared" si="68"/>
        <v>0.48846111779503443</v>
      </c>
      <c r="BI20" s="859">
        <f t="shared" si="68"/>
        <v>0.49653633908653283</v>
      </c>
      <c r="BJ20" s="859">
        <f t="shared" ref="BJ20:BS20" si="69">BJ19/BJ10</f>
        <v>0.49322824156305511</v>
      </c>
      <c r="BK20" s="885">
        <f t="shared" si="69"/>
        <v>0.48974202721917526</v>
      </c>
      <c r="BL20" s="880">
        <f t="shared" si="69"/>
        <v>0.48578762239756629</v>
      </c>
      <c r="BM20" s="881">
        <f t="shared" si="69"/>
        <v>0.49244984997232494</v>
      </c>
      <c r="BN20" s="881">
        <f t="shared" si="69"/>
        <v>0.49090822355202957</v>
      </c>
      <c r="BO20" s="885">
        <f t="shared" si="69"/>
        <v>0.49060223677145609</v>
      </c>
      <c r="BP20" s="20">
        <f t="shared" si="69"/>
        <v>0.49046631329307799</v>
      </c>
      <c r="BQ20" s="21">
        <f t="shared" si="69"/>
        <v>0.491692453291182</v>
      </c>
      <c r="BR20" s="21">
        <f t="shared" si="69"/>
        <v>0.49115841191053672</v>
      </c>
      <c r="BS20" s="37">
        <f t="shared" si="69"/>
        <v>0.48997318878614604</v>
      </c>
      <c r="BT20" s="880">
        <f t="shared" ref="BT20:BW20" si="70">BT19/BT10</f>
        <v>0.49025495046981565</v>
      </c>
      <c r="BU20" s="881">
        <f t="shared" si="70"/>
        <v>0.49013838392524794</v>
      </c>
      <c r="BV20" s="881">
        <f t="shared" si="70"/>
        <v>0.48967403297680068</v>
      </c>
      <c r="BW20" s="885">
        <f t="shared" si="70"/>
        <v>0.48990316844799336</v>
      </c>
      <c r="BX20" s="398"/>
      <c r="BY20" s="20">
        <f>BY19/BY10</f>
        <v>0.60820927533510638</v>
      </c>
      <c r="BZ20" s="21">
        <f>BZ19/BZ10</f>
        <v>0.599259205405964</v>
      </c>
      <c r="CA20" s="21">
        <f>CA19/CA10</f>
        <v>0.6103214277150476</v>
      </c>
      <c r="CB20" s="21">
        <f>CB19/CB10</f>
        <v>0.62302064233141752</v>
      </c>
      <c r="CC20" s="21">
        <f>CC19/CC10</f>
        <v>0.61243460596428656</v>
      </c>
      <c r="CD20" s="21">
        <f t="shared" ref="CD20:CJ20" si="71">CD19/CD10</f>
        <v>0.59590798786535593</v>
      </c>
      <c r="CE20" s="21">
        <f t="shared" si="71"/>
        <v>0.59529490628313553</v>
      </c>
      <c r="CF20" s="21">
        <f t="shared" si="71"/>
        <v>0.57019132359128943</v>
      </c>
      <c r="CG20" s="21">
        <f t="shared" si="71"/>
        <v>0.55428628212121589</v>
      </c>
      <c r="CH20" s="21">
        <f t="shared" si="71"/>
        <v>0.56601348607435631</v>
      </c>
      <c r="CI20" s="37">
        <f t="shared" si="71"/>
        <v>0.56586383098877635</v>
      </c>
      <c r="CJ20" s="880">
        <f t="shared" si="71"/>
        <v>0.54783102033691189</v>
      </c>
      <c r="CK20" s="881">
        <f t="shared" ref="CK20:CP20" si="72">CK19/CK10</f>
        <v>0.51841394549472142</v>
      </c>
      <c r="CL20" s="881">
        <f t="shared" si="72"/>
        <v>0.48984493767102455</v>
      </c>
      <c r="CM20" s="881">
        <f t="shared" si="72"/>
        <v>0.49186613353782116</v>
      </c>
      <c r="CN20" s="881">
        <f t="shared" si="72"/>
        <v>0.48978991227536789</v>
      </c>
      <c r="CO20" s="881">
        <f t="shared" si="72"/>
        <v>0.49079877502033131</v>
      </c>
      <c r="CP20" s="885">
        <f t="shared" si="72"/>
        <v>0.48999320610258013</v>
      </c>
      <c r="CQ20" s="107"/>
      <c r="CR20" s="20">
        <f>CR19/CR10</f>
        <v>0.61556111589854312</v>
      </c>
      <c r="CS20" s="21">
        <f>CS19/CS10</f>
        <v>0.6219476543896727</v>
      </c>
      <c r="CT20" s="21">
        <f>CT19/CT10</f>
        <v>0.6088316022169572</v>
      </c>
      <c r="CU20" s="21">
        <f t="shared" ref="CU20:CZ20" si="73">CU19/CU10</f>
        <v>0.59461424290925335</v>
      </c>
      <c r="CV20" s="21">
        <f t="shared" si="73"/>
        <v>0.58975840819021674</v>
      </c>
      <c r="CW20" s="21">
        <f t="shared" si="73"/>
        <v>0.5635922952649739</v>
      </c>
      <c r="CX20" s="21">
        <f t="shared" si="73"/>
        <v>0.55534732684417765</v>
      </c>
      <c r="CY20" s="21">
        <f t="shared" si="73"/>
        <v>0.56938628141110814</v>
      </c>
      <c r="CZ20" s="21">
        <f t="shared" si="73"/>
        <v>0.56186601573094652</v>
      </c>
      <c r="DA20" s="880">
        <f t="shared" ref="DA20:DF20" si="74">DA19/DA10</f>
        <v>0.54169078211212729</v>
      </c>
      <c r="DB20" s="881">
        <f t="shared" si="74"/>
        <v>0.50619877503920474</v>
      </c>
      <c r="DC20" s="881">
        <f t="shared" si="74"/>
        <v>0.49046238364108041</v>
      </c>
      <c r="DD20" s="881">
        <f t="shared" si="74"/>
        <v>0.49100026392187912</v>
      </c>
      <c r="DE20" s="881">
        <f t="shared" si="74"/>
        <v>0.49106334045903566</v>
      </c>
      <c r="DF20" s="885">
        <f t="shared" si="74"/>
        <v>0.49074048135085452</v>
      </c>
      <c r="DG20" s="7"/>
      <c r="DH20" s="7"/>
      <c r="DI20" s="7"/>
      <c r="DJ20" s="7"/>
      <c r="DK20"/>
      <c r="DL20"/>
      <c r="DM20"/>
      <c r="DN20"/>
      <c r="DO20"/>
      <c r="DP20"/>
      <c r="DQ20" s="7"/>
      <c r="DR20" s="7"/>
    </row>
    <row r="21" spans="1:122" s="7" customFormat="1" ht="14.25" hidden="1" outlineLevel="1">
      <c r="A21" s="505"/>
      <c r="B21" s="14" t="s">
        <v>14</v>
      </c>
      <c r="C21" s="24"/>
      <c r="D21" s="30">
        <f t="shared" ref="D21:R21" si="75">D14-D17-D18</f>
        <v>99.878999999999991</v>
      </c>
      <c r="E21" s="31">
        <f t="shared" si="75"/>
        <v>93.844999999999999</v>
      </c>
      <c r="F21" s="31">
        <f t="shared" si="75"/>
        <v>94.120999999999995</v>
      </c>
      <c r="G21" s="32">
        <f t="shared" si="75"/>
        <v>87.90000000000002</v>
      </c>
      <c r="H21" s="31">
        <f t="shared" si="75"/>
        <v>105.54</v>
      </c>
      <c r="I21" s="31">
        <f t="shared" si="75"/>
        <v>110.29299999999999</v>
      </c>
      <c r="J21" s="31">
        <f t="shared" si="75"/>
        <v>123.593</v>
      </c>
      <c r="K21" s="32">
        <f t="shared" si="75"/>
        <v>130.40699999999998</v>
      </c>
      <c r="L21" s="31">
        <f t="shared" si="75"/>
        <v>132.14099999999999</v>
      </c>
      <c r="M21" s="31">
        <f t="shared" si="75"/>
        <v>117.90600000000001</v>
      </c>
      <c r="N21" s="31">
        <f t="shared" si="75"/>
        <v>113.658</v>
      </c>
      <c r="O21" s="32">
        <f t="shared" si="75"/>
        <v>119.89599999999997</v>
      </c>
      <c r="P21" s="31">
        <f t="shared" si="75"/>
        <v>123.202</v>
      </c>
      <c r="Q21" s="31">
        <f t="shared" si="75"/>
        <v>115.884</v>
      </c>
      <c r="R21" s="31">
        <f t="shared" si="75"/>
        <v>123.711</v>
      </c>
      <c r="S21" s="32">
        <f>S14-S17-S18+S9</f>
        <v>119.58</v>
      </c>
      <c r="T21" s="31">
        <f t="shared" ref="T21:AJ21" si="76">T14-T17-T18</f>
        <v>120.714</v>
      </c>
      <c r="U21" s="31">
        <f t="shared" si="76"/>
        <v>111.508</v>
      </c>
      <c r="V21" s="31">
        <f t="shared" si="76"/>
        <v>107.667</v>
      </c>
      <c r="W21" s="32">
        <f t="shared" si="76"/>
        <v>115.71899999999999</v>
      </c>
      <c r="X21" s="31">
        <f t="shared" si="76"/>
        <v>127.58</v>
      </c>
      <c r="Y21" s="31">
        <f t="shared" si="76"/>
        <v>121.005</v>
      </c>
      <c r="Z21" s="31">
        <f t="shared" si="76"/>
        <v>128.446</v>
      </c>
      <c r="AA21" s="31">
        <f t="shared" si="76"/>
        <v>138.43399999999997</v>
      </c>
      <c r="AB21" s="30">
        <f t="shared" si="76"/>
        <v>126.361</v>
      </c>
      <c r="AC21" s="31">
        <f t="shared" si="76"/>
        <v>104.657</v>
      </c>
      <c r="AD21" s="31">
        <f t="shared" si="76"/>
        <v>114.26300000000001</v>
      </c>
      <c r="AE21" s="31">
        <f t="shared" si="76"/>
        <v>135.61800000000005</v>
      </c>
      <c r="AF21" s="30">
        <f t="shared" si="76"/>
        <v>142.584</v>
      </c>
      <c r="AG21" s="31">
        <f t="shared" si="76"/>
        <v>138.20400000000001</v>
      </c>
      <c r="AH21" s="31">
        <f t="shared" si="76"/>
        <v>157.10400000000001</v>
      </c>
      <c r="AI21" s="31">
        <f t="shared" si="76"/>
        <v>177.12399999999991</v>
      </c>
      <c r="AJ21" s="30">
        <f t="shared" si="76"/>
        <v>186.58199999999999</v>
      </c>
      <c r="AK21" s="31">
        <f t="shared" ref="AK21:AP21" si="77">AK14-AK17-AK18</f>
        <v>184.43</v>
      </c>
      <c r="AL21" s="31">
        <f t="shared" si="77"/>
        <v>198.233</v>
      </c>
      <c r="AM21" s="32">
        <f t="shared" si="77"/>
        <v>224.80099999999999</v>
      </c>
      <c r="AN21" s="30">
        <f t="shared" si="77"/>
        <v>221.81399999999999</v>
      </c>
      <c r="AO21" s="31">
        <f t="shared" si="77"/>
        <v>209.572</v>
      </c>
      <c r="AP21" s="31">
        <f t="shared" si="77"/>
        <v>223.084</v>
      </c>
      <c r="AQ21" s="32">
        <f t="shared" ref="AQ21:AV21" si="78">AQ14-AQ17-AQ18</f>
        <v>242.78700000000001</v>
      </c>
      <c r="AR21" s="30">
        <f t="shared" si="78"/>
        <v>261.14699999999999</v>
      </c>
      <c r="AS21" s="31">
        <f t="shared" si="78"/>
        <v>248.5</v>
      </c>
      <c r="AT21" s="31">
        <f t="shared" si="78"/>
        <v>246.70000000000002</v>
      </c>
      <c r="AU21" s="32">
        <f t="shared" si="78"/>
        <v>267.89999999999998</v>
      </c>
      <c r="AV21" s="30">
        <f t="shared" si="78"/>
        <v>283.2</v>
      </c>
      <c r="AW21" s="31">
        <f t="shared" ref="AW21:BB21" si="79">AW14-AW17-AW18</f>
        <v>268.60000000000002</v>
      </c>
      <c r="AX21" s="31">
        <f t="shared" si="79"/>
        <v>322.8</v>
      </c>
      <c r="AY21" s="32">
        <f t="shared" si="79"/>
        <v>391.9</v>
      </c>
      <c r="AZ21" s="30">
        <f t="shared" si="79"/>
        <v>432.3</v>
      </c>
      <c r="BA21" s="31">
        <f t="shared" si="79"/>
        <v>409.9</v>
      </c>
      <c r="BB21" s="31">
        <f t="shared" si="79"/>
        <v>416.9</v>
      </c>
      <c r="BC21" s="32">
        <f t="shared" ref="BC21:BH21" si="80">BC14-BC17-BC18</f>
        <v>444.6</v>
      </c>
      <c r="BD21" s="30">
        <f t="shared" si="80"/>
        <v>454.7</v>
      </c>
      <c r="BE21" s="31">
        <f t="shared" si="80"/>
        <v>384.7</v>
      </c>
      <c r="BF21" s="31">
        <f t="shared" si="80"/>
        <v>371.59999999999997</v>
      </c>
      <c r="BG21" s="32">
        <f t="shared" si="80"/>
        <v>411.4</v>
      </c>
      <c r="BH21" s="30">
        <f t="shared" si="80"/>
        <v>450.4</v>
      </c>
      <c r="BI21" s="31">
        <f>BI14-BI17-BI18</f>
        <v>426.3</v>
      </c>
      <c r="BJ21" s="31">
        <f>BJ14-BJ17-BJ18</f>
        <v>447.2</v>
      </c>
      <c r="BK21" s="32">
        <f t="shared" ref="BK21:BL21" si="81">BK14-BK17-BK18</f>
        <v>485.7</v>
      </c>
      <c r="BL21" s="30">
        <f t="shared" si="81"/>
        <v>515.1</v>
      </c>
      <c r="BM21" s="31">
        <f t="shared" ref="BM21:BS21" si="82">BM19+BM16</f>
        <v>448.541512985</v>
      </c>
      <c r="BN21" s="31">
        <f t="shared" si="82"/>
        <v>430.16675653290008</v>
      </c>
      <c r="BO21" s="32">
        <f t="shared" si="82"/>
        <v>510.11961399298275</v>
      </c>
      <c r="BP21" s="30">
        <f t="shared" si="82"/>
        <v>530.81568273969037</v>
      </c>
      <c r="BQ21" s="31">
        <f t="shared" si="82"/>
        <v>484.8846055929971</v>
      </c>
      <c r="BR21" s="31">
        <f t="shared" si="82"/>
        <v>484.50486066939754</v>
      </c>
      <c r="BS21" s="32">
        <f t="shared" si="82"/>
        <v>519.60178914862331</v>
      </c>
      <c r="BT21" s="30">
        <f t="shared" ref="BT21:BW21" si="83">BT19+BT16</f>
        <v>541.66635479954323</v>
      </c>
      <c r="BU21" s="31">
        <f t="shared" si="83"/>
        <v>512.33948579473679</v>
      </c>
      <c r="BV21" s="31">
        <f t="shared" si="83"/>
        <v>518.4667440276985</v>
      </c>
      <c r="BW21" s="32">
        <f t="shared" si="83"/>
        <v>560.5845377435121</v>
      </c>
      <c r="BX21" s="67"/>
      <c r="BY21" s="30">
        <f>BY14-BY17-BY18</f>
        <v>375.745</v>
      </c>
      <c r="BZ21" s="31">
        <f>BZ14-BZ17-BZ18</f>
        <v>469.83300000000003</v>
      </c>
      <c r="CA21" s="31">
        <f>CA14-CA17-CA18</f>
        <v>483.60099999999994</v>
      </c>
      <c r="CB21" s="31">
        <f>CB14-CB17-CB18+CB9</f>
        <v>482.37700000000001</v>
      </c>
      <c r="CC21" s="31">
        <f>CC14-CC17-CC18</f>
        <v>455.608</v>
      </c>
      <c r="CD21" s="31">
        <f t="shared" ref="CD21:CJ21" si="84">CD14-CD17-CD18</f>
        <v>515.46499999999992</v>
      </c>
      <c r="CE21" s="31">
        <f t="shared" si="84"/>
        <v>480.89900000000006</v>
      </c>
      <c r="CF21" s="31">
        <f t="shared" si="84"/>
        <v>615.01599999999996</v>
      </c>
      <c r="CG21" s="31">
        <f t="shared" si="84"/>
        <v>794.04599999999994</v>
      </c>
      <c r="CH21" s="31">
        <f t="shared" si="84"/>
        <v>897.25699999999995</v>
      </c>
      <c r="CI21" s="32">
        <f t="shared" si="84"/>
        <v>1024.2470000000001</v>
      </c>
      <c r="CJ21" s="30">
        <f t="shared" si="84"/>
        <v>1266.5</v>
      </c>
      <c r="CK21" s="31">
        <f t="shared" ref="CK21:CP21" si="85">CK14-CK17-CK18</f>
        <v>1703.7</v>
      </c>
      <c r="CL21" s="31">
        <f t="shared" si="85"/>
        <v>1622.3999999999999</v>
      </c>
      <c r="CM21" s="31">
        <f t="shared" si="85"/>
        <v>1809.6000000000001</v>
      </c>
      <c r="CN21" s="31">
        <f t="shared" si="85"/>
        <v>1903.9278835108828</v>
      </c>
      <c r="CO21" s="31">
        <f t="shared" si="85"/>
        <v>2019.8069381507082</v>
      </c>
      <c r="CP21" s="32">
        <f t="shared" si="85"/>
        <v>2133.0571223654906</v>
      </c>
      <c r="CQ21" s="106"/>
      <c r="CR21" s="30">
        <f>CR14-CR17-CR18</f>
        <v>474.66199999999992</v>
      </c>
      <c r="CS21" s="31">
        <f>CS14-CS17-CS18</f>
        <v>484.92700000000002</v>
      </c>
      <c r="CT21" s="31">
        <f>CT14-CT17-CT18</f>
        <v>462.47399999999999</v>
      </c>
      <c r="CU21" s="31">
        <f t="shared" ref="CU21:CZ21" si="86">CU14-CU17-CU18</f>
        <v>514.24599999999998</v>
      </c>
      <c r="CV21" s="31">
        <f t="shared" si="86"/>
        <v>497.12200000000001</v>
      </c>
      <c r="CW21" s="31">
        <f t="shared" si="86"/>
        <v>659.0139999999999</v>
      </c>
      <c r="CX21" s="31">
        <f t="shared" si="86"/>
        <v>829.27799999999991</v>
      </c>
      <c r="CY21" s="31">
        <f t="shared" si="86"/>
        <v>936.59</v>
      </c>
      <c r="CZ21" s="31">
        <f t="shared" si="86"/>
        <v>1046.3</v>
      </c>
      <c r="DA21" s="30">
        <f t="shared" ref="DA21:DF21" si="87">DA14-DA17-DA18</f>
        <v>1415.6000000000001</v>
      </c>
      <c r="DB21" s="31">
        <f t="shared" si="87"/>
        <v>1726.1000000000001</v>
      </c>
      <c r="DC21" s="31">
        <f t="shared" si="87"/>
        <v>1618.1</v>
      </c>
      <c r="DD21" s="31">
        <f t="shared" si="87"/>
        <v>1874.3000000000002</v>
      </c>
      <c r="DE21" s="31">
        <f t="shared" si="87"/>
        <v>1919.6435662505733</v>
      </c>
      <c r="DF21" s="32">
        <f t="shared" si="87"/>
        <v>2030.657610210561</v>
      </c>
      <c r="DG21" s="42"/>
      <c r="DH21" s="42"/>
      <c r="DI21" s="42"/>
      <c r="DJ21" s="42"/>
      <c r="DK21"/>
      <c r="DL21"/>
      <c r="DM21"/>
      <c r="DN21"/>
      <c r="DO21"/>
      <c r="DP21"/>
      <c r="DQ21" s="42"/>
      <c r="DR21" s="42"/>
    </row>
    <row r="22" spans="1:122" s="42" customFormat="1" ht="14.25" hidden="1" outlineLevel="1">
      <c r="B22" s="19" t="s">
        <v>237</v>
      </c>
      <c r="C22" s="34"/>
      <c r="D22" s="20">
        <f t="shared" ref="D22:S22" si="88">D21/D10</f>
        <v>0.62348777107756848</v>
      </c>
      <c r="E22" s="21">
        <f t="shared" si="88"/>
        <v>0.59635621870313416</v>
      </c>
      <c r="F22" s="21">
        <f t="shared" si="88"/>
        <v>0.62664198829552786</v>
      </c>
      <c r="G22" s="37">
        <f t="shared" si="88"/>
        <v>0.58587501333048964</v>
      </c>
      <c r="H22" s="21">
        <f t="shared" si="88"/>
        <v>0.60271375379765635</v>
      </c>
      <c r="I22" s="21">
        <f t="shared" si="88"/>
        <v>0.60114677523968363</v>
      </c>
      <c r="J22" s="21">
        <f t="shared" si="88"/>
        <v>0.5959821966756198</v>
      </c>
      <c r="K22" s="37">
        <f t="shared" si="88"/>
        <v>0.59801345458047306</v>
      </c>
      <c r="L22" s="21">
        <f t="shared" si="88"/>
        <v>0.60020439680232551</v>
      </c>
      <c r="M22" s="21">
        <f t="shared" si="88"/>
        <v>1.1166927120329593</v>
      </c>
      <c r="N22" s="21">
        <f t="shared" si="88"/>
        <v>0.59341519954890043</v>
      </c>
      <c r="O22" s="37">
        <f t="shared" si="88"/>
        <v>0.4358364777130726</v>
      </c>
      <c r="P22" s="21">
        <f t="shared" si="88"/>
        <v>0.62121265599394937</v>
      </c>
      <c r="Q22" s="21">
        <f t="shared" si="88"/>
        <v>0.62560868954943472</v>
      </c>
      <c r="R22" s="21">
        <f t="shared" si="88"/>
        <v>0.62778978777821759</v>
      </c>
      <c r="S22" s="37">
        <f t="shared" si="88"/>
        <v>0.60341825998758647</v>
      </c>
      <c r="T22" s="21">
        <f>T21/T10</f>
        <v>0.61579350099474572</v>
      </c>
      <c r="U22" s="21">
        <f>U21/U10</f>
        <v>0.61876699406248259</v>
      </c>
      <c r="V22" s="21">
        <f>V21/V10</f>
        <v>0.61469555536524789</v>
      </c>
      <c r="W22" s="37">
        <f>W21/W10</f>
        <v>0.60759553487981377</v>
      </c>
      <c r="X22" s="21">
        <f t="shared" ref="X22:AW22" si="89">X21/X10</f>
        <v>0.60598575995212156</v>
      </c>
      <c r="Y22" s="21">
        <f t="shared" si="89"/>
        <v>0.59990183830091026</v>
      </c>
      <c r="Z22" s="21">
        <f t="shared" si="89"/>
        <v>0.59684029552530082</v>
      </c>
      <c r="AA22" s="21">
        <f t="shared" si="89"/>
        <v>0.59524608068247264</v>
      </c>
      <c r="AB22" s="20">
        <f t="shared" si="89"/>
        <v>0.60106646117548568</v>
      </c>
      <c r="AC22" s="21">
        <f t="shared" si="89"/>
        <v>0.60498872767211975</v>
      </c>
      <c r="AD22" s="21">
        <f t="shared" si="89"/>
        <v>0.5975692029307631</v>
      </c>
      <c r="AE22" s="21">
        <f t="shared" si="89"/>
        <v>0.59443514240880857</v>
      </c>
      <c r="AF22" s="20">
        <f t="shared" si="89"/>
        <v>0.58164788812831958</v>
      </c>
      <c r="AG22" s="21">
        <f t="shared" si="89"/>
        <v>0.58054759764427166</v>
      </c>
      <c r="AH22" s="21">
        <f t="shared" si="89"/>
        <v>0.57051966445146529</v>
      </c>
      <c r="AI22" s="21">
        <f t="shared" si="89"/>
        <v>0.56538018341244167</v>
      </c>
      <c r="AJ22" s="20">
        <f t="shared" si="89"/>
        <v>0.55676175698257335</v>
      </c>
      <c r="AK22" s="21">
        <f t="shared" si="89"/>
        <v>0.56676018942199247</v>
      </c>
      <c r="AL22" s="21">
        <f t="shared" si="89"/>
        <v>0.55671698378150669</v>
      </c>
      <c r="AM22" s="37">
        <f t="shared" si="89"/>
        <v>0.55876723769375314</v>
      </c>
      <c r="AN22" s="20">
        <f t="shared" si="89"/>
        <v>0.56335145019556054</v>
      </c>
      <c r="AO22" s="21">
        <f t="shared" si="89"/>
        <v>0.5746579286517316</v>
      </c>
      <c r="AP22" s="21">
        <f t="shared" si="89"/>
        <v>0.57342470401348966</v>
      </c>
      <c r="AQ22" s="37">
        <f t="shared" si="89"/>
        <v>0.57653646408446191</v>
      </c>
      <c r="AR22" s="20">
        <f t="shared" si="89"/>
        <v>0.57556482699797007</v>
      </c>
      <c r="AS22" s="21">
        <f t="shared" si="89"/>
        <v>0.58443085606773282</v>
      </c>
      <c r="AT22" s="21">
        <f t="shared" si="89"/>
        <v>0.56569594129786749</v>
      </c>
      <c r="AU22" s="37">
        <f t="shared" si="89"/>
        <v>0.56163522012578615</v>
      </c>
      <c r="AV22" s="20">
        <f t="shared" si="89"/>
        <v>0.56057007125890734</v>
      </c>
      <c r="AW22" s="21">
        <f t="shared" si="89"/>
        <v>0.55841995841995851</v>
      </c>
      <c r="AX22" s="21">
        <f t="shared" ref="AX22:BC22" si="90">AX21/AX10</f>
        <v>0.54991482112436119</v>
      </c>
      <c r="AY22" s="37">
        <f t="shared" si="90"/>
        <v>0.54566972988025608</v>
      </c>
      <c r="AZ22" s="20">
        <f t="shared" si="90"/>
        <v>0.53668528864059595</v>
      </c>
      <c r="BA22" s="21">
        <f t="shared" si="90"/>
        <v>0.53785592441936747</v>
      </c>
      <c r="BB22" s="21">
        <f t="shared" si="90"/>
        <v>0.51469135802469135</v>
      </c>
      <c r="BC22" s="37">
        <f t="shared" si="90"/>
        <v>0.50476839237057225</v>
      </c>
      <c r="BD22" s="20">
        <f t="shared" ref="BD22:BI22" si="91">BD21/BD10</f>
        <v>0.49061286145878291</v>
      </c>
      <c r="BE22" s="21">
        <f t="shared" si="91"/>
        <v>0.49632305508966584</v>
      </c>
      <c r="BF22" s="21">
        <f t="shared" si="91"/>
        <v>0.4943461487295463</v>
      </c>
      <c r="BG22" s="37">
        <f t="shared" si="91"/>
        <v>0.49245870241800332</v>
      </c>
      <c r="BH22" s="20">
        <f t="shared" si="91"/>
        <v>0.49261730285464289</v>
      </c>
      <c r="BI22" s="859">
        <f t="shared" si="91"/>
        <v>0.5005283550545967</v>
      </c>
      <c r="BJ22" s="859">
        <f t="shared" ref="BJ22:BS22" si="92">BJ21/BJ10</f>
        <v>0.49644760213143874</v>
      </c>
      <c r="BK22" s="885">
        <f t="shared" si="92"/>
        <v>0.49329677026203533</v>
      </c>
      <c r="BL22" s="880">
        <f t="shared" si="92"/>
        <v>0.48968533130525715</v>
      </c>
      <c r="BM22" s="881">
        <f t="shared" si="92"/>
        <v>0.49688093085532847</v>
      </c>
      <c r="BN22" s="881">
        <f t="shared" si="92"/>
        <v>0.49551588678269393</v>
      </c>
      <c r="BO22" s="885">
        <f t="shared" si="92"/>
        <v>0.49447959874840769</v>
      </c>
      <c r="BP22" s="20">
        <f t="shared" si="92"/>
        <v>0.49419032022273068</v>
      </c>
      <c r="BQ22" s="21">
        <f t="shared" si="92"/>
        <v>0.49578235300992934</v>
      </c>
      <c r="BR22" s="21">
        <f t="shared" si="92"/>
        <v>0.4952470982245632</v>
      </c>
      <c r="BS22" s="37">
        <f t="shared" si="92"/>
        <v>0.49377436402718</v>
      </c>
      <c r="BT22" s="880">
        <f t="shared" ref="BT22:BW22" si="93">BT21/BT10</f>
        <v>0.49390223058019261</v>
      </c>
      <c r="BU22" s="881">
        <f t="shared" si="93"/>
        <v>0.49399516387346676</v>
      </c>
      <c r="BV22" s="881">
        <f t="shared" si="93"/>
        <v>0.49348126863322578</v>
      </c>
      <c r="BW22" s="885">
        <f t="shared" si="93"/>
        <v>0.49342395018177376</v>
      </c>
      <c r="BX22" s="398"/>
      <c r="BY22" s="20">
        <f>BY21/BY10</f>
        <v>0.60820927533510638</v>
      </c>
      <c r="BZ22" s="21">
        <f>BZ21/BZ10</f>
        <v>0.599259205405964</v>
      </c>
      <c r="CA22" s="21">
        <f>CA21/CA10</f>
        <v>0.6103214277150476</v>
      </c>
      <c r="CB22" s="21">
        <f>CB21/CB10</f>
        <v>0.61939449503587629</v>
      </c>
      <c r="CC22" s="21">
        <f>CC21/CC10</f>
        <v>0.61415193658008571</v>
      </c>
      <c r="CD22" s="21">
        <f t="shared" ref="CD22:CJ22" si="94">CD21/CD10</f>
        <v>0.59936605904301876</v>
      </c>
      <c r="CE22" s="21">
        <f t="shared" si="94"/>
        <v>0.59919359762365487</v>
      </c>
      <c r="CF22" s="21">
        <f t="shared" si="94"/>
        <v>0.57378977822435806</v>
      </c>
      <c r="CG22" s="21">
        <f t="shared" si="94"/>
        <v>0.55961215627074634</v>
      </c>
      <c r="CH22" s="21">
        <f t="shared" si="94"/>
        <v>0.5720182763912095</v>
      </c>
      <c r="CI22" s="37">
        <f t="shared" si="94"/>
        <v>0.57155907039139564</v>
      </c>
      <c r="CJ22" s="880">
        <f t="shared" si="94"/>
        <v>0.5527188618311949</v>
      </c>
      <c r="CK22" s="881">
        <f t="shared" ref="CK22:CP22" si="95">CK21/CK10</f>
        <v>0.52286398232261244</v>
      </c>
      <c r="CL22" s="881">
        <f t="shared" si="95"/>
        <v>0.49328063241106707</v>
      </c>
      <c r="CM22" s="881">
        <f t="shared" si="95"/>
        <v>0.49559073232184919</v>
      </c>
      <c r="CN22" s="881">
        <f t="shared" si="95"/>
        <v>0.4939669973033568</v>
      </c>
      <c r="CO22" s="881">
        <f t="shared" si="95"/>
        <v>0.49471770565721818</v>
      </c>
      <c r="CP22" s="885">
        <f t="shared" si="95"/>
        <v>0.49369640863538727</v>
      </c>
      <c r="CQ22" s="107"/>
      <c r="CR22" s="20">
        <f>CR21/CR10</f>
        <v>0.61601534516232836</v>
      </c>
      <c r="CS22" s="21">
        <f>CS21/CS10</f>
        <v>0.62450917136406903</v>
      </c>
      <c r="CT22" s="21">
        <f>CT21/CT10</f>
        <v>0.61145339735995941</v>
      </c>
      <c r="CU22" s="21">
        <f t="shared" ref="CU22:CZ22" si="96">CU21/CU10</f>
        <v>0.59816077942380708</v>
      </c>
      <c r="CV22" s="21">
        <f t="shared" si="96"/>
        <v>0.59358772136164506</v>
      </c>
      <c r="CW22" s="21">
        <f t="shared" si="96"/>
        <v>0.56722018951121111</v>
      </c>
      <c r="CX22" s="21">
        <f t="shared" si="96"/>
        <v>0.56125511152982455</v>
      </c>
      <c r="CY22" s="21">
        <f t="shared" si="96"/>
        <v>0.57510174607814002</v>
      </c>
      <c r="CZ22" s="21">
        <f t="shared" si="96"/>
        <v>0.56756170328180089</v>
      </c>
      <c r="DA22" s="880">
        <f t="shared" ref="DA22:DF22" si="97">DA21/DA10</f>
        <v>0.54620519350233443</v>
      </c>
      <c r="DB22" s="881">
        <f t="shared" si="97"/>
        <v>0.51072580406544965</v>
      </c>
      <c r="DC22" s="881">
        <f t="shared" si="97"/>
        <v>0.4938501449717686</v>
      </c>
      <c r="DD22" s="881">
        <f t="shared" si="97"/>
        <v>0.49466877804169973</v>
      </c>
      <c r="DE22" s="881">
        <f t="shared" si="97"/>
        <v>0.4951906958036183</v>
      </c>
      <c r="DF22" s="885">
        <f t="shared" si="97"/>
        <v>0.49463784220354701</v>
      </c>
      <c r="DG22" s="7"/>
      <c r="DH22" s="7"/>
      <c r="DI22" s="7"/>
      <c r="DJ22" s="7"/>
      <c r="DK22"/>
      <c r="DL22"/>
      <c r="DM22"/>
      <c r="DN22"/>
      <c r="DO22"/>
      <c r="DP22"/>
      <c r="DQ22" s="7"/>
      <c r="DR22" s="7"/>
    </row>
    <row r="23" spans="1:122" s="7" customFormat="1" ht="14.25" collapsed="1">
      <c r="A23" s="505"/>
      <c r="B23" s="14"/>
      <c r="C23" s="24"/>
      <c r="D23" s="38"/>
      <c r="E23" s="39"/>
      <c r="F23" s="39"/>
      <c r="G23" s="40"/>
      <c r="H23" s="39"/>
      <c r="I23" s="39"/>
      <c r="J23" s="39"/>
      <c r="K23" s="40"/>
      <c r="L23" s="39"/>
      <c r="M23" s="39"/>
      <c r="N23" s="39"/>
      <c r="O23" s="40"/>
      <c r="P23" s="39"/>
      <c r="Q23" s="39"/>
      <c r="R23" s="39"/>
      <c r="S23" s="40"/>
      <c r="T23" s="39"/>
      <c r="U23" s="39"/>
      <c r="V23" s="39"/>
      <c r="W23" s="40"/>
      <c r="X23" s="39"/>
      <c r="Y23" s="39"/>
      <c r="Z23" s="39"/>
      <c r="AA23" s="39"/>
      <c r="AB23" s="38"/>
      <c r="AC23" s="39"/>
      <c r="AD23" s="39"/>
      <c r="AE23" s="39"/>
      <c r="AF23" s="38"/>
      <c r="AG23" s="39"/>
      <c r="AH23" s="39"/>
      <c r="AI23" s="44"/>
      <c r="AJ23" s="38"/>
      <c r="AK23" s="39"/>
      <c r="AL23" s="39"/>
      <c r="AM23" s="512"/>
      <c r="AN23" s="38"/>
      <c r="AO23" s="39"/>
      <c r="AP23" s="39"/>
      <c r="AQ23" s="512"/>
      <c r="AR23" s="38"/>
      <c r="AS23" s="39"/>
      <c r="AT23" s="39"/>
      <c r="AU23" s="512"/>
      <c r="AV23" s="38"/>
      <c r="AW23" s="39"/>
      <c r="AX23" s="39"/>
      <c r="AY23" s="512"/>
      <c r="AZ23" s="38"/>
      <c r="BA23" s="39"/>
      <c r="BB23" s="39"/>
      <c r="BC23" s="512"/>
      <c r="BD23" s="38"/>
      <c r="BE23" s="39"/>
      <c r="BF23" s="39"/>
      <c r="BG23" s="512"/>
      <c r="BH23" s="38"/>
      <c r="BI23" s="39"/>
      <c r="BJ23" s="39"/>
      <c r="BK23" s="512"/>
      <c r="BL23" s="38"/>
      <c r="BM23" s="39"/>
      <c r="BN23" s="39"/>
      <c r="BO23" s="40"/>
      <c r="BP23" s="38"/>
      <c r="BQ23" s="39"/>
      <c r="BR23" s="39"/>
      <c r="BS23" s="40"/>
      <c r="BT23" s="38"/>
      <c r="BU23" s="39"/>
      <c r="BV23" s="39"/>
      <c r="BW23" s="40"/>
      <c r="BX23" s="56"/>
      <c r="BY23" s="56"/>
      <c r="BZ23" s="57"/>
      <c r="CA23" s="57"/>
      <c r="CB23" s="57"/>
      <c r="CC23" s="57"/>
      <c r="CD23" s="57"/>
      <c r="CE23" s="57"/>
      <c r="CF23" s="57"/>
      <c r="CG23" s="57"/>
      <c r="CH23" s="57"/>
      <c r="CI23" s="58"/>
      <c r="CJ23" s="56"/>
      <c r="CK23" s="57"/>
      <c r="CL23" s="57"/>
      <c r="CM23" s="57"/>
      <c r="CN23" s="57"/>
      <c r="CO23" s="57"/>
      <c r="CP23" s="58"/>
      <c r="CQ23" s="108"/>
      <c r="CR23" s="56"/>
      <c r="CS23" s="57"/>
      <c r="CT23" s="57"/>
      <c r="CU23" s="57"/>
      <c r="CV23" s="57"/>
      <c r="CW23" s="57"/>
      <c r="CX23" s="57"/>
      <c r="CY23" s="57"/>
      <c r="CZ23" s="57"/>
      <c r="DA23" s="56"/>
      <c r="DB23" s="57"/>
      <c r="DC23" s="57"/>
      <c r="DD23" s="57"/>
      <c r="DE23" s="57"/>
      <c r="DF23" s="58"/>
      <c r="DG23" s="45"/>
      <c r="DH23" s="45"/>
      <c r="DI23" s="45"/>
      <c r="DJ23" s="45"/>
      <c r="DK23"/>
      <c r="DL23"/>
      <c r="DM23"/>
      <c r="DN23"/>
      <c r="DO23"/>
      <c r="DP23"/>
      <c r="DQ23" s="45"/>
      <c r="DR23" s="45"/>
    </row>
    <row r="24" spans="1:122" s="45" customFormat="1" ht="15">
      <c r="B24" s="46" t="s">
        <v>15</v>
      </c>
      <c r="C24" s="47"/>
      <c r="D24" s="48">
        <f t="shared" ref="D24:S24" si="98">D8-D14</f>
        <v>65.11999999999999</v>
      </c>
      <c r="E24" s="49">
        <f t="shared" si="98"/>
        <v>63.519000000000005</v>
      </c>
      <c r="F24" s="49">
        <f t="shared" si="98"/>
        <v>56.078000000000017</v>
      </c>
      <c r="G24" s="50">
        <f t="shared" si="98"/>
        <v>62.131999999999991</v>
      </c>
      <c r="H24" s="49">
        <f t="shared" si="98"/>
        <v>69.567999999999998</v>
      </c>
      <c r="I24" s="49">
        <f t="shared" si="98"/>
        <v>72.204000000000008</v>
      </c>
      <c r="J24" s="49">
        <f t="shared" si="98"/>
        <v>83.784000000000006</v>
      </c>
      <c r="K24" s="50">
        <f t="shared" si="98"/>
        <v>87.659999999999968</v>
      </c>
      <c r="L24" s="49">
        <f t="shared" si="98"/>
        <v>88.019000000000005</v>
      </c>
      <c r="M24" s="49">
        <f t="shared" si="98"/>
        <v>-12.321000000000012</v>
      </c>
      <c r="N24" s="49">
        <f t="shared" si="98"/>
        <v>77.874000000000009</v>
      </c>
      <c r="O24" s="50">
        <f t="shared" si="98"/>
        <v>154.19999999999996</v>
      </c>
      <c r="P24" s="49">
        <f t="shared" si="98"/>
        <v>74.722999999999985</v>
      </c>
      <c r="Q24" s="49">
        <f t="shared" si="98"/>
        <v>69.350000000000009</v>
      </c>
      <c r="R24" s="49">
        <f t="shared" si="98"/>
        <v>73.346999999999994</v>
      </c>
      <c r="S24" s="50">
        <f t="shared" si="98"/>
        <v>45.258999999999986</v>
      </c>
      <c r="T24" s="49">
        <f t="shared" ref="T24:AJ24" si="99">T8-T14</f>
        <v>75.316000000000003</v>
      </c>
      <c r="U24" s="49">
        <f t="shared" si="99"/>
        <v>68.702000000000012</v>
      </c>
      <c r="V24" s="49">
        <f t="shared" si="99"/>
        <v>68.632000000000005</v>
      </c>
      <c r="W24" s="50">
        <f t="shared" si="99"/>
        <v>74.734999999999928</v>
      </c>
      <c r="X24" s="49">
        <f t="shared" si="99"/>
        <v>82.337999999999994</v>
      </c>
      <c r="Y24" s="49">
        <f t="shared" si="99"/>
        <v>80.367000000000004</v>
      </c>
      <c r="Z24" s="49">
        <f t="shared" si="99"/>
        <v>86.433999999999997</v>
      </c>
      <c r="AA24" s="49">
        <f t="shared" si="99"/>
        <v>93.824000000000098</v>
      </c>
      <c r="AB24" s="48">
        <f t="shared" si="99"/>
        <v>83.867000000000004</v>
      </c>
      <c r="AC24" s="49">
        <f t="shared" si="99"/>
        <v>64.875000000000014</v>
      </c>
      <c r="AD24" s="49">
        <f t="shared" si="99"/>
        <v>76.949999999999989</v>
      </c>
      <c r="AE24" s="49">
        <f t="shared" si="99"/>
        <v>92.527999999999963</v>
      </c>
      <c r="AF24" s="48">
        <f t="shared" si="99"/>
        <v>102.554</v>
      </c>
      <c r="AG24" s="49">
        <f t="shared" si="99"/>
        <v>99.853999999999985</v>
      </c>
      <c r="AH24" s="49">
        <f t="shared" si="99"/>
        <v>118.26599999999999</v>
      </c>
      <c r="AI24" s="49">
        <f t="shared" si="99"/>
        <v>136.15899999999999</v>
      </c>
      <c r="AJ24" s="48">
        <f t="shared" si="99"/>
        <v>148.53800000000001</v>
      </c>
      <c r="AK24" s="49">
        <f t="shared" ref="AK24:AP24" si="100">AK8-AK14</f>
        <v>140.98099999999999</v>
      </c>
      <c r="AL24" s="49">
        <f t="shared" si="100"/>
        <v>156.22499999999999</v>
      </c>
      <c r="AM24" s="50">
        <f t="shared" si="100"/>
        <v>174.55999999999997</v>
      </c>
      <c r="AN24" s="48">
        <f t="shared" si="100"/>
        <v>171.85000000000002</v>
      </c>
      <c r="AO24" s="49">
        <f t="shared" si="100"/>
        <v>152.27199999999999</v>
      </c>
      <c r="AP24" s="49">
        <f t="shared" si="100"/>
        <v>165.30200000000002</v>
      </c>
      <c r="AQ24" s="50">
        <f t="shared" ref="AQ24:AV24" si="101">AQ8-AQ14</f>
        <v>177.673</v>
      </c>
      <c r="AR24" s="48">
        <f t="shared" si="101"/>
        <v>192.565</v>
      </c>
      <c r="AS24" s="49">
        <f t="shared" si="101"/>
        <v>176.7</v>
      </c>
      <c r="AT24" s="49">
        <f t="shared" si="101"/>
        <v>188.20000000000002</v>
      </c>
      <c r="AU24" s="50">
        <f t="shared" si="101"/>
        <v>209.10000000000002</v>
      </c>
      <c r="AV24" s="48">
        <f t="shared" si="101"/>
        <v>222</v>
      </c>
      <c r="AW24" s="49">
        <f t="shared" ref="AW24:BB24" si="102">AW8-AW14</f>
        <v>212.39999999999998</v>
      </c>
      <c r="AX24" s="49">
        <f t="shared" si="102"/>
        <v>264.2</v>
      </c>
      <c r="AY24" s="50">
        <f t="shared" si="102"/>
        <v>324.00000000000006</v>
      </c>
      <c r="AZ24" s="48">
        <f t="shared" si="102"/>
        <v>373</v>
      </c>
      <c r="BA24" s="49">
        <f t="shared" si="102"/>
        <v>352.20000000000005</v>
      </c>
      <c r="BB24" s="49">
        <f t="shared" si="102"/>
        <v>393.1</v>
      </c>
      <c r="BC24" s="50">
        <f t="shared" ref="BC24:BH24" si="103">BC8-BC14</f>
        <v>436.19999999999993</v>
      </c>
      <c r="BD24" s="48">
        <f t="shared" si="103"/>
        <v>472.09999999999997</v>
      </c>
      <c r="BE24" s="49">
        <f t="shared" si="103"/>
        <v>390.40000000000003</v>
      </c>
      <c r="BF24" s="49">
        <f t="shared" si="103"/>
        <v>378.30000000000007</v>
      </c>
      <c r="BG24" s="50">
        <f t="shared" si="103"/>
        <v>424.4</v>
      </c>
      <c r="BH24" s="48">
        <f t="shared" si="103"/>
        <v>463.9</v>
      </c>
      <c r="BI24" s="49">
        <f t="shared" ref="BI24:BS24" si="104">BI8-BI14</f>
        <v>425.40000000000003</v>
      </c>
      <c r="BJ24" s="49">
        <f t="shared" si="104"/>
        <v>453.59999999999997</v>
      </c>
      <c r="BK24" s="50">
        <f t="shared" si="104"/>
        <v>498.90000000000003</v>
      </c>
      <c r="BL24" s="48">
        <f t="shared" si="104"/>
        <v>536.80000000000007</v>
      </c>
      <c r="BM24" s="49">
        <f t="shared" si="104"/>
        <v>454.17276951500008</v>
      </c>
      <c r="BN24" s="49">
        <f t="shared" si="104"/>
        <v>437.95224430460007</v>
      </c>
      <c r="BO24" s="50">
        <f t="shared" si="104"/>
        <v>521.50962871826755</v>
      </c>
      <c r="BP24" s="48">
        <f t="shared" si="104"/>
        <v>543.29617461205362</v>
      </c>
      <c r="BQ24" s="49">
        <f t="shared" si="104"/>
        <v>493.13448413302626</v>
      </c>
      <c r="BR24" s="49">
        <f t="shared" si="104"/>
        <v>493.80447704570258</v>
      </c>
      <c r="BS24" s="50">
        <f t="shared" si="104"/>
        <v>532.70433891925995</v>
      </c>
      <c r="BT24" s="48">
        <f t="shared" ref="BT24:BW24" si="105">BT8-BT14</f>
        <v>555.04129554502299</v>
      </c>
      <c r="BU24" s="49">
        <f t="shared" si="105"/>
        <v>524.79513264450122</v>
      </c>
      <c r="BV24" s="49">
        <f t="shared" si="105"/>
        <v>532.16430720485164</v>
      </c>
      <c r="BW24" s="50">
        <f t="shared" si="105"/>
        <v>575.52678708576877</v>
      </c>
      <c r="BX24" s="67"/>
      <c r="BY24" s="48">
        <f>BY8-BY14</f>
        <v>246.84899999999999</v>
      </c>
      <c r="BZ24" s="49">
        <f>BZ8-BZ14</f>
        <v>313.21599999999989</v>
      </c>
      <c r="CA24" s="49">
        <f>CA8-CA14</f>
        <v>307.77200000000005</v>
      </c>
      <c r="CB24" s="49">
        <f>CB8-CB14</f>
        <v>262.67899999999997</v>
      </c>
      <c r="CC24" s="49">
        <f>CC8-CC14</f>
        <v>287.38499999999993</v>
      </c>
      <c r="CD24" s="49">
        <f t="shared" ref="CD24:CJ24" si="106">CD8-CD14</f>
        <v>342.96300000000008</v>
      </c>
      <c r="CE24" s="49">
        <f t="shared" si="106"/>
        <v>318.21999999999991</v>
      </c>
      <c r="CF24" s="49">
        <f t="shared" si="106"/>
        <v>456.83299999999997</v>
      </c>
      <c r="CG24" s="49">
        <f t="shared" si="106"/>
        <v>620.30400000000009</v>
      </c>
      <c r="CH24" s="49">
        <f t="shared" si="106"/>
        <v>667.09700000000021</v>
      </c>
      <c r="CI24" s="50">
        <f t="shared" si="106"/>
        <v>766.56500000000005</v>
      </c>
      <c r="CJ24" s="48">
        <f t="shared" si="106"/>
        <v>1022.6000000000001</v>
      </c>
      <c r="CK24" s="49">
        <f t="shared" ref="CK24:CO24" si="107">CK8-CK14</f>
        <v>1554.4999999999995</v>
      </c>
      <c r="CL24" s="49">
        <f t="shared" si="107"/>
        <v>1665.2000000000005</v>
      </c>
      <c r="CM24" s="49">
        <f t="shared" si="107"/>
        <v>1841.8</v>
      </c>
      <c r="CN24" s="49">
        <f t="shared" si="107"/>
        <v>1950.4346425378678</v>
      </c>
      <c r="CO24" s="49">
        <f t="shared" si="107"/>
        <v>2062.9394747100423</v>
      </c>
      <c r="CP24" s="50">
        <f t="shared" ref="CP24" si="108">CP8-CP14</f>
        <v>2187.5275224801453</v>
      </c>
      <c r="CQ24" s="106"/>
      <c r="CR24" s="48">
        <f>CR8-CR14</f>
        <v>294.47600000000011</v>
      </c>
      <c r="CS24" s="49">
        <f>CS8-CS14</f>
        <v>263.27199999999993</v>
      </c>
      <c r="CT24" s="49">
        <f>CT8-CT14</f>
        <v>294.40699999999998</v>
      </c>
      <c r="CU24" s="49">
        <f t="shared" ref="CU24:CZ24" si="109">CU8-CU14</f>
        <v>344.49199999999996</v>
      </c>
      <c r="CV24" s="49">
        <f t="shared" si="109"/>
        <v>336.90699999999993</v>
      </c>
      <c r="CW24" s="49">
        <f t="shared" si="109"/>
        <v>502.81700000000001</v>
      </c>
      <c r="CX24" s="49">
        <f t="shared" si="109"/>
        <v>643.61599999999999</v>
      </c>
      <c r="CY24" s="49">
        <f t="shared" si="109"/>
        <v>687.81200000000001</v>
      </c>
      <c r="CZ24" s="49">
        <f t="shared" si="109"/>
        <v>796</v>
      </c>
      <c r="DA24" s="48">
        <f t="shared" ref="DA24:DF24" si="110">DA8-DA14</f>
        <v>1173.5999999999997</v>
      </c>
      <c r="DB24" s="49">
        <f t="shared" si="110"/>
        <v>1653.5999999999997</v>
      </c>
      <c r="DC24" s="49">
        <f t="shared" si="110"/>
        <v>1657</v>
      </c>
      <c r="DD24" s="49">
        <f t="shared" si="110"/>
        <v>1914.6999999999998</v>
      </c>
      <c r="DE24" s="49">
        <f t="shared" si="110"/>
        <v>1956.930817149921</v>
      </c>
      <c r="DF24" s="50">
        <f t="shared" si="110"/>
        <v>2074.6845956430116</v>
      </c>
      <c r="DG24" s="42"/>
      <c r="DH24" s="42"/>
      <c r="DI24" s="42"/>
      <c r="DJ24" s="42"/>
      <c r="DK24"/>
      <c r="DL24"/>
      <c r="DM24"/>
      <c r="DN24"/>
      <c r="DO24"/>
      <c r="DP24"/>
      <c r="DQ24" s="42"/>
      <c r="DR24" s="42"/>
    </row>
    <row r="25" spans="1:122" s="42" customFormat="1" ht="14.25">
      <c r="B25" s="19" t="s">
        <v>16</v>
      </c>
      <c r="C25" s="34"/>
      <c r="D25" s="20">
        <f t="shared" ref="D25:S25" si="111">D24/D8</f>
        <v>0.40650711012896862</v>
      </c>
      <c r="E25" s="21">
        <f t="shared" si="111"/>
        <v>0.4036437812968659</v>
      </c>
      <c r="F25" s="21">
        <f t="shared" si="111"/>
        <v>0.37335801170447214</v>
      </c>
      <c r="G25" s="21">
        <f t="shared" si="111"/>
        <v>0.41412498666951042</v>
      </c>
      <c r="H25" s="20">
        <f t="shared" si="111"/>
        <v>0.39728624620234365</v>
      </c>
      <c r="I25" s="21">
        <f t="shared" si="111"/>
        <v>0.3935444838693854</v>
      </c>
      <c r="J25" s="21">
        <f t="shared" si="111"/>
        <v>0.40401780332438025</v>
      </c>
      <c r="K25" s="37">
        <f t="shared" si="111"/>
        <v>0.401986545419527</v>
      </c>
      <c r="L25" s="21">
        <f t="shared" si="111"/>
        <v>0.39979560319767443</v>
      </c>
      <c r="M25" s="21">
        <f t="shared" si="111"/>
        <v>-0.11669271203295935</v>
      </c>
      <c r="N25" s="21">
        <f t="shared" si="111"/>
        <v>0.40658480045109957</v>
      </c>
      <c r="O25" s="37">
        <f t="shared" si="111"/>
        <v>0.56053567144321581</v>
      </c>
      <c r="P25" s="21">
        <f t="shared" si="111"/>
        <v>0.37677045254002262</v>
      </c>
      <c r="Q25" s="21">
        <f t="shared" si="111"/>
        <v>0.37439131045056528</v>
      </c>
      <c r="R25" s="21">
        <f t="shared" si="111"/>
        <v>0.37221021222178241</v>
      </c>
      <c r="S25" s="37">
        <f t="shared" si="111"/>
        <v>0.23434110172782482</v>
      </c>
      <c r="T25" s="21">
        <f>T24/T8</f>
        <v>0.38420649900525433</v>
      </c>
      <c r="U25" s="21">
        <f>U24/U8</f>
        <v>0.38123300593751741</v>
      </c>
      <c r="V25" s="21">
        <f>V24/V8</f>
        <v>0.39207083690374178</v>
      </c>
      <c r="W25" s="37">
        <f>W24/W8</f>
        <v>0.39240446512018629</v>
      </c>
      <c r="X25" s="21">
        <f t="shared" ref="X25:AW25" si="112">X24/X8</f>
        <v>0.39109308279462124</v>
      </c>
      <c r="Y25" s="21">
        <f t="shared" si="112"/>
        <v>0.39843238741150577</v>
      </c>
      <c r="Z25" s="21">
        <f t="shared" si="112"/>
        <v>0.40162631847962454</v>
      </c>
      <c r="AA25" s="21">
        <f t="shared" si="112"/>
        <v>0.40342956408073438</v>
      </c>
      <c r="AB25" s="20">
        <f t="shared" si="112"/>
        <v>0.39893353882451432</v>
      </c>
      <c r="AC25" s="21">
        <f t="shared" si="112"/>
        <v>0.37502167755361587</v>
      </c>
      <c r="AD25" s="21">
        <f t="shared" si="112"/>
        <v>0.4024307970692369</v>
      </c>
      <c r="AE25" s="21">
        <f t="shared" si="112"/>
        <v>0.40556485759119143</v>
      </c>
      <c r="AF25" s="20">
        <f t="shared" si="112"/>
        <v>0.41835211187168042</v>
      </c>
      <c r="AG25" s="21">
        <f t="shared" si="112"/>
        <v>0.41945240235572839</v>
      </c>
      <c r="AH25" s="21">
        <f t="shared" si="112"/>
        <v>0.42948033554853465</v>
      </c>
      <c r="AI25" s="21">
        <f t="shared" si="112"/>
        <v>0.43461981658755833</v>
      </c>
      <c r="AJ25" s="20">
        <f t="shared" si="112"/>
        <v>0.44323824301742665</v>
      </c>
      <c r="AK25" s="21">
        <f t="shared" si="112"/>
        <v>0.43323981057800748</v>
      </c>
      <c r="AL25" s="21">
        <f t="shared" si="112"/>
        <v>0.43874183809590678</v>
      </c>
      <c r="AM25" s="37">
        <f t="shared" si="112"/>
        <v>0.43388778969765057</v>
      </c>
      <c r="AN25" s="20">
        <f t="shared" si="112"/>
        <v>0.43645552902930873</v>
      </c>
      <c r="AO25" s="21">
        <f t="shared" si="112"/>
        <v>0.41753818311442592</v>
      </c>
      <c r="AP25" s="21">
        <f t="shared" si="112"/>
        <v>0.42489936715693588</v>
      </c>
      <c r="AQ25" s="37">
        <f t="shared" si="112"/>
        <v>0.42191288324036541</v>
      </c>
      <c r="AR25" s="20">
        <f t="shared" si="112"/>
        <v>0.4244109291351772</v>
      </c>
      <c r="AS25" s="21">
        <f t="shared" si="112"/>
        <v>0.41556914393226713</v>
      </c>
      <c r="AT25" s="21">
        <f t="shared" si="112"/>
        <v>0.43155239623939468</v>
      </c>
      <c r="AU25" s="37">
        <f t="shared" si="112"/>
        <v>0.43836477987421391</v>
      </c>
      <c r="AV25" s="20">
        <f t="shared" si="112"/>
        <v>0.43942992874109266</v>
      </c>
      <c r="AW25" s="21">
        <f t="shared" si="112"/>
        <v>0.44158004158004155</v>
      </c>
      <c r="AX25" s="21">
        <f t="shared" ref="AX25:BC25" si="113">AX24/AX8</f>
        <v>0.45008517887563881</v>
      </c>
      <c r="AY25" s="37">
        <f t="shared" si="113"/>
        <v>0.45112781954887221</v>
      </c>
      <c r="AZ25" s="20">
        <f t="shared" si="113"/>
        <v>0.46306641837368095</v>
      </c>
      <c r="BA25" s="21">
        <f t="shared" si="113"/>
        <v>0.46214407558063253</v>
      </c>
      <c r="BB25" s="21">
        <f t="shared" si="113"/>
        <v>0.48530864197530865</v>
      </c>
      <c r="BC25" s="37">
        <f t="shared" si="113"/>
        <v>0.49523160762942775</v>
      </c>
      <c r="BD25" s="20">
        <f t="shared" ref="BD25:BI25" si="114">BD24/BD8</f>
        <v>0.50938713854121709</v>
      </c>
      <c r="BE25" s="21">
        <f t="shared" si="114"/>
        <v>0.50367694491033421</v>
      </c>
      <c r="BF25" s="21">
        <f t="shared" si="114"/>
        <v>0.50325927896767331</v>
      </c>
      <c r="BG25" s="37">
        <f t="shared" si="114"/>
        <v>0.5080201101268853</v>
      </c>
      <c r="BH25" s="20">
        <f t="shared" si="114"/>
        <v>0.50738269714535711</v>
      </c>
      <c r="BI25" s="859">
        <f t="shared" si="114"/>
        <v>0.4994716449454033</v>
      </c>
      <c r="BJ25" s="859">
        <f t="shared" ref="BJ25:BS25" si="115">BJ24/BJ8</f>
        <v>0.50355239786856132</v>
      </c>
      <c r="BK25" s="885">
        <f t="shared" si="115"/>
        <v>0.50670322973796467</v>
      </c>
      <c r="BL25" s="880">
        <f t="shared" si="115"/>
        <v>0.51031466869474285</v>
      </c>
      <c r="BM25" s="881">
        <f t="shared" si="115"/>
        <v>0.50311906914467153</v>
      </c>
      <c r="BN25" s="881">
        <f t="shared" si="115"/>
        <v>0.50448411321730613</v>
      </c>
      <c r="BO25" s="885">
        <f t="shared" si="115"/>
        <v>0.50552040125159226</v>
      </c>
      <c r="BP25" s="20">
        <f t="shared" si="115"/>
        <v>0.50580967977726932</v>
      </c>
      <c r="BQ25" s="21">
        <f t="shared" si="115"/>
        <v>0.50421764699007066</v>
      </c>
      <c r="BR25" s="21">
        <f t="shared" si="115"/>
        <v>0.50475290177543686</v>
      </c>
      <c r="BS25" s="37">
        <f t="shared" si="115"/>
        <v>0.50622563597282</v>
      </c>
      <c r="BT25" s="880">
        <f t="shared" ref="BT25:BW25" si="116">BT24/BT8</f>
        <v>0.50609776941980733</v>
      </c>
      <c r="BU25" s="881">
        <f t="shared" si="116"/>
        <v>0.50600483612653324</v>
      </c>
      <c r="BV25" s="881">
        <f t="shared" si="116"/>
        <v>0.50651873136677417</v>
      </c>
      <c r="BW25" s="885">
        <f t="shared" si="116"/>
        <v>0.50657604981822624</v>
      </c>
      <c r="BX25" s="398"/>
      <c r="BY25" s="20">
        <f>BY24/BY8</f>
        <v>0.39956846107651639</v>
      </c>
      <c r="BZ25" s="21">
        <f>BZ24/BZ8</f>
        <v>0.39949848410059391</v>
      </c>
      <c r="CA25" s="21">
        <f>CA24/CA8</f>
        <v>0.38841906127306536</v>
      </c>
      <c r="CB25" s="21">
        <f>CB24/CB8</f>
        <v>0.3394882067851373</v>
      </c>
      <c r="CC25" s="21">
        <f>CC24/CC8</f>
        <v>0.38744499449944991</v>
      </c>
      <c r="CD25" s="21">
        <f t="shared" ref="CD25:CJ25" si="117">CD24/CD8</f>
        <v>0.39878630306145119</v>
      </c>
      <c r="CE25" s="21">
        <f t="shared" si="117"/>
        <v>0.39649778152127446</v>
      </c>
      <c r="CF25" s="21">
        <f t="shared" si="117"/>
        <v>0.42621022177564188</v>
      </c>
      <c r="CG25" s="21">
        <f t="shared" si="117"/>
        <v>0.43716567929738215</v>
      </c>
      <c r="CH25" s="21">
        <f t="shared" si="117"/>
        <v>0.42528693130925349</v>
      </c>
      <c r="CI25" s="37">
        <f t="shared" si="117"/>
        <v>0.42776515703202472</v>
      </c>
      <c r="CJ25" s="880">
        <f t="shared" si="117"/>
        <v>0.44627738500480058</v>
      </c>
      <c r="CK25" s="881">
        <f t="shared" ref="CK25:CP25" si="118">CK24/CK8</f>
        <v>0.47707463785907184</v>
      </c>
      <c r="CL25" s="881">
        <f t="shared" si="118"/>
        <v>0.5062937062937064</v>
      </c>
      <c r="CM25" s="881">
        <f t="shared" si="118"/>
        <v>0.50440926767815086</v>
      </c>
      <c r="CN25" s="881">
        <f t="shared" si="118"/>
        <v>0.5060330026966432</v>
      </c>
      <c r="CO25" s="881">
        <f t="shared" si="118"/>
        <v>0.50528229434278182</v>
      </c>
      <c r="CP25" s="885">
        <f t="shared" si="118"/>
        <v>0.50630359136461278</v>
      </c>
      <c r="CQ25" s="107"/>
      <c r="CR25" s="20">
        <f>CR24/CR8</f>
        <v>0.38217033337832379</v>
      </c>
      <c r="CS25" s="21">
        <f>CS24/CS8</f>
        <v>0.34126682696981669</v>
      </c>
      <c r="CT25" s="21">
        <f>CT24/CT8</f>
        <v>0.38930005672749773</v>
      </c>
      <c r="CU25" s="21">
        <f t="shared" ref="CU25:CZ25" si="119">CU24/CU8</f>
        <v>0.40070628303431843</v>
      </c>
      <c r="CV25" s="21">
        <f t="shared" si="119"/>
        <v>0.40228325932223419</v>
      </c>
      <c r="CW25" s="21">
        <f t="shared" si="119"/>
        <v>0.43277981048878889</v>
      </c>
      <c r="CX25" s="21">
        <f t="shared" si="119"/>
        <v>0.43559912340901308</v>
      </c>
      <c r="CY25" s="21">
        <f t="shared" si="119"/>
        <v>0.42234262822953228</v>
      </c>
      <c r="CZ25" s="21">
        <f t="shared" si="119"/>
        <v>0.43178736099810144</v>
      </c>
      <c r="DA25" s="880">
        <f t="shared" ref="DA25:DF25" si="120">DA24/DA8</f>
        <v>0.45283018867924518</v>
      </c>
      <c r="DB25" s="881">
        <f t="shared" si="120"/>
        <v>0.48927419593455035</v>
      </c>
      <c r="DC25" s="881">
        <f t="shared" si="120"/>
        <v>0.5057225698153518</v>
      </c>
      <c r="DD25" s="881">
        <f t="shared" si="120"/>
        <v>0.50533122195830027</v>
      </c>
      <c r="DE25" s="881">
        <f t="shared" si="120"/>
        <v>0.5048093041963817</v>
      </c>
      <c r="DF25" s="885">
        <f t="shared" si="120"/>
        <v>0.50536215779645299</v>
      </c>
      <c r="DG25" s="45"/>
      <c r="DH25" s="45"/>
      <c r="DI25" s="45"/>
      <c r="DJ25" s="45"/>
      <c r="DK25"/>
      <c r="DL25"/>
      <c r="DM25"/>
      <c r="DN25"/>
      <c r="DO25"/>
      <c r="DP25"/>
      <c r="DQ25" s="45"/>
      <c r="DR25" s="45"/>
    </row>
    <row r="26" spans="1:122" s="45" customFormat="1" ht="15" hidden="1" outlineLevel="1">
      <c r="B26" s="46" t="s">
        <v>17</v>
      </c>
      <c r="C26" s="47"/>
      <c r="D26" s="48">
        <f t="shared" ref="D26:S26" si="121">D10-D19</f>
        <v>60.314999999999998</v>
      </c>
      <c r="E26" s="49">
        <f t="shared" si="121"/>
        <v>63.519000000000005</v>
      </c>
      <c r="F26" s="49">
        <f t="shared" si="121"/>
        <v>56.078000000000017</v>
      </c>
      <c r="G26" s="49">
        <f t="shared" si="121"/>
        <v>62.131999999999991</v>
      </c>
      <c r="H26" s="48">
        <f t="shared" si="121"/>
        <v>69.567999999999998</v>
      </c>
      <c r="I26" s="49">
        <f t="shared" si="121"/>
        <v>73.178000000000011</v>
      </c>
      <c r="J26" s="49">
        <f t="shared" si="121"/>
        <v>83.784000000000006</v>
      </c>
      <c r="K26" s="50">
        <f t="shared" si="121"/>
        <v>87.659999999999968</v>
      </c>
      <c r="L26" s="49">
        <f t="shared" si="121"/>
        <v>88.019000000000005</v>
      </c>
      <c r="M26" s="49">
        <f t="shared" si="121"/>
        <v>-12.321000000000012</v>
      </c>
      <c r="N26" s="49">
        <f t="shared" si="121"/>
        <v>77.874000000000009</v>
      </c>
      <c r="O26" s="50">
        <f t="shared" si="121"/>
        <v>155.19799999999998</v>
      </c>
      <c r="P26" s="49">
        <f t="shared" si="121"/>
        <v>75.472999999999985</v>
      </c>
      <c r="Q26" s="49">
        <f t="shared" si="121"/>
        <v>69.910000000000011</v>
      </c>
      <c r="R26" s="49">
        <f t="shared" si="121"/>
        <v>73.950999999999993</v>
      </c>
      <c r="S26" s="50">
        <f t="shared" si="121"/>
        <v>74.253</v>
      </c>
      <c r="T26" s="49">
        <f t="shared" ref="T26:AJ26" si="122">T10-T19</f>
        <v>75.441000000000003</v>
      </c>
      <c r="U26" s="49">
        <f t="shared" si="122"/>
        <v>68.978000000000009</v>
      </c>
      <c r="V26" s="49">
        <f t="shared" si="122"/>
        <v>67.962999999999994</v>
      </c>
      <c r="W26" s="50">
        <f t="shared" si="122"/>
        <v>75.132999999999925</v>
      </c>
      <c r="X26" s="49">
        <f t="shared" si="122"/>
        <v>83.786999999999992</v>
      </c>
      <c r="Y26" s="49">
        <f t="shared" si="122"/>
        <v>81.38000000000001</v>
      </c>
      <c r="Z26" s="49">
        <f t="shared" si="122"/>
        <v>87.415000000000006</v>
      </c>
      <c r="AA26" s="49">
        <f t="shared" si="122"/>
        <v>94.944000000000102</v>
      </c>
      <c r="AB26" s="48">
        <f t="shared" si="122"/>
        <v>84.77600000000001</v>
      </c>
      <c r="AC26" s="49">
        <f t="shared" si="122"/>
        <v>69.161000000000016</v>
      </c>
      <c r="AD26" s="49">
        <f t="shared" si="122"/>
        <v>77.471999999999994</v>
      </c>
      <c r="AE26" s="49">
        <f t="shared" si="122"/>
        <v>93.397999999999968</v>
      </c>
      <c r="AF26" s="48">
        <f t="shared" si="122"/>
        <v>103.541</v>
      </c>
      <c r="AG26" s="49">
        <f t="shared" si="122"/>
        <v>100.69799999999998</v>
      </c>
      <c r="AH26" s="49">
        <f t="shared" si="122"/>
        <v>119.18699999999998</v>
      </c>
      <c r="AI26" s="49">
        <f t="shared" si="122"/>
        <v>137.26399999999998</v>
      </c>
      <c r="AJ26" s="48">
        <f t="shared" si="122"/>
        <v>149.88300000000001</v>
      </c>
      <c r="AK26" s="49">
        <f t="shared" ref="AK26:AP26" si="123">AK10-AK19</f>
        <v>142.85499999999999</v>
      </c>
      <c r="AL26" s="49">
        <f t="shared" si="123"/>
        <v>160.01999999999998</v>
      </c>
      <c r="AM26" s="50">
        <f t="shared" si="123"/>
        <v>179.67499999999998</v>
      </c>
      <c r="AN26" s="48">
        <f t="shared" si="123"/>
        <v>174.44300000000001</v>
      </c>
      <c r="AO26" s="49">
        <f t="shared" si="123"/>
        <v>157.51999999999998</v>
      </c>
      <c r="AP26" s="49">
        <f t="shared" si="123"/>
        <v>168.065</v>
      </c>
      <c r="AQ26" s="50">
        <f t="shared" ref="AQ26:AV26" si="124">AQ10-AQ19</f>
        <v>180.715</v>
      </c>
      <c r="AR26" s="48">
        <f t="shared" si="124"/>
        <v>194.98200000000003</v>
      </c>
      <c r="AS26" s="49">
        <f t="shared" si="124"/>
        <v>179.39999999999998</v>
      </c>
      <c r="AT26" s="49">
        <f t="shared" si="124"/>
        <v>191.8</v>
      </c>
      <c r="AU26" s="50">
        <f t="shared" si="124"/>
        <v>211.8</v>
      </c>
      <c r="AV26" s="48">
        <f t="shared" si="124"/>
        <v>224.7</v>
      </c>
      <c r="AW26" s="49">
        <f t="shared" ref="AW26:BB26" si="125">AW10-AW19</f>
        <v>215.2</v>
      </c>
      <c r="AX26" s="49">
        <f t="shared" si="125"/>
        <v>266.59999999999997</v>
      </c>
      <c r="AY26" s="50">
        <f t="shared" si="125"/>
        <v>329.60000000000008</v>
      </c>
      <c r="AZ26" s="48">
        <f t="shared" si="125"/>
        <v>376.4</v>
      </c>
      <c r="BA26" s="49">
        <f t="shared" si="125"/>
        <v>356.00000000000006</v>
      </c>
      <c r="BB26" s="49">
        <f t="shared" si="125"/>
        <v>396.70000000000005</v>
      </c>
      <c r="BC26" s="50">
        <f t="shared" ref="BC26:BH26" si="126">BC10-BC19</f>
        <v>440.09999999999991</v>
      </c>
      <c r="BD26" s="48">
        <f t="shared" si="126"/>
        <v>476.09999999999997</v>
      </c>
      <c r="BE26" s="49">
        <f t="shared" si="126"/>
        <v>393.6</v>
      </c>
      <c r="BF26" s="49">
        <f t="shared" si="126"/>
        <v>382.30000000000007</v>
      </c>
      <c r="BG26" s="50">
        <f t="shared" si="126"/>
        <v>425.9</v>
      </c>
      <c r="BH26" s="48">
        <f t="shared" si="126"/>
        <v>467.7</v>
      </c>
      <c r="BI26" s="49">
        <f>BI10-BI19</f>
        <v>428.8</v>
      </c>
      <c r="BJ26" s="49">
        <f>BJ10-BJ19</f>
        <v>456.49999999999994</v>
      </c>
      <c r="BK26" s="50">
        <f t="shared" ref="BK26:BL26" si="127">BK10-BK19</f>
        <v>502.40000000000003</v>
      </c>
      <c r="BL26" s="48">
        <f t="shared" si="127"/>
        <v>540.90000000000009</v>
      </c>
      <c r="BM26" s="49">
        <f>'BU-Segment'!BM81</f>
        <v>458.17276951500008</v>
      </c>
      <c r="BN26" s="49">
        <f>'BU-Segment'!BN81</f>
        <v>441.95224430460007</v>
      </c>
      <c r="BO26" s="50">
        <f>'BU-Segment'!BO81</f>
        <v>525.50962871826755</v>
      </c>
      <c r="BP26" s="48">
        <f>'BU-Segment'!BP81</f>
        <v>547.29617461205362</v>
      </c>
      <c r="BQ26" s="49">
        <f>'BU-Segment'!BQ81</f>
        <v>497.13448413302626</v>
      </c>
      <c r="BR26" s="49">
        <f>'BU-Segment'!BR81</f>
        <v>497.80447704570258</v>
      </c>
      <c r="BS26" s="50">
        <f>'BU-Segment'!BS81</f>
        <v>536.70433891925995</v>
      </c>
      <c r="BT26" s="48">
        <f>'BU-Segment'!BT81</f>
        <v>559.04129554502299</v>
      </c>
      <c r="BU26" s="49">
        <f>'BU-Segment'!BU81</f>
        <v>528.79513264450122</v>
      </c>
      <c r="BV26" s="49">
        <f>'BU-Segment'!BV81</f>
        <v>536.16430720485164</v>
      </c>
      <c r="BW26" s="50">
        <f>'BU-Segment'!BW81</f>
        <v>579.52678708576877</v>
      </c>
      <c r="BX26" s="67"/>
      <c r="BY26" s="48">
        <f>BY10-BY19</f>
        <v>242.04399999999998</v>
      </c>
      <c r="BZ26" s="49">
        <f>BZ10-BZ19</f>
        <v>314.18999999999988</v>
      </c>
      <c r="CA26" s="49">
        <f>CA10-CA19</f>
        <v>308.77000000000004</v>
      </c>
      <c r="CB26" s="49">
        <f>CB10-CB19</f>
        <v>293.58699999999999</v>
      </c>
      <c r="CC26" s="49">
        <f>CC10-CC19</f>
        <v>287.51499999999993</v>
      </c>
      <c r="CD26" s="49">
        <f t="shared" ref="CD26:CJ26" si="128">CD10-CD19</f>
        <v>347.52600000000018</v>
      </c>
      <c r="CE26" s="49">
        <f t="shared" si="128"/>
        <v>324.80699999999996</v>
      </c>
      <c r="CF26" s="49">
        <f t="shared" si="128"/>
        <v>460.68999999999994</v>
      </c>
      <c r="CG26" s="49">
        <f t="shared" si="128"/>
        <v>632.43300000000011</v>
      </c>
      <c r="CH26" s="49">
        <f t="shared" si="128"/>
        <v>680.74300000000017</v>
      </c>
      <c r="CI26" s="50">
        <f t="shared" si="128"/>
        <v>777.98200000000008</v>
      </c>
      <c r="CJ26" s="48">
        <f t="shared" si="128"/>
        <v>1036.1000000000001</v>
      </c>
      <c r="CK26" s="49">
        <f t="shared" ref="CK26:CP26" si="129">CK10-CK19</f>
        <v>1569.1999999999996</v>
      </c>
      <c r="CL26" s="49">
        <f t="shared" si="129"/>
        <v>1677.9000000000005</v>
      </c>
      <c r="CM26" s="49">
        <f t="shared" si="129"/>
        <v>1855.3999999999999</v>
      </c>
      <c r="CN26" s="49">
        <f t="shared" si="129"/>
        <v>1966.5346425378677</v>
      </c>
      <c r="CO26" s="49">
        <f t="shared" si="129"/>
        <v>2078.9394747100423</v>
      </c>
      <c r="CP26" s="50">
        <f t="shared" si="129"/>
        <v>2203.5275224801453</v>
      </c>
      <c r="CQ26" s="106"/>
      <c r="CR26" s="48">
        <f>CR10-CR19</f>
        <v>296.22400000000016</v>
      </c>
      <c r="CS26" s="49">
        <f>CS10-CS19</f>
        <v>293.55499999999989</v>
      </c>
      <c r="CT26" s="49">
        <f>CT10-CT19</f>
        <v>295.86099999999999</v>
      </c>
      <c r="CU26" s="49">
        <f t="shared" ref="CU26:CZ26" si="130">CU10-CU19</f>
        <v>348.51499999999999</v>
      </c>
      <c r="CV26" s="49">
        <f t="shared" si="130"/>
        <v>343.57199999999995</v>
      </c>
      <c r="CW26" s="49">
        <f t="shared" si="130"/>
        <v>507.03200000000004</v>
      </c>
      <c r="CX26" s="49">
        <f t="shared" si="130"/>
        <v>656.99300000000005</v>
      </c>
      <c r="CY26" s="49">
        <f t="shared" si="130"/>
        <v>701.28200000000004</v>
      </c>
      <c r="CZ26" s="49">
        <f t="shared" si="130"/>
        <v>807.7</v>
      </c>
      <c r="DA26" s="48">
        <f t="shared" ref="DA26:DF26" si="131">DA10-DA19</f>
        <v>1187.7999999999997</v>
      </c>
      <c r="DB26" s="49">
        <f t="shared" si="131"/>
        <v>1668.8999999999996</v>
      </c>
      <c r="DC26" s="49">
        <f t="shared" si="131"/>
        <v>1669.5</v>
      </c>
      <c r="DD26" s="49">
        <f t="shared" si="131"/>
        <v>1928.6</v>
      </c>
      <c r="DE26" s="49">
        <f t="shared" si="131"/>
        <v>1972.930817149921</v>
      </c>
      <c r="DF26" s="50">
        <f t="shared" si="131"/>
        <v>2090.6845956430116</v>
      </c>
      <c r="DG26" s="42"/>
      <c r="DH26" s="42"/>
      <c r="DI26" s="42"/>
      <c r="DJ26" s="42"/>
      <c r="DK26"/>
      <c r="DL26"/>
      <c r="DM26"/>
      <c r="DN26"/>
      <c r="DO26"/>
      <c r="DP26"/>
      <c r="DQ26" s="42"/>
      <c r="DR26" s="42"/>
    </row>
    <row r="27" spans="1:122" s="42" customFormat="1" ht="14.25" hidden="1" outlineLevel="1">
      <c r="B27" s="19" t="s">
        <v>234</v>
      </c>
      <c r="C27" s="34"/>
      <c r="D27" s="20">
        <f t="shared" ref="D27:S27" si="132">D26/D10</f>
        <v>0.37651222892243158</v>
      </c>
      <c r="E27" s="21">
        <f t="shared" si="132"/>
        <v>0.4036437812968659</v>
      </c>
      <c r="F27" s="21">
        <f t="shared" si="132"/>
        <v>0.37335801170447214</v>
      </c>
      <c r="G27" s="21">
        <f t="shared" si="132"/>
        <v>0.41412498666951042</v>
      </c>
      <c r="H27" s="20">
        <f t="shared" si="132"/>
        <v>0.39728624620234365</v>
      </c>
      <c r="I27" s="21">
        <f t="shared" si="132"/>
        <v>0.39885322476031637</v>
      </c>
      <c r="J27" s="21">
        <f t="shared" si="132"/>
        <v>0.40401780332438025</v>
      </c>
      <c r="K27" s="37">
        <f t="shared" si="132"/>
        <v>0.401986545419527</v>
      </c>
      <c r="L27" s="21">
        <f t="shared" si="132"/>
        <v>0.39979560319767443</v>
      </c>
      <c r="M27" s="21">
        <f t="shared" si="132"/>
        <v>-0.11669271203295935</v>
      </c>
      <c r="N27" s="21">
        <f t="shared" si="132"/>
        <v>0.40658480045109957</v>
      </c>
      <c r="O27" s="37">
        <f t="shared" si="132"/>
        <v>0.56416352228692745</v>
      </c>
      <c r="P27" s="21">
        <f t="shared" si="132"/>
        <v>0.3805521240388251</v>
      </c>
      <c r="Q27" s="21">
        <f t="shared" si="132"/>
        <v>0.37741451353423244</v>
      </c>
      <c r="R27" s="21">
        <f t="shared" si="132"/>
        <v>0.37527529965796869</v>
      </c>
      <c r="S27" s="37">
        <f t="shared" si="132"/>
        <v>0.37469155426374195</v>
      </c>
      <c r="T27" s="21">
        <f>T26/T10</f>
        <v>0.38484415650665715</v>
      </c>
      <c r="U27" s="21">
        <f>U26/U10</f>
        <v>0.38276455246656682</v>
      </c>
      <c r="V27" s="21">
        <f>V26/V10</f>
        <v>0.38801632839485023</v>
      </c>
      <c r="W27" s="37">
        <f>W26/W10</f>
        <v>0.39449420857529877</v>
      </c>
      <c r="X27" s="21">
        <f t="shared" ref="X27:AW27" si="133">X26/X10</f>
        <v>0.39797561427424677</v>
      </c>
      <c r="Y27" s="21">
        <f t="shared" si="133"/>
        <v>0.40345449858210886</v>
      </c>
      <c r="Z27" s="21">
        <f t="shared" si="133"/>
        <v>0.40618465684680083</v>
      </c>
      <c r="AA27" s="21">
        <f t="shared" si="133"/>
        <v>0.40824540130543618</v>
      </c>
      <c r="AB27" s="20">
        <f t="shared" si="133"/>
        <v>0.40325741575812929</v>
      </c>
      <c r="AC27" s="21">
        <f t="shared" si="133"/>
        <v>0.39979767616625245</v>
      </c>
      <c r="AD27" s="21">
        <f t="shared" si="133"/>
        <v>0.40516073697918026</v>
      </c>
      <c r="AE27" s="21">
        <f t="shared" si="133"/>
        <v>0.40937820518439927</v>
      </c>
      <c r="AF27" s="20">
        <f t="shared" si="133"/>
        <v>0.42237841542314941</v>
      </c>
      <c r="AG27" s="21">
        <f t="shared" si="133"/>
        <v>0.42299775684917112</v>
      </c>
      <c r="AH27" s="21">
        <f t="shared" si="133"/>
        <v>0.43282492646257753</v>
      </c>
      <c r="AI27" s="21">
        <f t="shared" si="133"/>
        <v>0.43814697892959409</v>
      </c>
      <c r="AJ27" s="20">
        <f t="shared" si="133"/>
        <v>0.44725173072332303</v>
      </c>
      <c r="AK27" s="21">
        <f t="shared" si="133"/>
        <v>0.43899868166718392</v>
      </c>
      <c r="AL27" s="21">
        <f t="shared" si="133"/>
        <v>0.44939970511830368</v>
      </c>
      <c r="AM27" s="37">
        <f t="shared" si="133"/>
        <v>0.44660167629425623</v>
      </c>
      <c r="AN27" s="20">
        <f t="shared" si="133"/>
        <v>0.44304109310712653</v>
      </c>
      <c r="AO27" s="21">
        <f t="shared" si="133"/>
        <v>0.43192848720831384</v>
      </c>
      <c r="AP27" s="21">
        <f t="shared" si="133"/>
        <v>0.43200150113870622</v>
      </c>
      <c r="AQ27" s="37">
        <f t="shared" si="133"/>
        <v>0.42913659754032768</v>
      </c>
      <c r="AR27" s="20">
        <f t="shared" si="133"/>
        <v>0.42973796787908047</v>
      </c>
      <c r="AS27" s="21">
        <f t="shared" si="133"/>
        <v>0.42191909689557849</v>
      </c>
      <c r="AT27" s="21">
        <f t="shared" si="133"/>
        <v>0.43980738362760835</v>
      </c>
      <c r="AU27" s="37">
        <f t="shared" si="133"/>
        <v>0.44402515723270441</v>
      </c>
      <c r="AV27" s="20">
        <f t="shared" si="133"/>
        <v>0.44477434679334915</v>
      </c>
      <c r="AW27" s="21">
        <f t="shared" si="133"/>
        <v>0.44740124740124737</v>
      </c>
      <c r="AX27" s="21">
        <f t="shared" ref="AX27:BC27" si="134">AX26/AX10</f>
        <v>0.45417376490630318</v>
      </c>
      <c r="AY27" s="37">
        <f t="shared" si="134"/>
        <v>0.45892509050403796</v>
      </c>
      <c r="AZ27" s="20">
        <f t="shared" si="134"/>
        <v>0.4672873991309745</v>
      </c>
      <c r="BA27" s="21">
        <f t="shared" si="134"/>
        <v>0.46713029786117316</v>
      </c>
      <c r="BB27" s="21">
        <f t="shared" si="134"/>
        <v>0.48975308641975313</v>
      </c>
      <c r="BC27" s="37">
        <f t="shared" si="134"/>
        <v>0.49965940054495905</v>
      </c>
      <c r="BD27" s="20">
        <f t="shared" ref="BD27:BI27" si="135">BD26/BD10</f>
        <v>0.51370306430729396</v>
      </c>
      <c r="BE27" s="21">
        <f t="shared" si="135"/>
        <v>0.50780544445877951</v>
      </c>
      <c r="BF27" s="21">
        <f t="shared" si="135"/>
        <v>0.50858055075162967</v>
      </c>
      <c r="BG27" s="37">
        <f t="shared" si="135"/>
        <v>0.50981565717021782</v>
      </c>
      <c r="BH27" s="20">
        <f t="shared" si="135"/>
        <v>0.51153888220496557</v>
      </c>
      <c r="BI27" s="859">
        <f t="shared" si="135"/>
        <v>0.50346366091346717</v>
      </c>
      <c r="BJ27" s="859">
        <f t="shared" ref="BJ27:BS27" si="136">BJ26/BJ10</f>
        <v>0.50677175843694489</v>
      </c>
      <c r="BK27" s="885">
        <f t="shared" si="136"/>
        <v>0.51025797278082474</v>
      </c>
      <c r="BL27" s="880">
        <f t="shared" si="136"/>
        <v>0.51421237760243377</v>
      </c>
      <c r="BM27" s="959">
        <f t="shared" si="136"/>
        <v>0.50755015002767501</v>
      </c>
      <c r="BN27" s="881">
        <f t="shared" si="136"/>
        <v>0.50909177644797043</v>
      </c>
      <c r="BO27" s="885">
        <f t="shared" si="136"/>
        <v>0.50939776322854391</v>
      </c>
      <c r="BP27" s="20">
        <f t="shared" si="136"/>
        <v>0.50953368670692201</v>
      </c>
      <c r="BQ27" s="21">
        <f t="shared" si="136"/>
        <v>0.50830754670881795</v>
      </c>
      <c r="BR27" s="21">
        <f t="shared" si="136"/>
        <v>0.50884158808946323</v>
      </c>
      <c r="BS27" s="37">
        <f t="shared" si="136"/>
        <v>0.51002681121385396</v>
      </c>
      <c r="BT27" s="880">
        <f t="shared" ref="BT27:BW27" si="137">BT26/BT10</f>
        <v>0.50974504953018429</v>
      </c>
      <c r="BU27" s="881">
        <f t="shared" si="137"/>
        <v>0.509861616074752</v>
      </c>
      <c r="BV27" s="881">
        <f t="shared" si="137"/>
        <v>0.51032596702319932</v>
      </c>
      <c r="BW27" s="885">
        <f t="shared" si="137"/>
        <v>0.51009683155200658</v>
      </c>
      <c r="BX27" s="398"/>
      <c r="BY27" s="20">
        <f>BY26/BY10</f>
        <v>0.39179072466489367</v>
      </c>
      <c r="BZ27" s="21">
        <f>BZ26/BZ10</f>
        <v>0.40074079459403605</v>
      </c>
      <c r="CA27" s="21">
        <f>CA26/CA10</f>
        <v>0.38967857228495245</v>
      </c>
      <c r="CB27" s="21">
        <f>CB26/CB10</f>
        <v>0.37697935766858243</v>
      </c>
      <c r="CC27" s="21">
        <f>CC26/CC10</f>
        <v>0.38756539403571338</v>
      </c>
      <c r="CD27" s="21">
        <f t="shared" ref="CD27:CJ27" si="138">CD26/CD10</f>
        <v>0.40409201213464402</v>
      </c>
      <c r="CE27" s="21">
        <f t="shared" si="138"/>
        <v>0.40470509371686453</v>
      </c>
      <c r="CF27" s="21">
        <f t="shared" si="138"/>
        <v>0.42980867640871051</v>
      </c>
      <c r="CG27" s="21">
        <f t="shared" si="138"/>
        <v>0.44571371787878411</v>
      </c>
      <c r="CH27" s="21">
        <f t="shared" si="138"/>
        <v>0.43398651392564369</v>
      </c>
      <c r="CI27" s="37">
        <f t="shared" si="138"/>
        <v>0.43413616901122365</v>
      </c>
      <c r="CJ27" s="880">
        <f t="shared" si="138"/>
        <v>0.45216897966308811</v>
      </c>
      <c r="CK27" s="881">
        <f t="shared" ref="CK27:CP27" si="139">CK26/CK10</f>
        <v>0.48158605450527858</v>
      </c>
      <c r="CL27" s="881">
        <f t="shared" si="139"/>
        <v>0.51015506232897545</v>
      </c>
      <c r="CM27" s="881">
        <f t="shared" si="139"/>
        <v>0.50813386646217884</v>
      </c>
      <c r="CN27" s="881">
        <f t="shared" si="139"/>
        <v>0.51021008772463217</v>
      </c>
      <c r="CO27" s="881">
        <f t="shared" si="139"/>
        <v>0.50920122497966869</v>
      </c>
      <c r="CP27" s="885">
        <f t="shared" si="139"/>
        <v>0.51000679389741987</v>
      </c>
      <c r="CQ27" s="107"/>
      <c r="CR27" s="20">
        <f>CR26/CR10</f>
        <v>0.38443888410145682</v>
      </c>
      <c r="CS27" s="21">
        <f>CS26/CS10</f>
        <v>0.37805234561032736</v>
      </c>
      <c r="CT27" s="21">
        <f>CT26/CT10</f>
        <v>0.3911683977830428</v>
      </c>
      <c r="CU27" s="21">
        <f t="shared" ref="CU27:CZ27" si="140">CU26/CU10</f>
        <v>0.40538575709074665</v>
      </c>
      <c r="CV27" s="21">
        <f t="shared" si="140"/>
        <v>0.41024159180978326</v>
      </c>
      <c r="CW27" s="21">
        <f t="shared" si="140"/>
        <v>0.4364077047350261</v>
      </c>
      <c r="CX27" s="21">
        <f t="shared" si="140"/>
        <v>0.44465267315582235</v>
      </c>
      <c r="CY27" s="21">
        <f t="shared" si="140"/>
        <v>0.4306137185888918</v>
      </c>
      <c r="CZ27" s="21">
        <f t="shared" si="140"/>
        <v>0.43813398426905348</v>
      </c>
      <c r="DA27" s="880">
        <f t="shared" ref="DA27:DF27" si="141">DA26/DA10</f>
        <v>0.45830921788787277</v>
      </c>
      <c r="DB27" s="881">
        <f t="shared" si="141"/>
        <v>0.49380122496079526</v>
      </c>
      <c r="DC27" s="881">
        <f t="shared" si="141"/>
        <v>0.50953761635891959</v>
      </c>
      <c r="DD27" s="881">
        <f t="shared" si="141"/>
        <v>0.50899973607812088</v>
      </c>
      <c r="DE27" s="881">
        <f t="shared" si="141"/>
        <v>0.50893665954096434</v>
      </c>
      <c r="DF27" s="885">
        <f t="shared" si="141"/>
        <v>0.50925951864914554</v>
      </c>
      <c r="DG27" s="45"/>
      <c r="DH27" s="45"/>
      <c r="DI27" s="45"/>
      <c r="DJ27" s="45"/>
      <c r="DK27"/>
      <c r="DL27"/>
      <c r="DM27"/>
      <c r="DN27"/>
      <c r="DO27"/>
      <c r="DP27"/>
      <c r="DQ27" s="45"/>
      <c r="DR27" s="45"/>
    </row>
    <row r="28" spans="1:122" s="45" customFormat="1" ht="15" hidden="1" outlineLevel="1">
      <c r="B28" s="46" t="s">
        <v>19</v>
      </c>
      <c r="C28" s="47"/>
      <c r="D28" s="48">
        <f t="shared" ref="D28:R28" si="142">D10-D21</f>
        <v>60.314999999999998</v>
      </c>
      <c r="E28" s="49">
        <f t="shared" si="142"/>
        <v>63.519000000000005</v>
      </c>
      <c r="F28" s="49">
        <f t="shared" si="142"/>
        <v>56.078000000000017</v>
      </c>
      <c r="G28" s="49">
        <f t="shared" si="142"/>
        <v>62.131999999999991</v>
      </c>
      <c r="H28" s="48">
        <f t="shared" si="142"/>
        <v>69.567999999999998</v>
      </c>
      <c r="I28" s="49">
        <f t="shared" si="142"/>
        <v>73.178000000000011</v>
      </c>
      <c r="J28" s="49">
        <f t="shared" si="142"/>
        <v>83.784000000000006</v>
      </c>
      <c r="K28" s="50">
        <f t="shared" si="142"/>
        <v>87.659999999999968</v>
      </c>
      <c r="L28" s="49">
        <f t="shared" si="142"/>
        <v>88.019000000000005</v>
      </c>
      <c r="M28" s="49">
        <f t="shared" si="142"/>
        <v>-12.321000000000012</v>
      </c>
      <c r="N28" s="49">
        <f t="shared" si="142"/>
        <v>77.874000000000009</v>
      </c>
      <c r="O28" s="50">
        <f t="shared" si="142"/>
        <v>155.19799999999998</v>
      </c>
      <c r="P28" s="49">
        <f t="shared" si="142"/>
        <v>75.12299999999999</v>
      </c>
      <c r="Q28" s="49">
        <f t="shared" si="142"/>
        <v>69.350000000000009</v>
      </c>
      <c r="R28" s="49">
        <f t="shared" si="142"/>
        <v>73.346999999999994</v>
      </c>
      <c r="S28" s="50">
        <f>S10-S21</f>
        <v>78.590999999999994</v>
      </c>
      <c r="T28" s="49">
        <f t="shared" ref="T28:AJ28" si="143">T10-T21</f>
        <v>75.316000000000003</v>
      </c>
      <c r="U28" s="49">
        <f t="shared" si="143"/>
        <v>68.702000000000012</v>
      </c>
      <c r="V28" s="49">
        <f t="shared" si="143"/>
        <v>67.488</v>
      </c>
      <c r="W28" s="50">
        <f t="shared" si="143"/>
        <v>74.734999999999928</v>
      </c>
      <c r="X28" s="49">
        <f t="shared" si="143"/>
        <v>82.952999999999989</v>
      </c>
      <c r="Y28" s="49">
        <f t="shared" si="143"/>
        <v>80.703000000000003</v>
      </c>
      <c r="Z28" s="49">
        <f t="shared" si="143"/>
        <v>86.76400000000001</v>
      </c>
      <c r="AA28" s="49">
        <f t="shared" si="143"/>
        <v>94.13200000000009</v>
      </c>
      <c r="AB28" s="48">
        <f t="shared" si="143"/>
        <v>83.867000000000004</v>
      </c>
      <c r="AC28" s="49">
        <f t="shared" si="143"/>
        <v>68.333000000000013</v>
      </c>
      <c r="AD28" s="49">
        <f t="shared" si="143"/>
        <v>76.949999999999989</v>
      </c>
      <c r="AE28" s="49">
        <f t="shared" si="143"/>
        <v>92.527999999999963</v>
      </c>
      <c r="AF28" s="48">
        <f t="shared" si="143"/>
        <v>102.554</v>
      </c>
      <c r="AG28" s="49">
        <f t="shared" si="143"/>
        <v>99.853999999999985</v>
      </c>
      <c r="AH28" s="49">
        <f t="shared" si="143"/>
        <v>118.26599999999999</v>
      </c>
      <c r="AI28" s="49">
        <f t="shared" si="143"/>
        <v>136.15899999999999</v>
      </c>
      <c r="AJ28" s="48">
        <f t="shared" si="143"/>
        <v>148.53800000000001</v>
      </c>
      <c r="AK28" s="49">
        <f t="shared" ref="AK28:AP28" si="144">AK10-AK21</f>
        <v>140.98099999999999</v>
      </c>
      <c r="AL28" s="49">
        <f t="shared" si="144"/>
        <v>157.84199999999998</v>
      </c>
      <c r="AM28" s="50">
        <f t="shared" si="144"/>
        <v>177.51499999999999</v>
      </c>
      <c r="AN28" s="48">
        <f t="shared" si="144"/>
        <v>171.92600000000002</v>
      </c>
      <c r="AO28" s="49">
        <f t="shared" si="144"/>
        <v>155.11799999999999</v>
      </c>
      <c r="AP28" s="49">
        <f t="shared" si="144"/>
        <v>165.95400000000001</v>
      </c>
      <c r="AQ28" s="50">
        <f t="shared" ref="AQ28:AV28" si="145">AQ10-AQ21</f>
        <v>178.32599999999999</v>
      </c>
      <c r="AR28" s="48">
        <f t="shared" si="145"/>
        <v>192.57600000000002</v>
      </c>
      <c r="AS28" s="49">
        <f t="shared" si="145"/>
        <v>176.7</v>
      </c>
      <c r="AT28" s="49">
        <f t="shared" si="145"/>
        <v>189.4</v>
      </c>
      <c r="AU28" s="50">
        <f t="shared" si="145"/>
        <v>209.10000000000002</v>
      </c>
      <c r="AV28" s="48">
        <f t="shared" si="145"/>
        <v>222</v>
      </c>
      <c r="AW28" s="49">
        <f t="shared" ref="AW28:BB28" si="146">AW10-AW21</f>
        <v>212.39999999999998</v>
      </c>
      <c r="AX28" s="49">
        <f t="shared" si="146"/>
        <v>264.2</v>
      </c>
      <c r="AY28" s="50">
        <f t="shared" si="146"/>
        <v>326.30000000000007</v>
      </c>
      <c r="AZ28" s="48">
        <f t="shared" si="146"/>
        <v>373.2</v>
      </c>
      <c r="BA28" s="49">
        <f t="shared" si="146"/>
        <v>352.20000000000005</v>
      </c>
      <c r="BB28" s="49">
        <f t="shared" si="146"/>
        <v>393.1</v>
      </c>
      <c r="BC28" s="50">
        <f t="shared" ref="BC28:BH28" si="147">BC10-BC21</f>
        <v>436.19999999999993</v>
      </c>
      <c r="BD28" s="48">
        <f t="shared" si="147"/>
        <v>472.09999999999997</v>
      </c>
      <c r="BE28" s="49">
        <f t="shared" si="147"/>
        <v>390.40000000000003</v>
      </c>
      <c r="BF28" s="49">
        <f t="shared" si="147"/>
        <v>380.10000000000008</v>
      </c>
      <c r="BG28" s="50">
        <f t="shared" si="147"/>
        <v>424</v>
      </c>
      <c r="BH28" s="48">
        <f t="shared" si="147"/>
        <v>463.9</v>
      </c>
      <c r="BI28" s="49">
        <f>BI10-BI21</f>
        <v>425.40000000000003</v>
      </c>
      <c r="BJ28" s="49">
        <f>BJ10-BJ21</f>
        <v>453.59999999999997</v>
      </c>
      <c r="BK28" s="50">
        <f t="shared" ref="BK28:BL28" si="148">BK10-BK21</f>
        <v>498.90000000000003</v>
      </c>
      <c r="BL28" s="48">
        <f t="shared" si="148"/>
        <v>536.80000000000007</v>
      </c>
      <c r="BM28" s="49">
        <f t="shared" ref="BM28:BS28" si="149">BM8-BM21</f>
        <v>454.17276951500008</v>
      </c>
      <c r="BN28" s="49">
        <f t="shared" si="149"/>
        <v>437.95224430460007</v>
      </c>
      <c r="BO28" s="50">
        <f t="shared" si="149"/>
        <v>521.50962871826755</v>
      </c>
      <c r="BP28" s="48">
        <f t="shared" si="149"/>
        <v>543.29617461205362</v>
      </c>
      <c r="BQ28" s="49">
        <f t="shared" si="149"/>
        <v>493.13448413302626</v>
      </c>
      <c r="BR28" s="49">
        <f t="shared" si="149"/>
        <v>493.80447704570258</v>
      </c>
      <c r="BS28" s="50">
        <f t="shared" si="149"/>
        <v>532.70433891925995</v>
      </c>
      <c r="BT28" s="48">
        <f t="shared" ref="BT28:BW28" si="150">BT8-BT21</f>
        <v>555.04129554502299</v>
      </c>
      <c r="BU28" s="49">
        <f t="shared" si="150"/>
        <v>524.79513264450122</v>
      </c>
      <c r="BV28" s="49">
        <f t="shared" si="150"/>
        <v>532.16430720485164</v>
      </c>
      <c r="BW28" s="50">
        <f t="shared" si="150"/>
        <v>575.52678708576877</v>
      </c>
      <c r="BX28" s="67"/>
      <c r="BY28" s="48">
        <f>BY10-BY21</f>
        <v>242.04399999999998</v>
      </c>
      <c r="BZ28" s="49">
        <f>BZ10-BZ21</f>
        <v>314.18999999999988</v>
      </c>
      <c r="CA28" s="49">
        <f>CA10-CA21</f>
        <v>308.77000000000004</v>
      </c>
      <c r="CB28" s="49">
        <f>CB10-CB21</f>
        <v>296.411</v>
      </c>
      <c r="CC28" s="49">
        <f>CC10-CC21</f>
        <v>286.24099999999993</v>
      </c>
      <c r="CD28" s="49">
        <f t="shared" ref="CD28:CJ28" si="151">CD10-CD21</f>
        <v>344.55200000000013</v>
      </c>
      <c r="CE28" s="49">
        <f t="shared" si="151"/>
        <v>321.67799999999994</v>
      </c>
      <c r="CF28" s="49">
        <f t="shared" si="151"/>
        <v>456.83299999999997</v>
      </c>
      <c r="CG28" s="49">
        <f t="shared" si="151"/>
        <v>624.87600000000009</v>
      </c>
      <c r="CH28" s="49">
        <f t="shared" si="151"/>
        <v>671.32400000000018</v>
      </c>
      <c r="CI28" s="50">
        <f t="shared" si="151"/>
        <v>767.77600000000007</v>
      </c>
      <c r="CJ28" s="48">
        <f t="shared" si="151"/>
        <v>1024.9000000000001</v>
      </c>
      <c r="CK28" s="49">
        <f t="shared" ref="CK28:CO28" si="152">CK10-CK21</f>
        <v>1554.6999999999996</v>
      </c>
      <c r="CL28" s="49">
        <f t="shared" si="152"/>
        <v>1666.6000000000006</v>
      </c>
      <c r="CM28" s="49">
        <f t="shared" si="152"/>
        <v>1841.8</v>
      </c>
      <c r="CN28" s="49">
        <f t="shared" si="152"/>
        <v>1950.4346425378678</v>
      </c>
      <c r="CO28" s="49">
        <f t="shared" si="152"/>
        <v>2062.9394747100423</v>
      </c>
      <c r="CP28" s="50">
        <f t="shared" ref="CP28" si="153">CP10-CP21</f>
        <v>2187.5275224801453</v>
      </c>
      <c r="CQ28" s="106"/>
      <c r="CR28" s="48">
        <f>CR10-CR21</f>
        <v>295.87400000000014</v>
      </c>
      <c r="CS28" s="49">
        <f>CS10-CS21</f>
        <v>291.56599999999992</v>
      </c>
      <c r="CT28" s="49">
        <f>CT10-CT21</f>
        <v>293.87799999999999</v>
      </c>
      <c r="CU28" s="49">
        <f t="shared" ref="CU28:CZ28" si="154">CU10-CU21</f>
        <v>345.46600000000001</v>
      </c>
      <c r="CV28" s="49">
        <f t="shared" si="154"/>
        <v>340.36499999999995</v>
      </c>
      <c r="CW28" s="49">
        <f t="shared" si="154"/>
        <v>502.81700000000001</v>
      </c>
      <c r="CX28" s="49">
        <f t="shared" si="154"/>
        <v>648.26400000000001</v>
      </c>
      <c r="CY28" s="49">
        <f t="shared" si="154"/>
        <v>691.97400000000005</v>
      </c>
      <c r="CZ28" s="49">
        <f t="shared" si="154"/>
        <v>797.2</v>
      </c>
      <c r="DA28" s="48">
        <f t="shared" ref="DA28:DF28" si="155">DA10-DA21</f>
        <v>1176.0999999999997</v>
      </c>
      <c r="DB28" s="49">
        <f t="shared" si="155"/>
        <v>1653.5999999999997</v>
      </c>
      <c r="DC28" s="49">
        <f t="shared" si="155"/>
        <v>1658.4</v>
      </c>
      <c r="DD28" s="49">
        <f t="shared" si="155"/>
        <v>1914.6999999999998</v>
      </c>
      <c r="DE28" s="49">
        <f t="shared" si="155"/>
        <v>1956.930817149921</v>
      </c>
      <c r="DF28" s="50">
        <f t="shared" si="155"/>
        <v>2074.6845956430116</v>
      </c>
      <c r="DG28" s="42"/>
      <c r="DH28" s="42"/>
      <c r="DI28" s="42"/>
      <c r="DJ28" s="42"/>
      <c r="DK28"/>
      <c r="DL28"/>
      <c r="DM28"/>
      <c r="DN28"/>
      <c r="DO28"/>
      <c r="DP28"/>
      <c r="DQ28" s="42"/>
      <c r="DR28" s="42"/>
    </row>
    <row r="29" spans="1:122" s="42" customFormat="1" ht="14.25" hidden="1" outlineLevel="1">
      <c r="B29" s="19" t="s">
        <v>18</v>
      </c>
      <c r="C29" s="34"/>
      <c r="D29" s="20">
        <f t="shared" ref="D29:S29" si="156">D28/D10</f>
        <v>0.37651222892243158</v>
      </c>
      <c r="E29" s="21">
        <f t="shared" si="156"/>
        <v>0.4036437812968659</v>
      </c>
      <c r="F29" s="21">
        <f t="shared" si="156"/>
        <v>0.37335801170447214</v>
      </c>
      <c r="G29" s="37">
        <f t="shared" si="156"/>
        <v>0.41412498666951042</v>
      </c>
      <c r="H29" s="21">
        <f t="shared" si="156"/>
        <v>0.39728624620234365</v>
      </c>
      <c r="I29" s="21">
        <f t="shared" si="156"/>
        <v>0.39885322476031637</v>
      </c>
      <c r="J29" s="21">
        <f t="shared" si="156"/>
        <v>0.40401780332438025</v>
      </c>
      <c r="K29" s="37">
        <f t="shared" si="156"/>
        <v>0.401986545419527</v>
      </c>
      <c r="L29" s="21">
        <f t="shared" si="156"/>
        <v>0.39979560319767443</v>
      </c>
      <c r="M29" s="21">
        <f t="shared" si="156"/>
        <v>-0.11669271203295935</v>
      </c>
      <c r="N29" s="21">
        <f t="shared" si="156"/>
        <v>0.40658480045109957</v>
      </c>
      <c r="O29" s="37">
        <f t="shared" si="156"/>
        <v>0.56416352228692745</v>
      </c>
      <c r="P29" s="21">
        <f t="shared" si="156"/>
        <v>0.37878734400605063</v>
      </c>
      <c r="Q29" s="21">
        <f t="shared" si="156"/>
        <v>0.37439131045056528</v>
      </c>
      <c r="R29" s="21">
        <f t="shared" si="156"/>
        <v>0.37221021222178241</v>
      </c>
      <c r="S29" s="37">
        <f t="shared" si="156"/>
        <v>0.39658174001241353</v>
      </c>
      <c r="T29" s="21">
        <f>T28/T10</f>
        <v>0.38420649900525433</v>
      </c>
      <c r="U29" s="21">
        <f>U28/U10</f>
        <v>0.38123300593751741</v>
      </c>
      <c r="V29" s="21">
        <f>V28/V10</f>
        <v>0.38530444463475205</v>
      </c>
      <c r="W29" s="37">
        <f>W28/W10</f>
        <v>0.39240446512018629</v>
      </c>
      <c r="X29" s="21">
        <f t="shared" ref="X29:AW29" si="157">X28/X10</f>
        <v>0.39401424004787844</v>
      </c>
      <c r="Y29" s="21">
        <f t="shared" si="157"/>
        <v>0.40009816169908979</v>
      </c>
      <c r="Z29" s="21">
        <f t="shared" si="157"/>
        <v>0.40315970447469918</v>
      </c>
      <c r="AA29" s="21">
        <f t="shared" si="157"/>
        <v>0.40475391931752736</v>
      </c>
      <c r="AB29" s="20">
        <f t="shared" si="157"/>
        <v>0.39893353882451432</v>
      </c>
      <c r="AC29" s="21">
        <f t="shared" si="157"/>
        <v>0.3950112723278803</v>
      </c>
      <c r="AD29" s="21">
        <f t="shared" si="157"/>
        <v>0.4024307970692369</v>
      </c>
      <c r="AE29" s="21">
        <f t="shared" si="157"/>
        <v>0.40556485759119143</v>
      </c>
      <c r="AF29" s="20">
        <f t="shared" si="157"/>
        <v>0.41835211187168042</v>
      </c>
      <c r="AG29" s="21">
        <f t="shared" si="157"/>
        <v>0.41945240235572839</v>
      </c>
      <c r="AH29" s="21">
        <f t="shared" si="157"/>
        <v>0.42948033554853465</v>
      </c>
      <c r="AI29" s="21">
        <f t="shared" si="157"/>
        <v>0.43461981658755833</v>
      </c>
      <c r="AJ29" s="20">
        <f t="shared" si="157"/>
        <v>0.44323824301742665</v>
      </c>
      <c r="AK29" s="21">
        <f t="shared" si="157"/>
        <v>0.43323981057800748</v>
      </c>
      <c r="AL29" s="21">
        <f t="shared" si="157"/>
        <v>0.44328301621849325</v>
      </c>
      <c r="AM29" s="37">
        <f t="shared" si="157"/>
        <v>0.44123276230624681</v>
      </c>
      <c r="AN29" s="20">
        <f t="shared" si="157"/>
        <v>0.43664854980443951</v>
      </c>
      <c r="AO29" s="21">
        <f t="shared" si="157"/>
        <v>0.4253420713482684</v>
      </c>
      <c r="AP29" s="21">
        <f t="shared" si="157"/>
        <v>0.42657529598651034</v>
      </c>
      <c r="AQ29" s="37">
        <f t="shared" si="157"/>
        <v>0.42346353591553809</v>
      </c>
      <c r="AR29" s="20">
        <f t="shared" si="157"/>
        <v>0.42443517300202993</v>
      </c>
      <c r="AS29" s="21">
        <f t="shared" si="157"/>
        <v>0.41556914393226713</v>
      </c>
      <c r="AT29" s="21">
        <f t="shared" si="157"/>
        <v>0.43430405870213251</v>
      </c>
      <c r="AU29" s="37">
        <f t="shared" si="157"/>
        <v>0.43836477987421391</v>
      </c>
      <c r="AV29" s="20">
        <f t="shared" si="157"/>
        <v>0.43942992874109266</v>
      </c>
      <c r="AW29" s="21">
        <f t="shared" si="157"/>
        <v>0.44158004158004155</v>
      </c>
      <c r="AX29" s="21">
        <f t="shared" ref="AX29:BC29" si="158">AX28/AX10</f>
        <v>0.45008517887563881</v>
      </c>
      <c r="AY29" s="37">
        <f t="shared" si="158"/>
        <v>0.45433027011974386</v>
      </c>
      <c r="AZ29" s="20">
        <f t="shared" si="158"/>
        <v>0.46331471135940411</v>
      </c>
      <c r="BA29" s="21">
        <f t="shared" si="158"/>
        <v>0.46214407558063253</v>
      </c>
      <c r="BB29" s="21">
        <f t="shared" si="158"/>
        <v>0.48530864197530865</v>
      </c>
      <c r="BC29" s="37">
        <f t="shared" si="158"/>
        <v>0.49523160762942775</v>
      </c>
      <c r="BD29" s="20">
        <f t="shared" ref="BD29:BI29" si="159">BD28/BD10</f>
        <v>0.50938713854121709</v>
      </c>
      <c r="BE29" s="21">
        <f t="shared" si="159"/>
        <v>0.50367694491033421</v>
      </c>
      <c r="BF29" s="21">
        <f t="shared" si="159"/>
        <v>0.5056538512704537</v>
      </c>
      <c r="BG29" s="37">
        <f t="shared" si="159"/>
        <v>0.50754129758199662</v>
      </c>
      <c r="BH29" s="20">
        <f t="shared" si="159"/>
        <v>0.50738269714535711</v>
      </c>
      <c r="BI29" s="859">
        <f t="shared" si="159"/>
        <v>0.4994716449454033</v>
      </c>
      <c r="BJ29" s="859">
        <f t="shared" ref="BJ29:BS29" si="160">BJ28/BJ10</f>
        <v>0.50355239786856132</v>
      </c>
      <c r="BK29" s="885">
        <f t="shared" si="160"/>
        <v>0.50670322973796467</v>
      </c>
      <c r="BL29" s="880">
        <f t="shared" si="160"/>
        <v>0.51031466869474285</v>
      </c>
      <c r="BM29" s="881">
        <f t="shared" si="160"/>
        <v>0.50311906914467153</v>
      </c>
      <c r="BN29" s="881">
        <f t="shared" si="160"/>
        <v>0.50448411321730613</v>
      </c>
      <c r="BO29" s="885">
        <f t="shared" si="160"/>
        <v>0.50552040125159226</v>
      </c>
      <c r="BP29" s="20">
        <f t="shared" si="160"/>
        <v>0.50580967977726932</v>
      </c>
      <c r="BQ29" s="21">
        <f t="shared" si="160"/>
        <v>0.50421764699007066</v>
      </c>
      <c r="BR29" s="21">
        <f t="shared" si="160"/>
        <v>0.50475290177543686</v>
      </c>
      <c r="BS29" s="37">
        <f t="shared" si="160"/>
        <v>0.50622563597282</v>
      </c>
      <c r="BT29" s="880">
        <f t="shared" ref="BT29:BW29" si="161">BT28/BT10</f>
        <v>0.50609776941980733</v>
      </c>
      <c r="BU29" s="881">
        <f t="shared" si="161"/>
        <v>0.50600483612653324</v>
      </c>
      <c r="BV29" s="881">
        <f t="shared" si="161"/>
        <v>0.50651873136677417</v>
      </c>
      <c r="BW29" s="885">
        <f t="shared" si="161"/>
        <v>0.50657604981822624</v>
      </c>
      <c r="BX29" s="841"/>
      <c r="BY29" s="20">
        <f>BY28/BY10</f>
        <v>0.39179072466489367</v>
      </c>
      <c r="BZ29" s="21">
        <f>BZ28/BZ10</f>
        <v>0.40074079459403605</v>
      </c>
      <c r="CA29" s="21">
        <f>CA28/CA10</f>
        <v>0.38967857228495245</v>
      </c>
      <c r="CB29" s="21">
        <f>CB28/CB10</f>
        <v>0.38060550496412376</v>
      </c>
      <c r="CC29" s="21">
        <f>CC28/CC10</f>
        <v>0.38584806341991423</v>
      </c>
      <c r="CD29" s="21">
        <f t="shared" ref="CD29:CJ29" si="162">CD28/CD10</f>
        <v>0.40063394095698124</v>
      </c>
      <c r="CE29" s="21">
        <f t="shared" si="162"/>
        <v>0.40080640237634513</v>
      </c>
      <c r="CF29" s="21">
        <f t="shared" si="162"/>
        <v>0.42621022177564188</v>
      </c>
      <c r="CG29" s="21">
        <f t="shared" si="162"/>
        <v>0.44038784372925366</v>
      </c>
      <c r="CH29" s="21">
        <f t="shared" si="162"/>
        <v>0.42798172360879044</v>
      </c>
      <c r="CI29" s="37">
        <f t="shared" si="162"/>
        <v>0.42844092960860436</v>
      </c>
      <c r="CJ29" s="880">
        <f t="shared" si="162"/>
        <v>0.4472811381688051</v>
      </c>
      <c r="CK29" s="881">
        <f t="shared" ref="CK29:CP29" si="163">CK28/CK10</f>
        <v>0.47713601767738761</v>
      </c>
      <c r="CL29" s="881">
        <f t="shared" si="163"/>
        <v>0.50671936758893288</v>
      </c>
      <c r="CM29" s="881">
        <f t="shared" si="163"/>
        <v>0.50440926767815086</v>
      </c>
      <c r="CN29" s="881">
        <f t="shared" si="163"/>
        <v>0.5060330026966432</v>
      </c>
      <c r="CO29" s="881">
        <f t="shared" si="163"/>
        <v>0.50528229434278182</v>
      </c>
      <c r="CP29" s="885">
        <f t="shared" si="163"/>
        <v>0.50630359136461278</v>
      </c>
      <c r="CQ29" s="107"/>
      <c r="CR29" s="20">
        <f>CR28/CR10</f>
        <v>0.38398465483767158</v>
      </c>
      <c r="CS29" s="21">
        <f>CS28/CS10</f>
        <v>0.37549082863593097</v>
      </c>
      <c r="CT29" s="21">
        <f>CT28/CT10</f>
        <v>0.38854660264004059</v>
      </c>
      <c r="CU29" s="21">
        <f t="shared" ref="CU29:CZ29" si="164">CU28/CU10</f>
        <v>0.40183922057619298</v>
      </c>
      <c r="CV29" s="21">
        <f t="shared" si="164"/>
        <v>0.40641227863835494</v>
      </c>
      <c r="CW29" s="21">
        <f t="shared" si="164"/>
        <v>0.43277981048878889</v>
      </c>
      <c r="CX29" s="21">
        <f t="shared" si="164"/>
        <v>0.43874488847017551</v>
      </c>
      <c r="CY29" s="21">
        <f t="shared" si="164"/>
        <v>0.42489825392185998</v>
      </c>
      <c r="CZ29" s="21">
        <f t="shared" si="164"/>
        <v>0.43243829671819911</v>
      </c>
      <c r="DA29" s="880">
        <f t="shared" ref="DA29:DF29" si="165">DA28/DA10</f>
        <v>0.45379480649766551</v>
      </c>
      <c r="DB29" s="881">
        <f t="shared" si="165"/>
        <v>0.48927419593455035</v>
      </c>
      <c r="DC29" s="881">
        <f t="shared" si="165"/>
        <v>0.5061498550282314</v>
      </c>
      <c r="DD29" s="881">
        <f t="shared" si="165"/>
        <v>0.50533122195830027</v>
      </c>
      <c r="DE29" s="881">
        <f t="shared" si="165"/>
        <v>0.5048093041963817</v>
      </c>
      <c r="DF29" s="885">
        <f t="shared" si="165"/>
        <v>0.50536215779645299</v>
      </c>
      <c r="DG29" s="7"/>
      <c r="DH29" s="7"/>
      <c r="DI29" s="7"/>
      <c r="DJ29" s="7"/>
      <c r="DK29"/>
      <c r="DL29"/>
      <c r="DM29"/>
      <c r="DN29"/>
      <c r="DO29"/>
      <c r="DP29"/>
      <c r="DQ29" s="7"/>
      <c r="DR29" s="7"/>
    </row>
    <row r="30" spans="1:122" s="7" customFormat="1" ht="14.25" collapsed="1">
      <c r="A30" s="505"/>
      <c r="B30" s="14"/>
      <c r="C30" s="24"/>
      <c r="D30" s="39"/>
      <c r="E30" s="39"/>
      <c r="F30" s="39"/>
      <c r="G30" s="40"/>
      <c r="H30" s="39"/>
      <c r="I30" s="39"/>
      <c r="J30" s="39"/>
      <c r="K30" s="40"/>
      <c r="L30" s="39"/>
      <c r="M30" s="39"/>
      <c r="N30" s="39"/>
      <c r="O30" s="40"/>
      <c r="P30" s="39"/>
      <c r="Q30" s="39"/>
      <c r="R30" s="39"/>
      <c r="S30" s="40"/>
      <c r="T30" s="39"/>
      <c r="U30" s="39"/>
      <c r="V30" s="39"/>
      <c r="W30" s="40"/>
      <c r="X30" s="39"/>
      <c r="Y30" s="39"/>
      <c r="Z30" s="39"/>
      <c r="AA30" s="39"/>
      <c r="AB30" s="38"/>
      <c r="AC30" s="39"/>
      <c r="AD30" s="39"/>
      <c r="AE30" s="39"/>
      <c r="AF30" s="38"/>
      <c r="AG30" s="39"/>
      <c r="AH30" s="39"/>
      <c r="AI30" s="39"/>
      <c r="AJ30" s="38"/>
      <c r="AK30" s="39"/>
      <c r="AL30" s="39"/>
      <c r="AM30" s="40"/>
      <c r="AN30" s="38"/>
      <c r="AO30" s="39"/>
      <c r="AP30" s="39"/>
      <c r="AQ30" s="40"/>
      <c r="AR30" s="38"/>
      <c r="AS30" s="39"/>
      <c r="AT30" s="39"/>
      <c r="AU30" s="40"/>
      <c r="AV30" s="38"/>
      <c r="AW30" s="39"/>
      <c r="AX30" s="39"/>
      <c r="AY30" s="40"/>
      <c r="AZ30" s="38"/>
      <c r="BA30" s="39"/>
      <c r="BB30" s="39"/>
      <c r="BC30" s="40"/>
      <c r="BD30" s="38"/>
      <c r="BE30" s="39"/>
      <c r="BF30" s="39"/>
      <c r="BG30" s="40"/>
      <c r="BH30" s="38"/>
      <c r="BI30" s="39"/>
      <c r="BJ30" s="39"/>
      <c r="BK30" s="40"/>
      <c r="BL30" s="38"/>
      <c r="BM30" s="39"/>
      <c r="BN30" s="39"/>
      <c r="BO30" s="40"/>
      <c r="BP30" s="38"/>
      <c r="BQ30" s="39"/>
      <c r="BR30" s="39"/>
      <c r="BS30" s="40"/>
      <c r="BT30" s="38"/>
      <c r="BU30" s="39"/>
      <c r="BV30" s="39"/>
      <c r="BW30" s="40"/>
      <c r="BX30" s="108"/>
      <c r="BY30" s="56"/>
      <c r="BZ30" s="57"/>
      <c r="CA30" s="57"/>
      <c r="CB30" s="57"/>
      <c r="CC30" s="57"/>
      <c r="CD30" s="57"/>
      <c r="CE30" s="57"/>
      <c r="CF30" s="57"/>
      <c r="CG30" s="57"/>
      <c r="CH30" s="57"/>
      <c r="CI30" s="58"/>
      <c r="CJ30" s="56"/>
      <c r="CK30" s="57"/>
      <c r="CL30" s="57"/>
      <c r="CM30" s="57"/>
      <c r="CN30" s="57"/>
      <c r="CO30" s="57"/>
      <c r="CP30" s="58"/>
      <c r="CQ30" s="108"/>
      <c r="CR30" s="56"/>
      <c r="CS30" s="57"/>
      <c r="CT30" s="57"/>
      <c r="CU30" s="57"/>
      <c r="CV30" s="57"/>
      <c r="CW30" s="57"/>
      <c r="CX30" s="57"/>
      <c r="CY30" s="57"/>
      <c r="CZ30" s="57"/>
      <c r="DA30" s="56"/>
      <c r="DB30" s="57"/>
      <c r="DC30" s="57"/>
      <c r="DD30" s="57"/>
      <c r="DE30" s="57"/>
      <c r="DF30" s="58"/>
      <c r="DK30"/>
      <c r="DL30"/>
      <c r="DM30"/>
      <c r="DN30"/>
      <c r="DO30"/>
      <c r="DP30"/>
    </row>
    <row r="31" spans="1:122" s="7" customFormat="1" ht="14.25">
      <c r="A31" s="505"/>
      <c r="B31" s="14" t="s">
        <v>20</v>
      </c>
      <c r="C31" s="24"/>
      <c r="D31" s="28">
        <v>37.301000000000002</v>
      </c>
      <c r="E31" s="28">
        <v>40.109000000000002</v>
      </c>
      <c r="F31" s="28">
        <v>36.427999999999997</v>
      </c>
      <c r="G31" s="54">
        <f>156.077-F31-E31-D31</f>
        <v>42.23899999999999</v>
      </c>
      <c r="H31" s="28">
        <v>38.064999999999998</v>
      </c>
      <c r="I31" s="28">
        <v>37.472999999999999</v>
      </c>
      <c r="J31" s="28">
        <v>38.712000000000003</v>
      </c>
      <c r="K31" s="54">
        <f>152.633-J31-I31-H31</f>
        <v>38.38300000000001</v>
      </c>
      <c r="L31" s="28">
        <v>37.113</v>
      </c>
      <c r="M31" s="28">
        <v>38.676000000000002</v>
      </c>
      <c r="N31" s="28">
        <v>39.823</v>
      </c>
      <c r="O31" s="54">
        <f>152.215-N31-M31-L31</f>
        <v>36.602999999999994</v>
      </c>
      <c r="P31" s="28">
        <v>42.43</v>
      </c>
      <c r="Q31" s="28">
        <v>40.557000000000002</v>
      </c>
      <c r="R31" s="28">
        <v>40.619</v>
      </c>
      <c r="S31" s="54">
        <f>164.1063-R31-Q31-P31</f>
        <v>40.500300000000003</v>
      </c>
      <c r="T31" s="28">
        <v>30.411999999999999</v>
      </c>
      <c r="U31" s="28">
        <v>31.382999999999999</v>
      </c>
      <c r="V31" s="28">
        <v>30.548999999999999</v>
      </c>
      <c r="W31" s="54">
        <f>126.075-V31-U31-T31</f>
        <v>33.731000000000016</v>
      </c>
      <c r="X31" s="28">
        <v>34.094000000000001</v>
      </c>
      <c r="Y31" s="28">
        <v>36.581000000000003</v>
      </c>
      <c r="Z31" s="28">
        <v>36.561</v>
      </c>
      <c r="AA31" s="41">
        <f>146.013-Z31-Y31-X31</f>
        <v>38.776999999999994</v>
      </c>
      <c r="AB31" s="27">
        <v>34.643999999999998</v>
      </c>
      <c r="AC31" s="28">
        <v>28.596</v>
      </c>
      <c r="AD31" s="28">
        <v>29.666</v>
      </c>
      <c r="AE31" s="41">
        <f>123.996-AD31-AC31-AB31</f>
        <v>31.089999999999996</v>
      </c>
      <c r="AF31" s="27">
        <v>31.789000000000001</v>
      </c>
      <c r="AG31" s="28">
        <v>32.06</v>
      </c>
      <c r="AH31" s="28">
        <v>34.881999999999998</v>
      </c>
      <c r="AI31" s="41">
        <f>134.14-AH31-AG31-AF31</f>
        <v>35.408999999999978</v>
      </c>
      <c r="AJ31" s="27">
        <v>38.542999999999999</v>
      </c>
      <c r="AK31" s="28">
        <v>39.618000000000002</v>
      </c>
      <c r="AL31" s="28">
        <v>43.067</v>
      </c>
      <c r="AM31" s="53">
        <v>47.408999999999999</v>
      </c>
      <c r="AN31" s="27">
        <v>46.941000000000003</v>
      </c>
      <c r="AO31" s="28">
        <v>52.985999999999997</v>
      </c>
      <c r="AP31" s="28">
        <v>56.05</v>
      </c>
      <c r="AQ31" s="53">
        <v>56.557000000000002</v>
      </c>
      <c r="AR31" s="27">
        <v>58.054000000000002</v>
      </c>
      <c r="AS31" s="28">
        <v>56.3</v>
      </c>
      <c r="AT31" s="28">
        <v>56.6</v>
      </c>
      <c r="AU31" s="53">
        <v>55.3</v>
      </c>
      <c r="AV31" s="27">
        <v>58.4</v>
      </c>
      <c r="AW31" s="28">
        <v>61.6</v>
      </c>
      <c r="AX31" s="28">
        <v>64.2</v>
      </c>
      <c r="AY31" s="53">
        <v>68</v>
      </c>
      <c r="AZ31" s="27">
        <v>68.5</v>
      </c>
      <c r="BA31" s="28">
        <v>75.5</v>
      </c>
      <c r="BB31" s="28">
        <v>76.8</v>
      </c>
      <c r="BC31" s="53">
        <v>82.4</v>
      </c>
      <c r="BD31" s="27">
        <v>81.5</v>
      </c>
      <c r="BE31" s="28">
        <v>79.8</v>
      </c>
      <c r="BF31" s="28">
        <v>77.900000000000006</v>
      </c>
      <c r="BG31" s="53">
        <v>73.2</v>
      </c>
      <c r="BH31" s="27">
        <v>82</v>
      </c>
      <c r="BI31" s="28">
        <v>89.4</v>
      </c>
      <c r="BJ31" s="28">
        <v>92</v>
      </c>
      <c r="BK31" s="53">
        <v>91.8</v>
      </c>
      <c r="BL31" s="27">
        <v>98</v>
      </c>
      <c r="BM31" s="31">
        <f t="shared" ref="BM31:BS31" si="166">BL31*(1+BM11*BM33)</f>
        <v>100.36280450000001</v>
      </c>
      <c r="BN31" s="31">
        <f t="shared" si="166"/>
        <v>98.43967136838485</v>
      </c>
      <c r="BO31" s="32">
        <f t="shared" si="166"/>
        <v>104.92906171805018</v>
      </c>
      <c r="BP31" s="30">
        <f t="shared" si="166"/>
        <v>107.0895573249027</v>
      </c>
      <c r="BQ31" s="31">
        <f t="shared" si="166"/>
        <v>102.29930578977172</v>
      </c>
      <c r="BR31" s="31">
        <f t="shared" si="166"/>
        <v>102.3144855383581</v>
      </c>
      <c r="BS31" s="32">
        <f t="shared" si="166"/>
        <v>107.34470768688233</v>
      </c>
      <c r="BT31" s="30">
        <f t="shared" ref="BT31" si="167">BS31*(1+BT11*BT33)</f>
        <v>109.60938538024251</v>
      </c>
      <c r="BU31" s="31">
        <f t="shared" ref="BU31" si="168">BT31*(1+BU11*BU33)</f>
        <v>106.63240085281214</v>
      </c>
      <c r="BV31" s="31">
        <f t="shared" ref="BV31" si="169">BU31*(1+BV11*BV33)</f>
        <v>107.5343590499191</v>
      </c>
      <c r="BW31" s="32">
        <f t="shared" ref="BW31" si="170">BV31*(1+BW11*BW33)</f>
        <v>113.22126805018529</v>
      </c>
      <c r="BX31" s="106"/>
      <c r="BY31" s="30">
        <f>SUM(D31:G31)</f>
        <v>156.077</v>
      </c>
      <c r="BZ31" s="31">
        <f>SUM(H31:K31)</f>
        <v>152.63300000000001</v>
      </c>
      <c r="CA31" s="31">
        <f>SUM(L31:O31)</f>
        <v>152.21499999999997</v>
      </c>
      <c r="CB31" s="31">
        <f>SUM(P31:S31)</f>
        <v>164.1063</v>
      </c>
      <c r="CC31" s="31">
        <f>SUM(T31:W31)</f>
        <v>126.07500000000002</v>
      </c>
      <c r="CD31" s="31">
        <f>SUM(X31:AA31)</f>
        <v>146.01300000000001</v>
      </c>
      <c r="CE31" s="31">
        <f>SUM(AB31:AE31)</f>
        <v>123.99599999999998</v>
      </c>
      <c r="CF31" s="31">
        <f>SUM(AF31:AI31)</f>
        <v>134.13999999999999</v>
      </c>
      <c r="CG31" s="31">
        <f>SUM(AJ31:AM31)</f>
        <v>168.637</v>
      </c>
      <c r="CH31" s="31">
        <f>SUM(AN31:AQ31)</f>
        <v>212.53399999999999</v>
      </c>
      <c r="CI31" s="32">
        <f>SUM(AR31:AU31)</f>
        <v>226.25400000000002</v>
      </c>
      <c r="CJ31" s="30">
        <f>SUM(AV31:AY31)</f>
        <v>252.2</v>
      </c>
      <c r="CK31" s="31">
        <f>SUM(AZ31:BC31)</f>
        <v>303.20000000000005</v>
      </c>
      <c r="CL31" s="31">
        <f>SUM(BD31:BG31)</f>
        <v>312.40000000000003</v>
      </c>
      <c r="CM31" s="31">
        <f>SUM(BH31:BK31)</f>
        <v>355.2</v>
      </c>
      <c r="CN31" s="31">
        <f>SUM(BL31:BO31)</f>
        <v>401.73153758643502</v>
      </c>
      <c r="CO31" s="31">
        <f>SUM(BP31:BS31)</f>
        <v>419.04805633991487</v>
      </c>
      <c r="CP31" s="32">
        <f>SUM(BT31:BW31)</f>
        <v>436.99741333315905</v>
      </c>
      <c r="CQ31" s="106"/>
      <c r="CR31" s="193">
        <f>SUM(M31:P31)</f>
        <v>157.53199999999998</v>
      </c>
      <c r="CS31" s="75">
        <f>SUM(Q31:T31)</f>
        <v>152.0883</v>
      </c>
      <c r="CT31" s="75">
        <f>SUM(U31:X31)</f>
        <v>129.75700000000001</v>
      </c>
      <c r="CU31" s="75">
        <f>SUM(Y31:AB31)</f>
        <v>146.56299999999999</v>
      </c>
      <c r="CV31" s="75">
        <f>SUM(AC31:AF31)</f>
        <v>121.14100000000001</v>
      </c>
      <c r="CW31" s="75">
        <f>SUM(AG31:AJ31)</f>
        <v>140.89399999999998</v>
      </c>
      <c r="CX31" s="75">
        <f>SUM(AK31:AN31)</f>
        <v>177.035</v>
      </c>
      <c r="CY31" s="75">
        <f>SUM(AO31:AR31)</f>
        <v>223.64700000000002</v>
      </c>
      <c r="CZ31" s="75">
        <f>SUM(AS31:AV31)</f>
        <v>226.6</v>
      </c>
      <c r="DA31" s="193">
        <f>SUM(AW31:AZ31)</f>
        <v>262.3</v>
      </c>
      <c r="DB31" s="75">
        <f>SUM(BA31:BD31)</f>
        <v>316.20000000000005</v>
      </c>
      <c r="DC31" s="75">
        <f>SUM(BE31:BH31)</f>
        <v>312.89999999999998</v>
      </c>
      <c r="DD31" s="75">
        <f>SUM(BI31:BL31)</f>
        <v>371.2</v>
      </c>
      <c r="DE31" s="75">
        <f>SUM(BM31:BP31)</f>
        <v>410.8210949113377</v>
      </c>
      <c r="DF31" s="76">
        <f>SUM(BQ31:BT31)</f>
        <v>421.56788439525462</v>
      </c>
      <c r="DG31" s="42"/>
      <c r="DH31" s="42"/>
      <c r="DI31" s="42"/>
      <c r="DJ31" s="42"/>
      <c r="DK31"/>
      <c r="DL31"/>
      <c r="DM31"/>
      <c r="DN31"/>
      <c r="DO31"/>
      <c r="DP31"/>
      <c r="DQ31" s="42"/>
      <c r="DR31" s="42"/>
    </row>
    <row r="32" spans="1:122" s="42" customFormat="1" ht="14.25" hidden="1" outlineLevel="1">
      <c r="B32" s="19" t="s">
        <v>237</v>
      </c>
      <c r="C32" s="34"/>
      <c r="D32" s="20">
        <f t="shared" ref="D32:S32" si="171">D31/D8</f>
        <v>0.23284892068367108</v>
      </c>
      <c r="E32" s="21">
        <f t="shared" si="171"/>
        <v>0.25488040466688694</v>
      </c>
      <c r="F32" s="21">
        <f t="shared" si="171"/>
        <v>0.24253157477746187</v>
      </c>
      <c r="G32" s="37">
        <f t="shared" si="171"/>
        <v>0.28153327290178087</v>
      </c>
      <c r="H32" s="21">
        <f t="shared" si="171"/>
        <v>0.21738013111908078</v>
      </c>
      <c r="I32" s="21">
        <f t="shared" si="171"/>
        <v>0.20424481253168075</v>
      </c>
      <c r="J32" s="21">
        <f t="shared" si="171"/>
        <v>0.18667451067379701</v>
      </c>
      <c r="K32" s="37">
        <f t="shared" si="171"/>
        <v>0.17601471107503666</v>
      </c>
      <c r="L32" s="21">
        <f t="shared" si="171"/>
        <v>0.16857285610465117</v>
      </c>
      <c r="M32" s="21">
        <f t="shared" si="171"/>
        <v>0.36630203153857088</v>
      </c>
      <c r="N32" s="21">
        <f t="shared" si="171"/>
        <v>0.20791825908986486</v>
      </c>
      <c r="O32" s="21">
        <f t="shared" si="171"/>
        <v>0.13305633710658904</v>
      </c>
      <c r="P32" s="20">
        <f t="shared" si="171"/>
        <v>0.21394176225891845</v>
      </c>
      <c r="Q32" s="21">
        <f t="shared" si="171"/>
        <v>0.21895008475765787</v>
      </c>
      <c r="R32" s="21">
        <f t="shared" si="171"/>
        <v>0.2061271300835287</v>
      </c>
      <c r="S32" s="37">
        <f t="shared" si="171"/>
        <v>0.20970160459372561</v>
      </c>
      <c r="T32" s="21">
        <f>T31/T8</f>
        <v>0.15513951946130694</v>
      </c>
      <c r="U32" s="21">
        <f>U31/U8</f>
        <v>0.17414682869985015</v>
      </c>
      <c r="V32" s="21">
        <f>V31/V8</f>
        <v>0.17451585261353897</v>
      </c>
      <c r="W32" s="37">
        <f>W31/W8</f>
        <v>0.17710838312663441</v>
      </c>
      <c r="X32" s="21">
        <f t="shared" ref="X32:AW32" si="172">X31/X8</f>
        <v>0.16194135836187204</v>
      </c>
      <c r="Y32" s="21">
        <f t="shared" si="172"/>
        <v>0.18135621789914136</v>
      </c>
      <c r="Z32" s="21">
        <f t="shared" si="172"/>
        <v>0.16988522838158077</v>
      </c>
      <c r="AA32" s="21">
        <f t="shared" si="172"/>
        <v>0.16673546434130521</v>
      </c>
      <c r="AB32" s="20">
        <f t="shared" si="172"/>
        <v>0.16479251098807007</v>
      </c>
      <c r="AC32" s="21">
        <f t="shared" si="172"/>
        <v>0.16530435285276604</v>
      </c>
      <c r="AD32" s="21">
        <f t="shared" si="172"/>
        <v>0.15514635511183864</v>
      </c>
      <c r="AE32" s="21">
        <f t="shared" si="172"/>
        <v>0.136272386980267</v>
      </c>
      <c r="AF32" s="20">
        <f t="shared" si="172"/>
        <v>0.1296779773025806</v>
      </c>
      <c r="AG32" s="21">
        <f t="shared" si="172"/>
        <v>0.13467306286703243</v>
      </c>
      <c r="AH32" s="21">
        <f t="shared" si="172"/>
        <v>0.1266732033264335</v>
      </c>
      <c r="AI32" s="21">
        <f t="shared" si="172"/>
        <v>0.11302560304900039</v>
      </c>
      <c r="AJ32" s="20">
        <f t="shared" si="172"/>
        <v>0.11501253282406301</v>
      </c>
      <c r="AK32" s="21">
        <f t="shared" si="172"/>
        <v>0.12174757460565255</v>
      </c>
      <c r="AL32" s="21">
        <f t="shared" si="172"/>
        <v>0.12094923822228464</v>
      </c>
      <c r="AM32" s="37">
        <f t="shared" si="172"/>
        <v>0.11784020521182355</v>
      </c>
      <c r="AN32" s="20">
        <f t="shared" si="172"/>
        <v>0.11921826586072028</v>
      </c>
      <c r="AO32" s="21">
        <f t="shared" si="172"/>
        <v>0.14529052071622472</v>
      </c>
      <c r="AP32" s="21">
        <f t="shared" si="172"/>
        <v>0.14407332959762284</v>
      </c>
      <c r="AQ32" s="37">
        <f t="shared" si="172"/>
        <v>0.13430361921859454</v>
      </c>
      <c r="AR32" s="20">
        <f t="shared" si="172"/>
        <v>0.12795031329687936</v>
      </c>
      <c r="AS32" s="21">
        <f t="shared" si="172"/>
        <v>0.1324082784571966</v>
      </c>
      <c r="AT32" s="21">
        <f t="shared" si="172"/>
        <v>0.12978674615913782</v>
      </c>
      <c r="AU32" s="37">
        <f t="shared" si="172"/>
        <v>0.11593291404612159</v>
      </c>
      <c r="AV32" s="20">
        <f t="shared" si="172"/>
        <v>0.11559778305621536</v>
      </c>
      <c r="AW32" s="21">
        <f t="shared" si="172"/>
        <v>0.12806652806652807</v>
      </c>
      <c r="AX32" s="21">
        <f t="shared" ref="AX32:BC32" si="173">AX31/AX8</f>
        <v>0.10936967632027257</v>
      </c>
      <c r="AY32" s="37">
        <f t="shared" si="173"/>
        <v>9.4681147312726255E-2</v>
      </c>
      <c r="AZ32" s="20">
        <f t="shared" si="173"/>
        <v>8.5040347610180006E-2</v>
      </c>
      <c r="BA32" s="21">
        <f t="shared" si="173"/>
        <v>9.9068363731793729E-2</v>
      </c>
      <c r="BB32" s="21">
        <f t="shared" si="173"/>
        <v>9.481481481481481E-2</v>
      </c>
      <c r="BC32" s="37">
        <f t="shared" si="173"/>
        <v>9.3551316984559499E-2</v>
      </c>
      <c r="BD32" s="20">
        <f t="shared" ref="BD32:BI32" si="174">BD31/BD8</f>
        <v>8.7936987483815288E-2</v>
      </c>
      <c r="BE32" s="21">
        <f t="shared" si="174"/>
        <v>0.10295445748935621</v>
      </c>
      <c r="BF32" s="21">
        <f t="shared" si="174"/>
        <v>0.10363176799255022</v>
      </c>
      <c r="BG32" s="37">
        <f t="shared" si="174"/>
        <v>8.7622695714627732E-2</v>
      </c>
      <c r="BH32" s="20">
        <f t="shared" si="174"/>
        <v>8.9686098654708529E-2</v>
      </c>
      <c r="BI32" s="859">
        <f t="shared" si="174"/>
        <v>0.10496653751320888</v>
      </c>
      <c r="BJ32" s="859">
        <f t="shared" ref="BJ32:BS32" si="175">BJ31/BJ8</f>
        <v>0.10213143872113677</v>
      </c>
      <c r="BK32" s="885">
        <f t="shared" si="175"/>
        <v>9.3235831809872022E-2</v>
      </c>
      <c r="BL32" s="880">
        <f t="shared" si="175"/>
        <v>9.3164749500903116E-2</v>
      </c>
      <c r="BM32" s="881">
        <f t="shared" si="175"/>
        <v>0.11117892609614272</v>
      </c>
      <c r="BN32" s="881">
        <f t="shared" si="175"/>
        <v>0.11339421355069659</v>
      </c>
      <c r="BO32" s="885">
        <f t="shared" si="175"/>
        <v>0.10171198854569449</v>
      </c>
      <c r="BP32" s="20">
        <f t="shared" si="175"/>
        <v>9.970056339284375E-2</v>
      </c>
      <c r="BQ32" s="21">
        <f t="shared" si="175"/>
        <v>0.10459847549440907</v>
      </c>
      <c r="BR32" s="21">
        <f t="shared" si="175"/>
        <v>0.1045829591868352</v>
      </c>
      <c r="BS32" s="37">
        <f t="shared" si="175"/>
        <v>0.10200901127885252</v>
      </c>
      <c r="BT32" s="880">
        <f t="shared" ref="BT32:BW32" si="176">BT31/BT8</f>
        <v>9.9944032802000773E-2</v>
      </c>
      <c r="BU32" s="881">
        <f t="shared" si="176"/>
        <v>0.10281442635988855</v>
      </c>
      <c r="BV32" s="881">
        <f t="shared" si="176"/>
        <v>0.10235216151641904</v>
      </c>
      <c r="BW32" s="885">
        <f t="shared" si="176"/>
        <v>9.9656843106637125E-2</v>
      </c>
      <c r="BX32" s="841"/>
      <c r="BY32" s="20">
        <f>BY31/BY8</f>
        <v>0.25263803661120543</v>
      </c>
      <c r="BZ32" s="21">
        <f>BZ31/BZ8</f>
        <v>0.19467923772644427</v>
      </c>
      <c r="CA32" s="21">
        <f>CA31/CA8</f>
        <v>0.19210067001442505</v>
      </c>
      <c r="CB32" s="21">
        <f>CB31/CB8</f>
        <v>0.21209214862681747</v>
      </c>
      <c r="CC32" s="21">
        <f>CC31/CC8</f>
        <v>0.16997104122176929</v>
      </c>
      <c r="CD32" s="21">
        <f t="shared" ref="CD32:CJ32" si="177">CD31/CD8</f>
        <v>0.16977920203902946</v>
      </c>
      <c r="CE32" s="21">
        <f t="shared" si="177"/>
        <v>0.15449732549026446</v>
      </c>
      <c r="CF32" s="21">
        <f t="shared" si="177"/>
        <v>0.12514822516977669</v>
      </c>
      <c r="CG32" s="21">
        <f t="shared" si="177"/>
        <v>0.11884867526192419</v>
      </c>
      <c r="CH32" s="21">
        <f t="shared" si="177"/>
        <v>0.13549443732902539</v>
      </c>
      <c r="CI32" s="37">
        <f t="shared" si="177"/>
        <v>0.12625619202432112</v>
      </c>
      <c r="CJ32" s="880">
        <f t="shared" si="177"/>
        <v>0.11006371650519332</v>
      </c>
      <c r="CK32" s="881">
        <f t="shared" ref="CK32:CP32" si="178">CK31/CK8</f>
        <v>9.3051804566658514E-2</v>
      </c>
      <c r="CL32" s="881">
        <f t="shared" si="178"/>
        <v>9.4983277591973239E-2</v>
      </c>
      <c r="CM32" s="881">
        <f t="shared" si="178"/>
        <v>9.7277756476967736E-2</v>
      </c>
      <c r="CN32" s="881">
        <f t="shared" si="178"/>
        <v>0.10422775098902408</v>
      </c>
      <c r="CO32" s="881">
        <f t="shared" si="178"/>
        <v>0.10263876664489945</v>
      </c>
      <c r="CP32" s="885">
        <f t="shared" si="178"/>
        <v>0.10114312049284523</v>
      </c>
      <c r="CQ32" s="107"/>
      <c r="CR32" s="20">
        <f>CR31/CR8</f>
        <v>0.20444469823603306</v>
      </c>
      <c r="CS32" s="21">
        <f>CS31/CS8</f>
        <v>0.19714474596703635</v>
      </c>
      <c r="CT32" s="21">
        <f>CT31/CT8</f>
        <v>0.17158018478089831</v>
      </c>
      <c r="CU32" s="21">
        <f t="shared" ref="CU32:CZ32" si="179">CU31/CU8</f>
        <v>0.17047918372664334</v>
      </c>
      <c r="CV32" s="21">
        <f t="shared" si="179"/>
        <v>0.14464821543498588</v>
      </c>
      <c r="CW32" s="21">
        <f t="shared" si="179"/>
        <v>0.12126892809711566</v>
      </c>
      <c r="CX32" s="21">
        <f t="shared" si="179"/>
        <v>0.11981723700578394</v>
      </c>
      <c r="CY32" s="21">
        <f t="shared" si="179"/>
        <v>0.137327731670355</v>
      </c>
      <c r="CZ32" s="21">
        <f t="shared" si="179"/>
        <v>0.12291836181177108</v>
      </c>
      <c r="DA32" s="880">
        <f t="shared" ref="DA32:DF32" si="180">DA31/DA8</f>
        <v>0.10120770150866228</v>
      </c>
      <c r="DB32" s="881">
        <f t="shared" si="180"/>
        <v>9.3558599875728635E-2</v>
      </c>
      <c r="DC32" s="881">
        <f t="shared" si="180"/>
        <v>9.5498245078589949E-2</v>
      </c>
      <c r="DD32" s="881">
        <f t="shared" si="180"/>
        <v>9.7967801530746898E-2</v>
      </c>
      <c r="DE32" s="881">
        <f t="shared" si="180"/>
        <v>0.10597529010934889</v>
      </c>
      <c r="DF32" s="885">
        <f t="shared" si="180"/>
        <v>0.10268763558715401</v>
      </c>
      <c r="DG32" s="7"/>
      <c r="DH32" s="7"/>
      <c r="DI32" s="7"/>
      <c r="DJ32" s="7"/>
      <c r="DK32"/>
      <c r="DL32"/>
      <c r="DM32"/>
      <c r="DN32"/>
      <c r="DO32"/>
      <c r="DP32"/>
      <c r="DQ32" s="7"/>
      <c r="DR32" s="7"/>
    </row>
    <row r="33" spans="1:122" s="42" customFormat="1" ht="14.25" hidden="1" outlineLevel="1">
      <c r="B33" s="19" t="s">
        <v>382</v>
      </c>
      <c r="C33" s="34"/>
      <c r="D33" s="20"/>
      <c r="E33" s="21"/>
      <c r="F33" s="21"/>
      <c r="G33" s="37"/>
      <c r="H33" s="21"/>
      <c r="I33" s="21"/>
      <c r="J33" s="21"/>
      <c r="K33" s="37"/>
      <c r="L33" s="21"/>
      <c r="M33" s="21"/>
      <c r="N33" s="21"/>
      <c r="O33" s="21"/>
      <c r="P33" s="20"/>
      <c r="Q33" s="21"/>
      <c r="R33" s="21"/>
      <c r="S33" s="37"/>
      <c r="T33" s="21"/>
      <c r="U33" s="21"/>
      <c r="V33" s="21"/>
      <c r="W33" s="37"/>
      <c r="X33" s="21"/>
      <c r="Y33" s="21"/>
      <c r="Z33" s="21"/>
      <c r="AA33" s="21"/>
      <c r="AB33" s="20"/>
      <c r="AC33" s="21"/>
      <c r="AD33" s="21"/>
      <c r="AE33" s="21"/>
      <c r="AF33" s="20"/>
      <c r="AG33" s="21"/>
      <c r="AH33" s="21"/>
      <c r="AI33" s="21"/>
      <c r="AJ33" s="20"/>
      <c r="AK33" s="21"/>
      <c r="AL33" s="21"/>
      <c r="AM33" s="37"/>
      <c r="AN33" s="20"/>
      <c r="AO33" s="21"/>
      <c r="AP33" s="21"/>
      <c r="AQ33" s="37"/>
      <c r="AR33" s="20"/>
      <c r="AS33" s="21"/>
      <c r="AT33" s="21"/>
      <c r="AU33" s="37"/>
      <c r="AV33" s="20"/>
      <c r="AW33" s="21"/>
      <c r="AX33" s="21"/>
      <c r="AY33" s="37"/>
      <c r="AZ33" s="20"/>
      <c r="BA33" s="21"/>
      <c r="BB33" s="21"/>
      <c r="BC33" s="37"/>
      <c r="BD33" s="20"/>
      <c r="BE33" s="21"/>
      <c r="BF33" s="21"/>
      <c r="BG33" s="37"/>
      <c r="BH33" s="20"/>
      <c r="BI33" s="859"/>
      <c r="BJ33" s="859"/>
      <c r="BK33" s="885"/>
      <c r="BL33" s="880"/>
      <c r="BM33" s="972">
        <v>-0.17</v>
      </c>
      <c r="BN33" s="883">
        <v>0.5</v>
      </c>
      <c r="BO33" s="892">
        <v>0.35</v>
      </c>
      <c r="BP33" s="904">
        <v>0.5</v>
      </c>
      <c r="BQ33" s="883">
        <v>0.5</v>
      </c>
      <c r="BR33" s="920">
        <v>0.5</v>
      </c>
      <c r="BS33" s="923">
        <v>0.65</v>
      </c>
      <c r="BT33" s="904">
        <v>0.5</v>
      </c>
      <c r="BU33" s="883">
        <v>0.5</v>
      </c>
      <c r="BV33" s="883">
        <v>0.65</v>
      </c>
      <c r="BW33" s="883">
        <v>0.65</v>
      </c>
      <c r="BX33" s="398"/>
      <c r="BY33" s="882">
        <v>0.65</v>
      </c>
      <c r="BZ33" s="884">
        <v>0.65</v>
      </c>
      <c r="CA33" s="884">
        <v>0.65</v>
      </c>
      <c r="CB33" s="884">
        <v>0.65</v>
      </c>
      <c r="CC33" s="884">
        <v>0.65</v>
      </c>
      <c r="CD33" s="884">
        <v>0.65</v>
      </c>
      <c r="CE33" s="884">
        <v>0.65</v>
      </c>
      <c r="CF33" s="884">
        <v>0.65</v>
      </c>
      <c r="CG33" s="884">
        <v>0.65</v>
      </c>
      <c r="CH33" s="884">
        <v>0.65</v>
      </c>
      <c r="CI33" s="890">
        <v>0.65</v>
      </c>
      <c r="CJ33" s="880"/>
      <c r="CK33" s="881"/>
      <c r="CL33" s="881"/>
      <c r="CM33" s="881"/>
      <c r="CN33" s="881"/>
      <c r="CO33" s="881"/>
      <c r="CP33" s="885"/>
      <c r="CQ33" s="107"/>
      <c r="CR33" s="20"/>
      <c r="CS33" s="21"/>
      <c r="CT33" s="21"/>
      <c r="CU33" s="21"/>
      <c r="CV33" s="21"/>
      <c r="CW33" s="21"/>
      <c r="CX33" s="21"/>
      <c r="CY33" s="21"/>
      <c r="CZ33" s="21"/>
      <c r="DA33" s="880"/>
      <c r="DB33" s="881"/>
      <c r="DC33" s="881"/>
      <c r="DD33" s="881"/>
      <c r="DE33" s="881"/>
      <c r="DF33" s="885"/>
      <c r="DG33" s="7"/>
      <c r="DH33" s="7"/>
      <c r="DI33" s="7"/>
      <c r="DJ33" s="7"/>
      <c r="DK33"/>
      <c r="DL33"/>
      <c r="DM33"/>
      <c r="DN33"/>
      <c r="DO33"/>
      <c r="DP33"/>
      <c r="DQ33" s="7"/>
      <c r="DR33" s="7"/>
    </row>
    <row r="34" spans="1:122" s="7" customFormat="1" ht="14.25" hidden="1" outlineLevel="1">
      <c r="A34" s="505"/>
      <c r="B34" s="25" t="s">
        <v>11</v>
      </c>
      <c r="C34" s="26"/>
      <c r="D34" s="27"/>
      <c r="E34" s="28"/>
      <c r="F34" s="28"/>
      <c r="G34" s="53"/>
      <c r="H34" s="28"/>
      <c r="I34" s="28"/>
      <c r="J34" s="28"/>
      <c r="K34" s="53"/>
      <c r="L34" s="28"/>
      <c r="M34" s="28"/>
      <c r="N34" s="28"/>
      <c r="O34" s="28"/>
      <c r="P34" s="27">
        <v>1.4179999999999999</v>
      </c>
      <c r="Q34" s="28">
        <v>1.5309999999999999</v>
      </c>
      <c r="R34" s="28">
        <v>1.5329999999999999</v>
      </c>
      <c r="S34" s="53">
        <v>1.8</v>
      </c>
      <c r="T34" s="28">
        <v>0.48599999999999999</v>
      </c>
      <c r="U34" s="28">
        <v>1.6220000000000001</v>
      </c>
      <c r="V34" s="28">
        <v>1.5449999999999999</v>
      </c>
      <c r="W34" s="53">
        <f>5.59-V34-U34-T34</f>
        <v>1.9370000000000001</v>
      </c>
      <c r="X34" s="28">
        <v>1.2</v>
      </c>
      <c r="Y34" s="28">
        <v>2.6</v>
      </c>
      <c r="Z34" s="28">
        <v>2.4</v>
      </c>
      <c r="AA34" s="28">
        <v>2.5</v>
      </c>
      <c r="AB34" s="27">
        <v>1.7</v>
      </c>
      <c r="AC34" s="28">
        <v>1.2</v>
      </c>
      <c r="AD34" s="28">
        <v>1.6</v>
      </c>
      <c r="AE34" s="28">
        <v>1.8</v>
      </c>
      <c r="AF34" s="27">
        <v>1.8</v>
      </c>
      <c r="AG34" s="28">
        <v>1.8</v>
      </c>
      <c r="AH34" s="28">
        <v>1.9</v>
      </c>
      <c r="AI34" s="41">
        <f>7.42-AH34-AG34-AF34</f>
        <v>1.9199999999999997</v>
      </c>
      <c r="AJ34" s="27">
        <v>4.4000000000000004</v>
      </c>
      <c r="AK34" s="28">
        <v>0</v>
      </c>
      <c r="AL34" s="28">
        <v>4.2</v>
      </c>
      <c r="AM34" s="53">
        <v>5</v>
      </c>
      <c r="AN34" s="27">
        <v>5.6</v>
      </c>
      <c r="AO34" s="522">
        <f>19.334*AN34/AN$107</f>
        <v>6.8451918821521147</v>
      </c>
      <c r="AP34" s="28">
        <v>4.2</v>
      </c>
      <c r="AQ34" s="53">
        <v>7.3</v>
      </c>
      <c r="AR34" s="27">
        <v>7.4</v>
      </c>
      <c r="AS34" s="522">
        <v>7.5</v>
      </c>
      <c r="AT34" s="28">
        <v>7.3</v>
      </c>
      <c r="AU34" s="54">
        <f>28.2-AR34-AS34-AT34</f>
        <v>5.9999999999999973</v>
      </c>
      <c r="AV34" s="27">
        <v>7.5</v>
      </c>
      <c r="AW34" s="28">
        <v>8.6</v>
      </c>
      <c r="AX34" s="28">
        <v>10.4</v>
      </c>
      <c r="AY34" s="53">
        <v>9.8000000000000007</v>
      </c>
      <c r="AZ34" s="27">
        <v>9.8000000000000007</v>
      </c>
      <c r="BA34" s="28">
        <v>12.4</v>
      </c>
      <c r="BB34" s="28">
        <v>11.7</v>
      </c>
      <c r="BC34" s="53">
        <v>11.6</v>
      </c>
      <c r="BD34" s="27">
        <v>11.8</v>
      </c>
      <c r="BE34" s="28">
        <v>6.7</v>
      </c>
      <c r="BF34" s="28">
        <f>(17.9-BF16-BF17)/2</f>
        <v>6.9499999999999993</v>
      </c>
      <c r="BG34" s="53">
        <v>8.3000000000000007</v>
      </c>
      <c r="BH34" s="27">
        <v>8.3000000000000007</v>
      </c>
      <c r="BI34" s="28">
        <v>8.5</v>
      </c>
      <c r="BJ34" s="28">
        <v>9.1</v>
      </c>
      <c r="BK34" s="53">
        <v>10.7</v>
      </c>
      <c r="BL34" s="27">
        <v>11.2</v>
      </c>
      <c r="BM34" s="29">
        <v>11</v>
      </c>
      <c r="BN34" s="29">
        <f t="shared" ref="BM34:BO36" si="181">BM34</f>
        <v>11</v>
      </c>
      <c r="BO34" s="388">
        <f t="shared" si="181"/>
        <v>11</v>
      </c>
      <c r="BP34" s="833">
        <f t="shared" ref="BP34:BS36" si="182">BO34</f>
        <v>11</v>
      </c>
      <c r="BQ34" s="29">
        <f t="shared" si="182"/>
        <v>11</v>
      </c>
      <c r="BR34" s="29">
        <f t="shared" si="182"/>
        <v>11</v>
      </c>
      <c r="BS34" s="388">
        <f t="shared" si="182"/>
        <v>11</v>
      </c>
      <c r="BT34" s="833">
        <f t="shared" ref="BT34:BT36" si="183">BS34</f>
        <v>11</v>
      </c>
      <c r="BU34" s="29">
        <f t="shared" ref="BU34:BU36" si="184">BT34</f>
        <v>11</v>
      </c>
      <c r="BV34" s="29">
        <f t="shared" ref="BV34:BV36" si="185">BU34</f>
        <v>11</v>
      </c>
      <c r="BW34" s="388">
        <f t="shared" ref="BW34:BW36" si="186">BV34</f>
        <v>11</v>
      </c>
      <c r="BX34" s="106"/>
      <c r="BY34" s="30">
        <f>SUM(D34:G34)</f>
        <v>0</v>
      </c>
      <c r="BZ34" s="31">
        <f>SUM(H34:K34)</f>
        <v>0</v>
      </c>
      <c r="CA34" s="31">
        <f>SUM(L34:O34)</f>
        <v>0</v>
      </c>
      <c r="CB34" s="31">
        <f>SUM(P34:S34)</f>
        <v>6.2819999999999991</v>
      </c>
      <c r="CC34" s="31">
        <f>SUM(T34:W34)</f>
        <v>5.59</v>
      </c>
      <c r="CD34" s="31">
        <f>SUM(X34:AA34)</f>
        <v>8.6999999999999993</v>
      </c>
      <c r="CE34" s="31">
        <f>SUM(AB34:AE34)</f>
        <v>6.3</v>
      </c>
      <c r="CF34" s="31">
        <f>SUM(AF34:AI34)</f>
        <v>7.42</v>
      </c>
      <c r="CG34" s="31">
        <f>SUM(AJ34:AM34)</f>
        <v>13.600000000000001</v>
      </c>
      <c r="CH34" s="31">
        <f>SUM(AN34:AQ34)</f>
        <v>23.945191882152116</v>
      </c>
      <c r="CI34" s="32">
        <f>SUM(AR34:AU34)</f>
        <v>28.199999999999996</v>
      </c>
      <c r="CJ34" s="30">
        <f>SUM(AV34:AY34)</f>
        <v>36.299999999999997</v>
      </c>
      <c r="CK34" s="31">
        <f>SUM(AZ34:BC34)</f>
        <v>45.500000000000007</v>
      </c>
      <c r="CL34" s="31">
        <f>SUM(BD34:BG34)</f>
        <v>33.75</v>
      </c>
      <c r="CM34" s="31">
        <f>SUM(BH34:BK34)</f>
        <v>36.599999999999994</v>
      </c>
      <c r="CN34" s="31">
        <f>SUM(BL34:BO34)</f>
        <v>44.2</v>
      </c>
      <c r="CO34" s="31">
        <f>SUM(BP34:BS34)</f>
        <v>44</v>
      </c>
      <c r="CP34" s="32">
        <f>SUM(BT34:BW34)</f>
        <v>44</v>
      </c>
      <c r="CQ34" s="106"/>
      <c r="CR34" s="193">
        <f>SUM(M34:P34)</f>
        <v>1.4179999999999999</v>
      </c>
      <c r="CS34" s="75">
        <f>SUM(Q34:T34)</f>
        <v>5.35</v>
      </c>
      <c r="CT34" s="75">
        <f>SUM(U34:X34)</f>
        <v>6.3040000000000003</v>
      </c>
      <c r="CU34" s="75">
        <f>SUM(Y34:AB34)</f>
        <v>9.1999999999999993</v>
      </c>
      <c r="CV34" s="75">
        <f>SUM(AC34:AF34)</f>
        <v>6.3999999999999995</v>
      </c>
      <c r="CW34" s="75">
        <f>SUM(AG34:AJ34)</f>
        <v>10.02</v>
      </c>
      <c r="CX34" s="75">
        <f>SUM(AK34:AN34)</f>
        <v>14.799999999999999</v>
      </c>
      <c r="CY34" s="75">
        <f>SUM(AO34:AR34)</f>
        <v>25.745191882152113</v>
      </c>
      <c r="CZ34" s="75">
        <f>SUM(AS34:AV34)</f>
        <v>28.299999999999997</v>
      </c>
      <c r="DA34" s="193">
        <f>SUM(AW34:AZ34)</f>
        <v>38.6</v>
      </c>
      <c r="DB34" s="75">
        <f>SUM(BA34:BD34)</f>
        <v>47.5</v>
      </c>
      <c r="DC34" s="75">
        <f>SUM(BE34:BH34)</f>
        <v>30.25</v>
      </c>
      <c r="DD34" s="75">
        <f>SUM(BI34:BL34)</f>
        <v>39.5</v>
      </c>
      <c r="DE34" s="75">
        <f>SUM(BM34:BP34)</f>
        <v>44</v>
      </c>
      <c r="DF34" s="76">
        <f>SUM(BQ34:BT34)</f>
        <v>44</v>
      </c>
      <c r="DK34"/>
      <c r="DL34"/>
      <c r="DM34"/>
      <c r="DN34"/>
      <c r="DO34"/>
      <c r="DP34"/>
    </row>
    <row r="35" spans="1:122" s="7" customFormat="1" ht="14.25" hidden="1" outlineLevel="1">
      <c r="A35" s="505"/>
      <c r="B35" s="25" t="s">
        <v>238</v>
      </c>
      <c r="C35" s="26"/>
      <c r="D35" s="27"/>
      <c r="E35" s="28">
        <v>0</v>
      </c>
      <c r="F35" s="28"/>
      <c r="G35" s="53"/>
      <c r="H35" s="28"/>
      <c r="I35" s="28"/>
      <c r="J35" s="28"/>
      <c r="K35" s="53"/>
      <c r="L35" s="28"/>
      <c r="M35" s="28"/>
      <c r="N35" s="28"/>
      <c r="O35" s="28"/>
      <c r="P35" s="27">
        <v>1.2</v>
      </c>
      <c r="Q35" s="28"/>
      <c r="R35" s="28"/>
      <c r="S35" s="53"/>
      <c r="T35" s="28"/>
      <c r="U35" s="28"/>
      <c r="V35" s="28"/>
      <c r="W35" s="53"/>
      <c r="X35" s="28"/>
      <c r="Y35" s="28"/>
      <c r="Z35" s="28"/>
      <c r="AA35" s="28"/>
      <c r="AB35" s="27"/>
      <c r="AC35" s="28"/>
      <c r="AD35" s="28"/>
      <c r="AE35" s="28"/>
      <c r="AF35" s="27"/>
      <c r="AG35" s="28"/>
      <c r="AH35" s="28"/>
      <c r="AI35" s="28"/>
      <c r="AJ35" s="27"/>
      <c r="AK35" s="28"/>
      <c r="AL35" s="28"/>
      <c r="AM35" s="53"/>
      <c r="AN35" s="27"/>
      <c r="AO35" s="28"/>
      <c r="AP35" s="28"/>
      <c r="AQ35" s="53"/>
      <c r="AR35" s="27"/>
      <c r="AS35" s="28"/>
      <c r="AT35" s="28"/>
      <c r="AU35" s="53"/>
      <c r="AV35" s="27"/>
      <c r="AW35" s="28"/>
      <c r="AX35" s="28"/>
      <c r="AY35" s="53"/>
      <c r="AZ35" s="27"/>
      <c r="BA35" s="28"/>
      <c r="BB35" s="28"/>
      <c r="BC35" s="53"/>
      <c r="BD35" s="27"/>
      <c r="BE35" s="28"/>
      <c r="BF35" s="28"/>
      <c r="BG35" s="53"/>
      <c r="BH35" s="27"/>
      <c r="BI35" s="28"/>
      <c r="BJ35" s="28"/>
      <c r="BK35" s="53"/>
      <c r="BL35" s="27"/>
      <c r="BM35" s="29">
        <f t="shared" si="181"/>
        <v>0</v>
      </c>
      <c r="BN35" s="29">
        <f t="shared" si="181"/>
        <v>0</v>
      </c>
      <c r="BO35" s="388">
        <f t="shared" si="181"/>
        <v>0</v>
      </c>
      <c r="BP35" s="833">
        <f t="shared" si="182"/>
        <v>0</v>
      </c>
      <c r="BQ35" s="29">
        <f t="shared" si="182"/>
        <v>0</v>
      </c>
      <c r="BR35" s="29">
        <f t="shared" si="182"/>
        <v>0</v>
      </c>
      <c r="BS35" s="388">
        <f t="shared" si="182"/>
        <v>0</v>
      </c>
      <c r="BT35" s="833">
        <f t="shared" si="183"/>
        <v>0</v>
      </c>
      <c r="BU35" s="29">
        <f t="shared" si="184"/>
        <v>0</v>
      </c>
      <c r="BV35" s="29">
        <f t="shared" si="185"/>
        <v>0</v>
      </c>
      <c r="BW35" s="388">
        <f t="shared" si="186"/>
        <v>0</v>
      </c>
      <c r="BX35" s="106"/>
      <c r="BY35" s="30">
        <f>SUM(D35:G35)</f>
        <v>0</v>
      </c>
      <c r="BZ35" s="31">
        <f>SUM(H35:K35)</f>
        <v>0</v>
      </c>
      <c r="CA35" s="31">
        <f>SUM(L35:O35)</f>
        <v>0</v>
      </c>
      <c r="CB35" s="31">
        <f>SUM(P35:S35)</f>
        <v>1.2</v>
      </c>
      <c r="CC35" s="31">
        <f>SUM(T35:W35)</f>
        <v>0</v>
      </c>
      <c r="CD35" s="31">
        <f>SUM(X35:AA35)</f>
        <v>0</v>
      </c>
      <c r="CE35" s="31">
        <f>SUM(AB35:AE35)</f>
        <v>0</v>
      </c>
      <c r="CF35" s="31">
        <f>SUM(AF35:AI35)</f>
        <v>0</v>
      </c>
      <c r="CG35" s="31">
        <f>SUM(AJ35:AM35)</f>
        <v>0</v>
      </c>
      <c r="CH35" s="31">
        <f>SUM(AN35:AQ35)</f>
        <v>0</v>
      </c>
      <c r="CI35" s="32">
        <f>SUM(AR35:AU35)</f>
        <v>0</v>
      </c>
      <c r="CJ35" s="30">
        <f>SUM(AV35:AY35)</f>
        <v>0</v>
      </c>
      <c r="CK35" s="31">
        <f>SUM(AZ35:BC35)</f>
        <v>0</v>
      </c>
      <c r="CL35" s="31">
        <f>SUM(BD35:BG35)</f>
        <v>0</v>
      </c>
      <c r="CM35" s="31">
        <f>SUM(BH35:BK35)</f>
        <v>0</v>
      </c>
      <c r="CN35" s="31">
        <f>SUM(BL35:BO35)</f>
        <v>0</v>
      </c>
      <c r="CO35" s="31">
        <f>SUM(BP35:BS35)</f>
        <v>0</v>
      </c>
      <c r="CP35" s="32">
        <f>SUM(BT35:BW35)</f>
        <v>0</v>
      </c>
      <c r="CQ35" s="106"/>
      <c r="CR35" s="193">
        <f>SUM(M35:P35)</f>
        <v>1.2</v>
      </c>
      <c r="CS35" s="75">
        <f>SUM(Q35:T35)</f>
        <v>0</v>
      </c>
      <c r="CT35" s="75">
        <f>SUM(U35:X35)</f>
        <v>0</v>
      </c>
      <c r="CU35" s="75">
        <f>SUM(Y35:AB35)</f>
        <v>0</v>
      </c>
      <c r="CV35" s="75">
        <f>SUM(AC35:AF35)</f>
        <v>0</v>
      </c>
      <c r="CW35" s="75">
        <f>SUM(AG35:AJ35)</f>
        <v>0</v>
      </c>
      <c r="CX35" s="75">
        <f>SUM(AK35:AN35)</f>
        <v>0</v>
      </c>
      <c r="CY35" s="75">
        <f>SUM(AO35:AR35)</f>
        <v>0</v>
      </c>
      <c r="CZ35" s="75">
        <f>SUM(AS35:AV35)</f>
        <v>0</v>
      </c>
      <c r="DA35" s="193">
        <f>SUM(AW35:AZ35)</f>
        <v>0</v>
      </c>
      <c r="DB35" s="75">
        <f>SUM(BA35:BD35)</f>
        <v>0</v>
      </c>
      <c r="DC35" s="75">
        <f>SUM(BE35:BH35)</f>
        <v>0</v>
      </c>
      <c r="DD35" s="75">
        <f>SUM(BI35:BL35)</f>
        <v>0</v>
      </c>
      <c r="DE35" s="75">
        <f>SUM(BM35:BP35)</f>
        <v>0</v>
      </c>
      <c r="DF35" s="76">
        <f>SUM(BQ35:BT35)</f>
        <v>0</v>
      </c>
      <c r="DK35"/>
      <c r="DL35"/>
      <c r="DM35"/>
      <c r="DN35"/>
      <c r="DO35"/>
      <c r="DP35"/>
    </row>
    <row r="36" spans="1:122" s="7" customFormat="1" ht="14.25" hidden="1" outlineLevel="1">
      <c r="A36" s="505"/>
      <c r="B36" s="25" t="s">
        <v>12</v>
      </c>
      <c r="C36" s="26"/>
      <c r="D36" s="27"/>
      <c r="E36" s="28"/>
      <c r="F36" s="28"/>
      <c r="G36" s="53"/>
      <c r="H36" s="28"/>
      <c r="I36" s="28"/>
      <c r="J36" s="28"/>
      <c r="K36" s="53"/>
      <c r="L36" s="28"/>
      <c r="M36" s="28"/>
      <c r="N36" s="28"/>
      <c r="O36" s="53"/>
      <c r="P36" s="28"/>
      <c r="Q36" s="28"/>
      <c r="R36" s="28"/>
      <c r="S36" s="53"/>
      <c r="T36" s="28"/>
      <c r="U36" s="28"/>
      <c r="V36" s="28"/>
      <c r="W36" s="53"/>
      <c r="X36" s="28"/>
      <c r="Y36" s="28"/>
      <c r="Z36" s="28"/>
      <c r="AA36" s="28"/>
      <c r="AB36" s="27"/>
      <c r="AC36" s="28"/>
      <c r="AD36" s="28"/>
      <c r="AE36" s="28"/>
      <c r="AF36" s="27"/>
      <c r="AG36" s="28"/>
      <c r="AH36" s="28"/>
      <c r="AI36" s="28"/>
      <c r="AJ36" s="27"/>
      <c r="AK36" s="28"/>
      <c r="AL36" s="28"/>
      <c r="AM36" s="53"/>
      <c r="AN36" s="27"/>
      <c r="AO36" s="28"/>
      <c r="AP36" s="28"/>
      <c r="AQ36" s="53"/>
      <c r="AR36" s="27"/>
      <c r="AS36" s="28"/>
      <c r="AT36" s="28"/>
      <c r="AU36" s="53"/>
      <c r="AV36" s="27"/>
      <c r="AW36" s="28"/>
      <c r="AX36" s="28"/>
      <c r="AY36" s="53"/>
      <c r="AZ36" s="27"/>
      <c r="BA36" s="28"/>
      <c r="BB36" s="28"/>
      <c r="BC36" s="53"/>
      <c r="BD36" s="27"/>
      <c r="BE36" s="28"/>
      <c r="BF36" s="28"/>
      <c r="BG36" s="53"/>
      <c r="BH36" s="27"/>
      <c r="BI36" s="28"/>
      <c r="BJ36" s="28"/>
      <c r="BK36" s="53"/>
      <c r="BL36" s="27"/>
      <c r="BM36" s="29">
        <f t="shared" si="181"/>
        <v>0</v>
      </c>
      <c r="BN36" s="29">
        <f t="shared" si="181"/>
        <v>0</v>
      </c>
      <c r="BO36" s="388">
        <f t="shared" si="181"/>
        <v>0</v>
      </c>
      <c r="BP36" s="833">
        <f t="shared" si="182"/>
        <v>0</v>
      </c>
      <c r="BQ36" s="29">
        <f t="shared" si="182"/>
        <v>0</v>
      </c>
      <c r="BR36" s="29">
        <f t="shared" si="182"/>
        <v>0</v>
      </c>
      <c r="BS36" s="388">
        <f t="shared" si="182"/>
        <v>0</v>
      </c>
      <c r="BT36" s="833">
        <f t="shared" si="183"/>
        <v>0</v>
      </c>
      <c r="BU36" s="29">
        <f t="shared" si="184"/>
        <v>0</v>
      </c>
      <c r="BV36" s="29">
        <f t="shared" si="185"/>
        <v>0</v>
      </c>
      <c r="BW36" s="388">
        <f t="shared" si="186"/>
        <v>0</v>
      </c>
      <c r="BX36" s="106"/>
      <c r="BY36" s="30">
        <f>SUM(D36:G36)</f>
        <v>0</v>
      </c>
      <c r="BZ36" s="31">
        <f>SUM(H36:K36)</f>
        <v>0</v>
      </c>
      <c r="CA36" s="31">
        <f>SUM(L36:O36)</f>
        <v>0</v>
      </c>
      <c r="CB36" s="31">
        <f>SUM(P36:S36)</f>
        <v>0</v>
      </c>
      <c r="CC36" s="31">
        <f>SUM(T36:W36)</f>
        <v>0</v>
      </c>
      <c r="CD36" s="31">
        <f>SUM(X36:AA36)</f>
        <v>0</v>
      </c>
      <c r="CE36" s="31">
        <f>SUM(AB36:AE36)</f>
        <v>0</v>
      </c>
      <c r="CF36" s="31">
        <f>SUM(AF36:AI36)</f>
        <v>0</v>
      </c>
      <c r="CG36" s="31">
        <f>SUM(AJ36:AM36)</f>
        <v>0</v>
      </c>
      <c r="CH36" s="31">
        <f>SUM(AN36:AQ36)</f>
        <v>0</v>
      </c>
      <c r="CI36" s="32">
        <f>SUM(AR36:AU36)</f>
        <v>0</v>
      </c>
      <c r="CJ36" s="30">
        <f>SUM(AV36:AY36)</f>
        <v>0</v>
      </c>
      <c r="CK36" s="31">
        <f>SUM(AZ36:BC36)</f>
        <v>0</v>
      </c>
      <c r="CL36" s="31">
        <f>SUM(BD36:BG36)</f>
        <v>0</v>
      </c>
      <c r="CM36" s="31">
        <f>SUM(BH36:BK36)</f>
        <v>0</v>
      </c>
      <c r="CN36" s="31">
        <f>SUM(BL36:BO36)</f>
        <v>0</v>
      </c>
      <c r="CO36" s="31">
        <f>SUM(BP36:BS36)</f>
        <v>0</v>
      </c>
      <c r="CP36" s="32">
        <f>SUM(BT36:BW36)</f>
        <v>0</v>
      </c>
      <c r="CQ36" s="106"/>
      <c r="CR36" s="193">
        <f>SUM(M36:P36)</f>
        <v>0</v>
      </c>
      <c r="CS36" s="75">
        <f>SUM(Q36:T36)</f>
        <v>0</v>
      </c>
      <c r="CT36" s="75">
        <f>SUM(U36:X36)</f>
        <v>0</v>
      </c>
      <c r="CU36" s="75">
        <f>SUM(Y36:AB36)</f>
        <v>0</v>
      </c>
      <c r="CV36" s="75">
        <f>SUM(AC36:AF36)</f>
        <v>0</v>
      </c>
      <c r="CW36" s="75">
        <f>SUM(AG36:AJ36)</f>
        <v>0</v>
      </c>
      <c r="CX36" s="75">
        <f>SUM(AK36:AN36)</f>
        <v>0</v>
      </c>
      <c r="CY36" s="75">
        <f>SUM(AO36:AR36)</f>
        <v>0</v>
      </c>
      <c r="CZ36" s="75">
        <f>SUM(AS36:AV36)</f>
        <v>0</v>
      </c>
      <c r="DA36" s="193">
        <f>SUM(AW36:AZ36)</f>
        <v>0</v>
      </c>
      <c r="DB36" s="75">
        <f>SUM(BA36:BD36)</f>
        <v>0</v>
      </c>
      <c r="DC36" s="75">
        <f>SUM(BE36:BH36)</f>
        <v>0</v>
      </c>
      <c r="DD36" s="75">
        <f>SUM(BI36:BL36)</f>
        <v>0</v>
      </c>
      <c r="DE36" s="75">
        <f>SUM(BM36:BP36)</f>
        <v>0</v>
      </c>
      <c r="DF36" s="76">
        <f>SUM(BQ36:BT36)</f>
        <v>0</v>
      </c>
      <c r="DK36"/>
      <c r="DL36"/>
      <c r="DM36"/>
      <c r="DN36"/>
      <c r="DO36"/>
      <c r="DP36"/>
    </row>
    <row r="37" spans="1:122" s="7" customFormat="1" ht="14.25" hidden="1" outlineLevel="1">
      <c r="A37" s="505"/>
      <c r="B37" s="14" t="s">
        <v>21</v>
      </c>
      <c r="C37" s="24"/>
      <c r="D37" s="30">
        <f t="shared" ref="D37:S37" si="187">D31-D35-D34-D36</f>
        <v>37.301000000000002</v>
      </c>
      <c r="E37" s="31">
        <f t="shared" si="187"/>
        <v>40.109000000000002</v>
      </c>
      <c r="F37" s="31">
        <f t="shared" si="187"/>
        <v>36.427999999999997</v>
      </c>
      <c r="G37" s="32">
        <f t="shared" si="187"/>
        <v>42.23899999999999</v>
      </c>
      <c r="H37" s="31">
        <f t="shared" si="187"/>
        <v>38.064999999999998</v>
      </c>
      <c r="I37" s="31">
        <f t="shared" si="187"/>
        <v>37.472999999999999</v>
      </c>
      <c r="J37" s="31">
        <f t="shared" si="187"/>
        <v>38.712000000000003</v>
      </c>
      <c r="K37" s="32">
        <f t="shared" si="187"/>
        <v>38.38300000000001</v>
      </c>
      <c r="L37" s="31">
        <f t="shared" si="187"/>
        <v>37.113</v>
      </c>
      <c r="M37" s="31">
        <f t="shared" si="187"/>
        <v>38.676000000000002</v>
      </c>
      <c r="N37" s="31">
        <f t="shared" si="187"/>
        <v>39.823</v>
      </c>
      <c r="O37" s="32">
        <f t="shared" si="187"/>
        <v>36.602999999999994</v>
      </c>
      <c r="P37" s="31">
        <f t="shared" si="187"/>
        <v>39.811999999999998</v>
      </c>
      <c r="Q37" s="31">
        <f t="shared" si="187"/>
        <v>39.026000000000003</v>
      </c>
      <c r="R37" s="31">
        <f t="shared" si="187"/>
        <v>39.085999999999999</v>
      </c>
      <c r="S37" s="32">
        <f t="shared" si="187"/>
        <v>38.700300000000006</v>
      </c>
      <c r="T37" s="31">
        <f>T31-T35-T34-T36</f>
        <v>29.925999999999998</v>
      </c>
      <c r="U37" s="31">
        <f>U31-U35-U34-U36</f>
        <v>29.760999999999999</v>
      </c>
      <c r="V37" s="31">
        <f>V31-V35-V34-V36</f>
        <v>29.003999999999998</v>
      </c>
      <c r="W37" s="32">
        <f>W31-W35-W34-W36</f>
        <v>31.794000000000015</v>
      </c>
      <c r="X37" s="31">
        <f t="shared" ref="X37:AV37" si="188">X31-X35-X34-X36</f>
        <v>32.893999999999998</v>
      </c>
      <c r="Y37" s="31">
        <f t="shared" si="188"/>
        <v>33.981000000000002</v>
      </c>
      <c r="Z37" s="31">
        <f t="shared" si="188"/>
        <v>34.161000000000001</v>
      </c>
      <c r="AA37" s="31">
        <f t="shared" si="188"/>
        <v>36.276999999999994</v>
      </c>
      <c r="AB37" s="30">
        <f t="shared" si="188"/>
        <v>32.943999999999996</v>
      </c>
      <c r="AC37" s="31">
        <f t="shared" si="188"/>
        <v>27.396000000000001</v>
      </c>
      <c r="AD37" s="31">
        <f t="shared" si="188"/>
        <v>28.065999999999999</v>
      </c>
      <c r="AE37" s="31">
        <f t="shared" si="188"/>
        <v>29.289999999999996</v>
      </c>
      <c r="AF37" s="30">
        <f t="shared" si="188"/>
        <v>29.989000000000001</v>
      </c>
      <c r="AG37" s="31">
        <f t="shared" si="188"/>
        <v>30.26</v>
      </c>
      <c r="AH37" s="31">
        <f t="shared" si="188"/>
        <v>32.981999999999999</v>
      </c>
      <c r="AI37" s="31">
        <f t="shared" si="188"/>
        <v>33.488999999999976</v>
      </c>
      <c r="AJ37" s="30">
        <f t="shared" si="188"/>
        <v>34.143000000000001</v>
      </c>
      <c r="AK37" s="31">
        <f t="shared" si="188"/>
        <v>39.618000000000002</v>
      </c>
      <c r="AL37" s="31">
        <f t="shared" si="188"/>
        <v>38.866999999999997</v>
      </c>
      <c r="AM37" s="32">
        <f t="shared" si="188"/>
        <v>42.408999999999999</v>
      </c>
      <c r="AN37" s="30">
        <f t="shared" si="188"/>
        <v>41.341000000000001</v>
      </c>
      <c r="AO37" s="31">
        <f t="shared" si="188"/>
        <v>46.140808117847882</v>
      </c>
      <c r="AP37" s="31">
        <f t="shared" si="188"/>
        <v>51.849999999999994</v>
      </c>
      <c r="AQ37" s="32">
        <f t="shared" si="188"/>
        <v>49.257000000000005</v>
      </c>
      <c r="AR37" s="30">
        <f t="shared" si="188"/>
        <v>50.654000000000003</v>
      </c>
      <c r="AS37" s="31">
        <f>AS31-AS35-AS34-AS36</f>
        <v>48.8</v>
      </c>
      <c r="AT37" s="31">
        <f t="shared" si="188"/>
        <v>49.300000000000004</v>
      </c>
      <c r="AU37" s="32">
        <f t="shared" si="188"/>
        <v>49.3</v>
      </c>
      <c r="AV37" s="30">
        <f t="shared" si="188"/>
        <v>50.9</v>
      </c>
      <c r="AW37" s="31">
        <f t="shared" ref="AW37:BB37" si="189">AW31-AW35-AW34-AW36</f>
        <v>53</v>
      </c>
      <c r="AX37" s="31">
        <f t="shared" si="189"/>
        <v>53.800000000000004</v>
      </c>
      <c r="AY37" s="32">
        <f t="shared" si="189"/>
        <v>58.2</v>
      </c>
      <c r="AZ37" s="30">
        <f t="shared" si="189"/>
        <v>58.7</v>
      </c>
      <c r="BA37" s="31">
        <f t="shared" si="189"/>
        <v>63.1</v>
      </c>
      <c r="BB37" s="31">
        <f t="shared" si="189"/>
        <v>65.099999999999994</v>
      </c>
      <c r="BC37" s="32">
        <f t="shared" ref="BC37:BH37" si="190">BC31-BC35-BC34-BC36</f>
        <v>70.800000000000011</v>
      </c>
      <c r="BD37" s="30">
        <f t="shared" si="190"/>
        <v>69.7</v>
      </c>
      <c r="BE37" s="31">
        <f t="shared" si="190"/>
        <v>73.099999999999994</v>
      </c>
      <c r="BF37" s="31">
        <f t="shared" si="190"/>
        <v>70.95</v>
      </c>
      <c r="BG37" s="32">
        <f t="shared" si="190"/>
        <v>64.900000000000006</v>
      </c>
      <c r="BH37" s="30">
        <f t="shared" si="190"/>
        <v>73.7</v>
      </c>
      <c r="BI37" s="31">
        <f t="shared" ref="BI37:BS37" si="191">BI31-BI35-BI34-BI36</f>
        <v>80.900000000000006</v>
      </c>
      <c r="BJ37" s="31">
        <f t="shared" si="191"/>
        <v>82.9</v>
      </c>
      <c r="BK37" s="32">
        <f t="shared" si="191"/>
        <v>81.099999999999994</v>
      </c>
      <c r="BL37" s="30">
        <f t="shared" si="191"/>
        <v>86.8</v>
      </c>
      <c r="BM37" s="900">
        <f t="shared" si="191"/>
        <v>89.36280450000001</v>
      </c>
      <c r="BN37" s="900">
        <f t="shared" si="191"/>
        <v>87.43967136838485</v>
      </c>
      <c r="BO37" s="899">
        <f t="shared" si="191"/>
        <v>93.929061718050178</v>
      </c>
      <c r="BP37" s="834">
        <f t="shared" si="191"/>
        <v>96.0895573249027</v>
      </c>
      <c r="BQ37" s="861">
        <f t="shared" si="191"/>
        <v>91.299305789771722</v>
      </c>
      <c r="BR37" s="620">
        <f t="shared" si="191"/>
        <v>91.314485538358099</v>
      </c>
      <c r="BS37" s="615">
        <f t="shared" si="191"/>
        <v>96.34470768688233</v>
      </c>
      <c r="BT37" s="905">
        <f t="shared" ref="BT37:BW37" si="192">BT31-BT35-BT34-BT36</f>
        <v>98.609385380242514</v>
      </c>
      <c r="BU37" s="900">
        <f t="shared" si="192"/>
        <v>95.63240085281214</v>
      </c>
      <c r="BV37" s="900">
        <f t="shared" si="192"/>
        <v>96.534359049919104</v>
      </c>
      <c r="BW37" s="899">
        <f t="shared" si="192"/>
        <v>102.22126805018529</v>
      </c>
      <c r="BX37" s="106"/>
      <c r="BY37" s="30">
        <f>BY31-BY35-BY34-BY36</f>
        <v>156.077</v>
      </c>
      <c r="BZ37" s="31">
        <f>BZ31-BZ35-BZ34-BZ36</f>
        <v>152.63300000000001</v>
      </c>
      <c r="CA37" s="31">
        <f>CA31-CA35-CA34-CA36</f>
        <v>152.21499999999997</v>
      </c>
      <c r="CB37" s="31">
        <f>CB31-CB35-CB34-CB36</f>
        <v>156.62430000000001</v>
      </c>
      <c r="CC37" s="31">
        <f>CC31-CC35-CC34-CC36</f>
        <v>120.48500000000001</v>
      </c>
      <c r="CD37" s="31">
        <f t="shared" ref="CD37:CJ37" si="193">CD31-CD35-CD34-CD36</f>
        <v>137.31300000000002</v>
      </c>
      <c r="CE37" s="31">
        <f t="shared" si="193"/>
        <v>117.69599999999998</v>
      </c>
      <c r="CF37" s="31">
        <f t="shared" si="193"/>
        <v>126.71999999999998</v>
      </c>
      <c r="CG37" s="31">
        <f t="shared" si="193"/>
        <v>155.03700000000001</v>
      </c>
      <c r="CH37" s="31">
        <f t="shared" si="193"/>
        <v>188.58880811784786</v>
      </c>
      <c r="CI37" s="32">
        <f t="shared" si="193"/>
        <v>198.05400000000003</v>
      </c>
      <c r="CJ37" s="30">
        <f t="shared" si="193"/>
        <v>215.89999999999998</v>
      </c>
      <c r="CK37" s="31">
        <f t="shared" ref="CK37:CP37" si="194">CK31-CK35-CK34-CK36</f>
        <v>257.70000000000005</v>
      </c>
      <c r="CL37" s="31">
        <f t="shared" si="194"/>
        <v>278.65000000000003</v>
      </c>
      <c r="CM37" s="31">
        <f t="shared" si="194"/>
        <v>318.60000000000002</v>
      </c>
      <c r="CN37" s="31">
        <f t="shared" si="194"/>
        <v>357.53153758643504</v>
      </c>
      <c r="CO37" s="31">
        <f t="shared" si="194"/>
        <v>375.04805633991487</v>
      </c>
      <c r="CP37" s="32">
        <f t="shared" si="194"/>
        <v>392.99741333315905</v>
      </c>
      <c r="CQ37" s="106"/>
      <c r="CR37" s="30">
        <f>CR31-CR35-CR34-CR36</f>
        <v>154.91399999999999</v>
      </c>
      <c r="CS37" s="31">
        <f>CS31-CS35-CS34-CS36</f>
        <v>146.73830000000001</v>
      </c>
      <c r="CT37" s="31">
        <f>CT31-CT35-CT34-CT36</f>
        <v>123.453</v>
      </c>
      <c r="CU37" s="31">
        <f t="shared" ref="CU37:CZ37" si="195">CU31-CU35-CU34-CU36</f>
        <v>137.363</v>
      </c>
      <c r="CV37" s="31">
        <f t="shared" si="195"/>
        <v>114.741</v>
      </c>
      <c r="CW37" s="31">
        <f t="shared" si="195"/>
        <v>130.87399999999997</v>
      </c>
      <c r="CX37" s="31">
        <f t="shared" si="195"/>
        <v>162.23499999999999</v>
      </c>
      <c r="CY37" s="31">
        <f t="shared" si="195"/>
        <v>197.90180811784791</v>
      </c>
      <c r="CZ37" s="31">
        <f t="shared" si="195"/>
        <v>198.3</v>
      </c>
      <c r="DA37" s="30">
        <f t="shared" ref="DA37:DF37" si="196">DA31-DA35-DA34-DA36</f>
        <v>223.70000000000002</v>
      </c>
      <c r="DB37" s="31">
        <f t="shared" si="196"/>
        <v>268.70000000000005</v>
      </c>
      <c r="DC37" s="31">
        <f t="shared" si="196"/>
        <v>282.64999999999998</v>
      </c>
      <c r="DD37" s="31">
        <f t="shared" si="196"/>
        <v>331.7</v>
      </c>
      <c r="DE37" s="31">
        <f t="shared" si="196"/>
        <v>366.8210949113377</v>
      </c>
      <c r="DF37" s="32">
        <f t="shared" si="196"/>
        <v>377.56788439525462</v>
      </c>
      <c r="DG37" s="42"/>
      <c r="DH37" s="42"/>
      <c r="DI37" s="42"/>
      <c r="DJ37" s="42"/>
      <c r="DK37"/>
      <c r="DL37"/>
      <c r="DM37"/>
      <c r="DN37"/>
      <c r="DO37"/>
      <c r="DP37"/>
      <c r="DQ37" s="42"/>
      <c r="DR37" s="42"/>
    </row>
    <row r="38" spans="1:122" s="42" customFormat="1" ht="14.25" hidden="1" outlineLevel="1">
      <c r="B38" s="19" t="s">
        <v>237</v>
      </c>
      <c r="C38" s="34"/>
      <c r="D38" s="20">
        <f t="shared" ref="D38:S38" si="197">D37/D10</f>
        <v>0.23284892068367108</v>
      </c>
      <c r="E38" s="21">
        <f t="shared" si="197"/>
        <v>0.25488040466688694</v>
      </c>
      <c r="F38" s="21">
        <f t="shared" si="197"/>
        <v>0.24253157477746187</v>
      </c>
      <c r="G38" s="37">
        <f t="shared" si="197"/>
        <v>0.28153327290178087</v>
      </c>
      <c r="H38" s="21">
        <f t="shared" si="197"/>
        <v>0.21738013111908078</v>
      </c>
      <c r="I38" s="21">
        <f t="shared" si="197"/>
        <v>0.20424481253168075</v>
      </c>
      <c r="J38" s="21">
        <f t="shared" si="197"/>
        <v>0.18667451067379701</v>
      </c>
      <c r="K38" s="37">
        <f t="shared" si="197"/>
        <v>0.17601471107503666</v>
      </c>
      <c r="L38" s="21">
        <f t="shared" si="197"/>
        <v>0.16857285610465117</v>
      </c>
      <c r="M38" s="21">
        <f t="shared" si="197"/>
        <v>0.36630203153857088</v>
      </c>
      <c r="N38" s="21">
        <f t="shared" si="197"/>
        <v>0.20791825908986486</v>
      </c>
      <c r="O38" s="37">
        <f t="shared" si="197"/>
        <v>0.13305633710658904</v>
      </c>
      <c r="P38" s="21">
        <f t="shared" si="197"/>
        <v>0.20074120761376529</v>
      </c>
      <c r="Q38" s="21">
        <f t="shared" si="197"/>
        <v>0.21068486346998933</v>
      </c>
      <c r="R38" s="21">
        <f t="shared" si="197"/>
        <v>0.19834769458738036</v>
      </c>
      <c r="S38" s="37">
        <f t="shared" si="197"/>
        <v>0.19528740330320787</v>
      </c>
      <c r="T38" s="21">
        <f>T37/T10</f>
        <v>0.15266030709585265</v>
      </c>
      <c r="U38" s="21">
        <f>U37/U10</f>
        <v>0.1651462183008712</v>
      </c>
      <c r="V38" s="21">
        <f>V37/V10</f>
        <v>0.16559047700608032</v>
      </c>
      <c r="W38" s="37">
        <f>W37/W10</f>
        <v>0.16693794827097372</v>
      </c>
      <c r="X38" s="21">
        <f t="shared" ref="X38:AW38" si="198">X37/X10</f>
        <v>0.15624153933112625</v>
      </c>
      <c r="Y38" s="21">
        <f t="shared" si="198"/>
        <v>0.16846629781664585</v>
      </c>
      <c r="Z38" s="21">
        <f t="shared" si="198"/>
        <v>0.15873333023558384</v>
      </c>
      <c r="AA38" s="21">
        <f t="shared" si="198"/>
        <v>0.15598582767902439</v>
      </c>
      <c r="AB38" s="20">
        <f t="shared" si="198"/>
        <v>0.15670605247635896</v>
      </c>
      <c r="AC38" s="21">
        <f t="shared" si="198"/>
        <v>0.15836753569570494</v>
      </c>
      <c r="AD38" s="21">
        <f t="shared" si="198"/>
        <v>0.14677872320396626</v>
      </c>
      <c r="AE38" s="21">
        <f t="shared" si="198"/>
        <v>0.12838270230466453</v>
      </c>
      <c r="AF38" s="20">
        <f t="shared" si="198"/>
        <v>0.1223351744731539</v>
      </c>
      <c r="AG38" s="21">
        <f t="shared" si="198"/>
        <v>0.12711188029807863</v>
      </c>
      <c r="AH38" s="21">
        <f t="shared" si="198"/>
        <v>0.11977339579474888</v>
      </c>
      <c r="AI38" s="21">
        <f t="shared" si="198"/>
        <v>0.10689695897958072</v>
      </c>
      <c r="AJ38" s="20">
        <f t="shared" si="198"/>
        <v>0.10188290761518262</v>
      </c>
      <c r="AK38" s="21">
        <f t="shared" si="198"/>
        <v>0.12174757460565255</v>
      </c>
      <c r="AL38" s="21">
        <f t="shared" si="198"/>
        <v>0.10915397037141052</v>
      </c>
      <c r="AM38" s="37">
        <f t="shared" si="198"/>
        <v>0.10541216357291285</v>
      </c>
      <c r="AN38" s="20">
        <f t="shared" si="198"/>
        <v>0.10499568243002996</v>
      </c>
      <c r="AO38" s="21">
        <f t="shared" si="198"/>
        <v>0.1265206288021275</v>
      </c>
      <c r="AP38" s="21">
        <f t="shared" si="198"/>
        <v>0.13327746903901416</v>
      </c>
      <c r="AQ38" s="37">
        <f t="shared" si="198"/>
        <v>0.11696860462631171</v>
      </c>
      <c r="AR38" s="20">
        <f t="shared" si="198"/>
        <v>0.11164080286871066</v>
      </c>
      <c r="AS38" s="21">
        <f t="shared" si="198"/>
        <v>0.11476952022577611</v>
      </c>
      <c r="AT38" s="21">
        <f t="shared" si="198"/>
        <v>0.11304746617748224</v>
      </c>
      <c r="AU38" s="37">
        <f t="shared" si="198"/>
        <v>0.10335429769392034</v>
      </c>
      <c r="AV38" s="20">
        <f t="shared" si="198"/>
        <v>0.10075217735550276</v>
      </c>
      <c r="AW38" s="21">
        <f t="shared" si="198"/>
        <v>0.11018711018711019</v>
      </c>
      <c r="AX38" s="21">
        <f t="shared" ref="AX38:BC38" si="199">AX37/AX10</f>
        <v>9.1652470187393531E-2</v>
      </c>
      <c r="AY38" s="37">
        <f t="shared" si="199"/>
        <v>8.1035923141186295E-2</v>
      </c>
      <c r="AZ38" s="20">
        <f t="shared" si="199"/>
        <v>7.2873991309745506E-2</v>
      </c>
      <c r="BA38" s="21">
        <f t="shared" si="199"/>
        <v>8.2797533132134893E-2</v>
      </c>
      <c r="BB38" s="21">
        <f t="shared" si="199"/>
        <v>8.037037037037037E-2</v>
      </c>
      <c r="BC38" s="37">
        <f t="shared" si="199"/>
        <v>8.0381471389645798E-2</v>
      </c>
      <c r="BD38" s="20">
        <f t="shared" ref="BD38:BI38" si="200">BD37/BD10</f>
        <v>7.5205006473888655E-2</v>
      </c>
      <c r="BE38" s="21">
        <f t="shared" si="200"/>
        <v>9.4310411559798732E-2</v>
      </c>
      <c r="BF38" s="21">
        <f t="shared" si="200"/>
        <v>9.4386058267926037E-2</v>
      </c>
      <c r="BG38" s="37">
        <f t="shared" si="200"/>
        <v>7.7687335408187702E-2</v>
      </c>
      <c r="BH38" s="20">
        <f t="shared" si="200"/>
        <v>8.0608115498195354E-2</v>
      </c>
      <c r="BI38" s="859">
        <f t="shared" si="200"/>
        <v>9.4986497593049196E-2</v>
      </c>
      <c r="BJ38" s="859">
        <f t="shared" ref="BJ38:BS38" si="201">BJ37/BJ10</f>
        <v>9.2029307282415637E-2</v>
      </c>
      <c r="BK38" s="885">
        <f t="shared" si="201"/>
        <v>8.2368474507414177E-2</v>
      </c>
      <c r="BL38" s="880">
        <f t="shared" si="201"/>
        <v>8.2517349557942765E-2</v>
      </c>
      <c r="BM38" s="881">
        <f t="shared" si="201"/>
        <v>9.8993453667883008E-2</v>
      </c>
      <c r="BN38" s="881">
        <f t="shared" si="201"/>
        <v>0.10072313966636971</v>
      </c>
      <c r="BO38" s="885">
        <f t="shared" si="201"/>
        <v>9.1049243109077527E-2</v>
      </c>
      <c r="BP38" s="20">
        <f t="shared" si="201"/>
        <v>8.9459544336298893E-2</v>
      </c>
      <c r="BQ38" s="859">
        <f t="shared" si="201"/>
        <v>9.335125126785386E-2</v>
      </c>
      <c r="BR38" s="21">
        <f t="shared" si="201"/>
        <v>9.3339071823262496E-2</v>
      </c>
      <c r="BS38" s="37">
        <f t="shared" si="201"/>
        <v>9.1555779366009005E-2</v>
      </c>
      <c r="BT38" s="880">
        <f t="shared" ref="BT38:BW38" si="202">BT37/BT10</f>
        <v>8.9914012498464091E-2</v>
      </c>
      <c r="BU38" s="881">
        <f t="shared" si="202"/>
        <v>9.2208281502286868E-2</v>
      </c>
      <c r="BV38" s="881">
        <f t="shared" si="202"/>
        <v>9.1882263461249891E-2</v>
      </c>
      <c r="BW38" s="885">
        <f t="shared" si="202"/>
        <v>8.9974693338740974E-2</v>
      </c>
      <c r="BX38" s="841"/>
      <c r="BY38" s="20">
        <f>BY37/BY10</f>
        <v>0.25263803661120543</v>
      </c>
      <c r="BZ38" s="21">
        <f>BZ37/BZ10</f>
        <v>0.19467923772644427</v>
      </c>
      <c r="CA38" s="21">
        <f>CA37/CA10</f>
        <v>0.19210067001442505</v>
      </c>
      <c r="CB38" s="21">
        <f>CB37/CB10</f>
        <v>0.20111288309527112</v>
      </c>
      <c r="CC38" s="21">
        <f>CC37/CC10</f>
        <v>0.16241175764879379</v>
      </c>
      <c r="CD38" s="21">
        <f t="shared" ref="CD38:CJ38" si="203">CD37/CD10</f>
        <v>0.15966312293826751</v>
      </c>
      <c r="CE38" s="21">
        <f t="shared" si="203"/>
        <v>0.14664761138183624</v>
      </c>
      <c r="CF38" s="21">
        <f t="shared" si="203"/>
        <v>0.11822560827131433</v>
      </c>
      <c r="CG38" s="21">
        <f t="shared" si="203"/>
        <v>0.10926393416974295</v>
      </c>
      <c r="CH38" s="21">
        <f t="shared" si="203"/>
        <v>0.12022892545418301</v>
      </c>
      <c r="CI38" s="37">
        <f t="shared" si="203"/>
        <v>0.11051978685541425</v>
      </c>
      <c r="CJ38" s="880">
        <f t="shared" si="203"/>
        <v>9.42218730906869E-2</v>
      </c>
      <c r="CK38" s="881">
        <f t="shared" ref="CK38:CP38" si="204">CK37/CK10</f>
        <v>7.9087895899828162E-2</v>
      </c>
      <c r="CL38" s="881">
        <f t="shared" si="204"/>
        <v>8.4721799939191239E-2</v>
      </c>
      <c r="CM38" s="881">
        <f t="shared" si="204"/>
        <v>8.7254203867009925E-2</v>
      </c>
      <c r="CN38" s="881">
        <f t="shared" si="204"/>
        <v>9.2760225632681687E-2</v>
      </c>
      <c r="CO38" s="881">
        <f t="shared" si="204"/>
        <v>9.1861707393460529E-2</v>
      </c>
      <c r="CP38" s="885">
        <f t="shared" si="204"/>
        <v>9.0959313527625582E-2</v>
      </c>
      <c r="CQ38" s="107"/>
      <c r="CR38" s="20">
        <f>CR37/CR10</f>
        <v>0.20104706334291969</v>
      </c>
      <c r="CS38" s="21">
        <f>CS37/CS10</f>
        <v>0.18897568941381315</v>
      </c>
      <c r="CT38" s="21">
        <f>CT37/CT10</f>
        <v>0.16322162167879506</v>
      </c>
      <c r="CU38" s="21">
        <f t="shared" ref="CU38:CZ38" si="205">CU37/CU10</f>
        <v>0.15977792563090895</v>
      </c>
      <c r="CV38" s="21">
        <f t="shared" si="205"/>
        <v>0.13700630576952239</v>
      </c>
      <c r="CW38" s="21">
        <f t="shared" si="205"/>
        <v>0.11264461010250199</v>
      </c>
      <c r="CX38" s="21">
        <f t="shared" si="205"/>
        <v>0.1098006012688641</v>
      </c>
      <c r="CY38" s="21">
        <f t="shared" si="205"/>
        <v>0.12151920840559406</v>
      </c>
      <c r="CZ38" s="21">
        <f t="shared" si="205"/>
        <v>0.10756712774613507</v>
      </c>
      <c r="DA38" s="880">
        <f t="shared" ref="DA38:DF38" si="206">DA37/DA10</f>
        <v>8.6314002392252204E-2</v>
      </c>
      <c r="DB38" s="881">
        <f t="shared" si="206"/>
        <v>7.9504097996863643E-2</v>
      </c>
      <c r="DC38" s="881">
        <f t="shared" si="206"/>
        <v>8.6265832443155804E-2</v>
      </c>
      <c r="DD38" s="881">
        <f t="shared" si="206"/>
        <v>8.7542887305357614E-2</v>
      </c>
      <c r="DE38" s="881">
        <f t="shared" si="206"/>
        <v>9.4625062911746771E-2</v>
      </c>
      <c r="DF38" s="885">
        <f t="shared" si="206"/>
        <v>9.196989324224962E-2</v>
      </c>
      <c r="DG38" s="7"/>
      <c r="DH38" s="7"/>
      <c r="DI38" s="7"/>
      <c r="DJ38" s="7"/>
      <c r="DK38"/>
      <c r="DL38"/>
      <c r="DM38"/>
      <c r="DN38"/>
      <c r="DO38"/>
      <c r="DP38"/>
      <c r="DQ38" s="7"/>
      <c r="DR38" s="7"/>
    </row>
    <row r="39" spans="1:122" s="7" customFormat="1" ht="14.25" hidden="1" outlineLevel="1">
      <c r="A39" s="505"/>
      <c r="B39" s="14" t="s">
        <v>22</v>
      </c>
      <c r="C39" s="24"/>
      <c r="D39" s="30">
        <f t="shared" ref="D39:S39" si="207">D31-D35-D36</f>
        <v>37.301000000000002</v>
      </c>
      <c r="E39" s="31">
        <f t="shared" si="207"/>
        <v>40.109000000000002</v>
      </c>
      <c r="F39" s="31">
        <f t="shared" si="207"/>
        <v>36.427999999999997</v>
      </c>
      <c r="G39" s="32">
        <f t="shared" si="207"/>
        <v>42.23899999999999</v>
      </c>
      <c r="H39" s="31">
        <f t="shared" si="207"/>
        <v>38.064999999999998</v>
      </c>
      <c r="I39" s="31">
        <f t="shared" si="207"/>
        <v>37.472999999999999</v>
      </c>
      <c r="J39" s="31">
        <f t="shared" si="207"/>
        <v>38.712000000000003</v>
      </c>
      <c r="K39" s="32">
        <f t="shared" si="207"/>
        <v>38.38300000000001</v>
      </c>
      <c r="L39" s="31">
        <f t="shared" si="207"/>
        <v>37.113</v>
      </c>
      <c r="M39" s="31">
        <f t="shared" si="207"/>
        <v>38.676000000000002</v>
      </c>
      <c r="N39" s="31">
        <f t="shared" si="207"/>
        <v>39.823</v>
      </c>
      <c r="O39" s="32">
        <f t="shared" si="207"/>
        <v>36.602999999999994</v>
      </c>
      <c r="P39" s="31">
        <f t="shared" si="207"/>
        <v>41.23</v>
      </c>
      <c r="Q39" s="31">
        <f t="shared" si="207"/>
        <v>40.557000000000002</v>
      </c>
      <c r="R39" s="31">
        <f t="shared" si="207"/>
        <v>40.619</v>
      </c>
      <c r="S39" s="32">
        <f t="shared" si="207"/>
        <v>40.500300000000003</v>
      </c>
      <c r="T39" s="31">
        <f t="shared" ref="T39:AI39" si="208">T31-T35-T36</f>
        <v>30.411999999999999</v>
      </c>
      <c r="U39" s="31">
        <f t="shared" si="208"/>
        <v>31.382999999999999</v>
      </c>
      <c r="V39" s="31">
        <f t="shared" si="208"/>
        <v>30.548999999999999</v>
      </c>
      <c r="W39" s="32">
        <f t="shared" si="208"/>
        <v>33.731000000000016</v>
      </c>
      <c r="X39" s="31">
        <f t="shared" si="208"/>
        <v>34.094000000000001</v>
      </c>
      <c r="Y39" s="31">
        <f t="shared" si="208"/>
        <v>36.581000000000003</v>
      </c>
      <c r="Z39" s="31">
        <f t="shared" si="208"/>
        <v>36.561</v>
      </c>
      <c r="AA39" s="31">
        <f t="shared" si="208"/>
        <v>38.776999999999994</v>
      </c>
      <c r="AB39" s="30">
        <f t="shared" si="208"/>
        <v>34.643999999999998</v>
      </c>
      <c r="AC39" s="31">
        <f t="shared" si="208"/>
        <v>28.596</v>
      </c>
      <c r="AD39" s="31">
        <f t="shared" si="208"/>
        <v>29.666</v>
      </c>
      <c r="AE39" s="31">
        <f t="shared" si="208"/>
        <v>31.089999999999996</v>
      </c>
      <c r="AF39" s="30">
        <f t="shared" si="208"/>
        <v>31.789000000000001</v>
      </c>
      <c r="AG39" s="31">
        <f t="shared" si="208"/>
        <v>32.06</v>
      </c>
      <c r="AH39" s="31">
        <f t="shared" si="208"/>
        <v>34.881999999999998</v>
      </c>
      <c r="AI39" s="31">
        <f t="shared" si="208"/>
        <v>35.408999999999978</v>
      </c>
      <c r="AJ39" s="30">
        <f t="shared" ref="AJ39:AO39" si="209">AJ31-AJ35-AJ36</f>
        <v>38.542999999999999</v>
      </c>
      <c r="AK39" s="31">
        <f t="shared" si="209"/>
        <v>39.618000000000002</v>
      </c>
      <c r="AL39" s="31">
        <f t="shared" si="209"/>
        <v>43.067</v>
      </c>
      <c r="AM39" s="32">
        <f t="shared" si="209"/>
        <v>47.408999999999999</v>
      </c>
      <c r="AN39" s="30">
        <f t="shared" si="209"/>
        <v>46.941000000000003</v>
      </c>
      <c r="AO39" s="31">
        <f t="shared" si="209"/>
        <v>52.985999999999997</v>
      </c>
      <c r="AP39" s="31">
        <f t="shared" ref="AP39:AU39" si="210">AP31-AP35-AP36</f>
        <v>56.05</v>
      </c>
      <c r="AQ39" s="32">
        <f t="shared" si="210"/>
        <v>56.557000000000002</v>
      </c>
      <c r="AR39" s="30">
        <f t="shared" si="210"/>
        <v>58.054000000000002</v>
      </c>
      <c r="AS39" s="31">
        <f t="shared" si="210"/>
        <v>56.3</v>
      </c>
      <c r="AT39" s="31">
        <f t="shared" si="210"/>
        <v>56.6</v>
      </c>
      <c r="AU39" s="32">
        <f t="shared" si="210"/>
        <v>55.3</v>
      </c>
      <c r="AV39" s="30">
        <f t="shared" ref="AV39:BB39" si="211">AV31-AV35-AV36</f>
        <v>58.4</v>
      </c>
      <c r="AW39" s="31">
        <f t="shared" si="211"/>
        <v>61.6</v>
      </c>
      <c r="AX39" s="31">
        <f t="shared" si="211"/>
        <v>64.2</v>
      </c>
      <c r="AY39" s="32">
        <f t="shared" si="211"/>
        <v>68</v>
      </c>
      <c r="AZ39" s="30">
        <f t="shared" si="211"/>
        <v>68.5</v>
      </c>
      <c r="BA39" s="31">
        <f t="shared" si="211"/>
        <v>75.5</v>
      </c>
      <c r="BB39" s="31">
        <f t="shared" si="211"/>
        <v>76.8</v>
      </c>
      <c r="BC39" s="32">
        <f t="shared" ref="BC39:BH39" si="212">BC31-BC35-BC36</f>
        <v>82.4</v>
      </c>
      <c r="BD39" s="30">
        <f t="shared" si="212"/>
        <v>81.5</v>
      </c>
      <c r="BE39" s="31">
        <f t="shared" si="212"/>
        <v>79.8</v>
      </c>
      <c r="BF39" s="31">
        <f t="shared" si="212"/>
        <v>77.900000000000006</v>
      </c>
      <c r="BG39" s="32">
        <f t="shared" si="212"/>
        <v>73.2</v>
      </c>
      <c r="BH39" s="30">
        <f t="shared" si="212"/>
        <v>82</v>
      </c>
      <c r="BI39" s="31">
        <f t="shared" ref="BI39:BS39" si="213">BI31-BI35-BI36</f>
        <v>89.4</v>
      </c>
      <c r="BJ39" s="31">
        <f t="shared" si="213"/>
        <v>92</v>
      </c>
      <c r="BK39" s="32">
        <f t="shared" si="213"/>
        <v>91.8</v>
      </c>
      <c r="BL39" s="30">
        <f t="shared" si="213"/>
        <v>98</v>
      </c>
      <c r="BM39" s="31">
        <f t="shared" si="213"/>
        <v>100.36280450000001</v>
      </c>
      <c r="BN39" s="31">
        <f t="shared" si="213"/>
        <v>98.43967136838485</v>
      </c>
      <c r="BO39" s="32">
        <f t="shared" si="213"/>
        <v>104.92906171805018</v>
      </c>
      <c r="BP39" s="30">
        <f t="shared" si="213"/>
        <v>107.0895573249027</v>
      </c>
      <c r="BQ39" s="31">
        <f t="shared" si="213"/>
        <v>102.29930578977172</v>
      </c>
      <c r="BR39" s="31">
        <f t="shared" si="213"/>
        <v>102.3144855383581</v>
      </c>
      <c r="BS39" s="32">
        <f t="shared" si="213"/>
        <v>107.34470768688233</v>
      </c>
      <c r="BT39" s="30">
        <f t="shared" ref="BT39:BW39" si="214">BT31-BT35-BT36</f>
        <v>109.60938538024251</v>
      </c>
      <c r="BU39" s="31">
        <f t="shared" si="214"/>
        <v>106.63240085281214</v>
      </c>
      <c r="BV39" s="31">
        <f t="shared" si="214"/>
        <v>107.5343590499191</v>
      </c>
      <c r="BW39" s="32">
        <f t="shared" si="214"/>
        <v>113.22126805018529</v>
      </c>
      <c r="BX39" s="106"/>
      <c r="BY39" s="30">
        <f>BY31-BY35-BY36</f>
        <v>156.077</v>
      </c>
      <c r="BZ39" s="31">
        <f>BZ31-BZ35-BZ36</f>
        <v>152.63300000000001</v>
      </c>
      <c r="CA39" s="31">
        <f>CA31-CA35-CA36</f>
        <v>152.21499999999997</v>
      </c>
      <c r="CB39" s="31">
        <f>CB31-CB35-CB36</f>
        <v>162.90630000000002</v>
      </c>
      <c r="CC39" s="31">
        <f>CC31-CC35-CC36</f>
        <v>126.07500000000002</v>
      </c>
      <c r="CD39" s="31">
        <f t="shared" ref="CD39:CJ39" si="215">CD31-CD35-CD36</f>
        <v>146.01300000000001</v>
      </c>
      <c r="CE39" s="31">
        <f t="shared" si="215"/>
        <v>123.99599999999998</v>
      </c>
      <c r="CF39" s="31">
        <f t="shared" si="215"/>
        <v>134.13999999999999</v>
      </c>
      <c r="CG39" s="31">
        <f t="shared" si="215"/>
        <v>168.637</v>
      </c>
      <c r="CH39" s="31">
        <f t="shared" si="215"/>
        <v>212.53399999999999</v>
      </c>
      <c r="CI39" s="32">
        <f t="shared" si="215"/>
        <v>226.25400000000002</v>
      </c>
      <c r="CJ39" s="30">
        <f t="shared" si="215"/>
        <v>252.2</v>
      </c>
      <c r="CK39" s="31">
        <f t="shared" ref="CK39:CP39" si="216">CK31-CK35-CK36</f>
        <v>303.20000000000005</v>
      </c>
      <c r="CL39" s="31">
        <f t="shared" si="216"/>
        <v>312.40000000000003</v>
      </c>
      <c r="CM39" s="31">
        <f t="shared" si="216"/>
        <v>355.2</v>
      </c>
      <c r="CN39" s="31">
        <f t="shared" si="216"/>
        <v>401.73153758643502</v>
      </c>
      <c r="CO39" s="31">
        <f t="shared" si="216"/>
        <v>419.04805633991487</v>
      </c>
      <c r="CP39" s="32">
        <f t="shared" si="216"/>
        <v>436.99741333315905</v>
      </c>
      <c r="CQ39" s="106"/>
      <c r="CR39" s="30">
        <f>CR31-CR35-CR36</f>
        <v>156.33199999999999</v>
      </c>
      <c r="CS39" s="31">
        <f>CS31-CS35-CS36</f>
        <v>152.0883</v>
      </c>
      <c r="CT39" s="31">
        <f>CT31-CT35-CT36</f>
        <v>129.75700000000001</v>
      </c>
      <c r="CU39" s="31">
        <f t="shared" ref="CU39:CZ39" si="217">CU31-CU35-CU36</f>
        <v>146.56299999999999</v>
      </c>
      <c r="CV39" s="31">
        <f t="shared" si="217"/>
        <v>121.14100000000001</v>
      </c>
      <c r="CW39" s="31">
        <f t="shared" si="217"/>
        <v>140.89399999999998</v>
      </c>
      <c r="CX39" s="31">
        <f t="shared" si="217"/>
        <v>177.035</v>
      </c>
      <c r="CY39" s="31">
        <f t="shared" si="217"/>
        <v>223.64700000000002</v>
      </c>
      <c r="CZ39" s="31">
        <f t="shared" si="217"/>
        <v>226.6</v>
      </c>
      <c r="DA39" s="30">
        <f t="shared" ref="DA39:DF39" si="218">DA31-DA35-DA36</f>
        <v>262.3</v>
      </c>
      <c r="DB39" s="31">
        <f t="shared" si="218"/>
        <v>316.20000000000005</v>
      </c>
      <c r="DC39" s="31">
        <f t="shared" si="218"/>
        <v>312.89999999999998</v>
      </c>
      <c r="DD39" s="31">
        <f t="shared" si="218"/>
        <v>371.2</v>
      </c>
      <c r="DE39" s="31">
        <f t="shared" si="218"/>
        <v>410.8210949113377</v>
      </c>
      <c r="DF39" s="32">
        <f t="shared" si="218"/>
        <v>421.56788439525462</v>
      </c>
      <c r="DG39" s="42"/>
      <c r="DH39" s="42"/>
      <c r="DI39" s="42"/>
      <c r="DJ39" s="42"/>
      <c r="DK39"/>
      <c r="DL39"/>
      <c r="DM39"/>
      <c r="DN39"/>
      <c r="DO39"/>
      <c r="DP39"/>
      <c r="DQ39" s="42"/>
      <c r="DR39" s="42"/>
    </row>
    <row r="40" spans="1:122" s="42" customFormat="1" ht="14.25" hidden="1" outlineLevel="1">
      <c r="B40" s="19" t="s">
        <v>237</v>
      </c>
      <c r="C40" s="34"/>
      <c r="D40" s="20">
        <f t="shared" ref="D40:S40" si="219">D39/D10</f>
        <v>0.23284892068367108</v>
      </c>
      <c r="E40" s="21">
        <f t="shared" si="219"/>
        <v>0.25488040466688694</v>
      </c>
      <c r="F40" s="21">
        <f t="shared" si="219"/>
        <v>0.24253157477746187</v>
      </c>
      <c r="G40" s="37">
        <f t="shared" si="219"/>
        <v>0.28153327290178087</v>
      </c>
      <c r="H40" s="21">
        <f t="shared" si="219"/>
        <v>0.21738013111908078</v>
      </c>
      <c r="I40" s="21">
        <f t="shared" si="219"/>
        <v>0.20424481253168075</v>
      </c>
      <c r="J40" s="21">
        <f t="shared" si="219"/>
        <v>0.18667451067379701</v>
      </c>
      <c r="K40" s="37">
        <f t="shared" si="219"/>
        <v>0.17601471107503666</v>
      </c>
      <c r="L40" s="21">
        <f t="shared" si="219"/>
        <v>0.16857285610465117</v>
      </c>
      <c r="M40" s="21">
        <f t="shared" si="219"/>
        <v>0.36630203153857088</v>
      </c>
      <c r="N40" s="21">
        <f t="shared" si="219"/>
        <v>0.20791825908986486</v>
      </c>
      <c r="O40" s="37">
        <f t="shared" si="219"/>
        <v>0.13305633710658904</v>
      </c>
      <c r="P40" s="21">
        <f t="shared" si="219"/>
        <v>0.20789108786083449</v>
      </c>
      <c r="Q40" s="21">
        <f t="shared" si="219"/>
        <v>0.21895008475765787</v>
      </c>
      <c r="R40" s="21">
        <f t="shared" si="219"/>
        <v>0.2061271300835287</v>
      </c>
      <c r="S40" s="37">
        <f t="shared" si="219"/>
        <v>0.20437046792921268</v>
      </c>
      <c r="T40" s="21">
        <f>T39/T10</f>
        <v>0.15513951946130694</v>
      </c>
      <c r="U40" s="21">
        <f>U39/U10</f>
        <v>0.17414682869985015</v>
      </c>
      <c r="V40" s="21">
        <f>V39/V10</f>
        <v>0.17441123576261025</v>
      </c>
      <c r="W40" s="37">
        <f>W39/W10</f>
        <v>0.17710838312663441</v>
      </c>
      <c r="X40" s="21">
        <f t="shared" ref="X40:AW40" si="220">X39/X10</f>
        <v>0.16194135836187204</v>
      </c>
      <c r="Y40" s="21">
        <f t="shared" si="220"/>
        <v>0.18135621789914136</v>
      </c>
      <c r="Z40" s="21">
        <f t="shared" si="220"/>
        <v>0.16988522838158077</v>
      </c>
      <c r="AA40" s="21">
        <f t="shared" si="220"/>
        <v>0.16673546434130521</v>
      </c>
      <c r="AB40" s="20">
        <f t="shared" si="220"/>
        <v>0.16479251098807007</v>
      </c>
      <c r="AC40" s="21">
        <f t="shared" si="220"/>
        <v>0.16530435285276604</v>
      </c>
      <c r="AD40" s="21">
        <f t="shared" si="220"/>
        <v>0.15514635511183864</v>
      </c>
      <c r="AE40" s="21">
        <f t="shared" si="220"/>
        <v>0.136272386980267</v>
      </c>
      <c r="AF40" s="20">
        <f t="shared" si="220"/>
        <v>0.1296779773025806</v>
      </c>
      <c r="AG40" s="21">
        <f t="shared" si="220"/>
        <v>0.13467306286703243</v>
      </c>
      <c r="AH40" s="21">
        <f t="shared" si="220"/>
        <v>0.1266732033264335</v>
      </c>
      <c r="AI40" s="21">
        <f t="shared" si="220"/>
        <v>0.11302560304900039</v>
      </c>
      <c r="AJ40" s="20">
        <f t="shared" si="220"/>
        <v>0.11501253282406301</v>
      </c>
      <c r="AK40" s="21">
        <f t="shared" si="220"/>
        <v>0.12174757460565255</v>
      </c>
      <c r="AL40" s="21">
        <f t="shared" si="220"/>
        <v>0.12094923822228464</v>
      </c>
      <c r="AM40" s="37">
        <f t="shared" si="220"/>
        <v>0.11784020521182355</v>
      </c>
      <c r="AN40" s="20">
        <f t="shared" si="220"/>
        <v>0.11921826586072028</v>
      </c>
      <c r="AO40" s="21">
        <f t="shared" si="220"/>
        <v>0.14529052071622472</v>
      </c>
      <c r="AP40" s="21">
        <f t="shared" si="220"/>
        <v>0.14407332959762284</v>
      </c>
      <c r="AQ40" s="37">
        <f t="shared" si="220"/>
        <v>0.13430361921859454</v>
      </c>
      <c r="AR40" s="20">
        <f t="shared" si="220"/>
        <v>0.12795031329687936</v>
      </c>
      <c r="AS40" s="21">
        <f t="shared" si="220"/>
        <v>0.1324082784571966</v>
      </c>
      <c r="AT40" s="21">
        <f t="shared" si="220"/>
        <v>0.12978674615913782</v>
      </c>
      <c r="AU40" s="37">
        <f t="shared" si="220"/>
        <v>0.11593291404612159</v>
      </c>
      <c r="AV40" s="20">
        <f t="shared" si="220"/>
        <v>0.11559778305621536</v>
      </c>
      <c r="AW40" s="21">
        <f t="shared" si="220"/>
        <v>0.12806652806652807</v>
      </c>
      <c r="AX40" s="21">
        <f t="shared" ref="AX40:BC40" si="221">AX39/AX10</f>
        <v>0.10936967632027257</v>
      </c>
      <c r="AY40" s="37">
        <f t="shared" si="221"/>
        <v>9.4681147312726255E-2</v>
      </c>
      <c r="AZ40" s="20">
        <f t="shared" si="221"/>
        <v>8.5040347610180006E-2</v>
      </c>
      <c r="BA40" s="21">
        <f t="shared" si="221"/>
        <v>9.9068363731793729E-2</v>
      </c>
      <c r="BB40" s="21">
        <f t="shared" si="221"/>
        <v>9.481481481481481E-2</v>
      </c>
      <c r="BC40" s="37">
        <f t="shared" si="221"/>
        <v>9.3551316984559499E-2</v>
      </c>
      <c r="BD40" s="20">
        <f t="shared" ref="BD40:BI40" si="222">BD39/BD10</f>
        <v>8.7936987483815288E-2</v>
      </c>
      <c r="BE40" s="21">
        <f t="shared" si="222"/>
        <v>0.10295445748935621</v>
      </c>
      <c r="BF40" s="21">
        <f t="shared" si="222"/>
        <v>0.10363176799255022</v>
      </c>
      <c r="BG40" s="37">
        <f t="shared" si="222"/>
        <v>8.7622695714627732E-2</v>
      </c>
      <c r="BH40" s="20">
        <f t="shared" si="222"/>
        <v>8.9686098654708529E-2</v>
      </c>
      <c r="BI40" s="859">
        <f t="shared" si="222"/>
        <v>0.10496653751320888</v>
      </c>
      <c r="BJ40" s="859">
        <f t="shared" ref="BJ40:BS40" si="223">BJ39/BJ10</f>
        <v>0.10213143872113677</v>
      </c>
      <c r="BK40" s="885">
        <f t="shared" si="223"/>
        <v>9.3235831809872022E-2</v>
      </c>
      <c r="BL40" s="880">
        <f t="shared" si="223"/>
        <v>9.3164749500903116E-2</v>
      </c>
      <c r="BM40" s="881">
        <f t="shared" si="223"/>
        <v>0.11117892609614272</v>
      </c>
      <c r="BN40" s="881">
        <f t="shared" si="223"/>
        <v>0.11339421355069659</v>
      </c>
      <c r="BO40" s="885">
        <f t="shared" si="223"/>
        <v>0.10171198854569449</v>
      </c>
      <c r="BP40" s="20">
        <f t="shared" si="223"/>
        <v>9.970056339284375E-2</v>
      </c>
      <c r="BQ40" s="859">
        <f t="shared" si="223"/>
        <v>0.10459847549440907</v>
      </c>
      <c r="BR40" s="21">
        <f t="shared" si="223"/>
        <v>0.1045829591868352</v>
      </c>
      <c r="BS40" s="37">
        <f t="shared" si="223"/>
        <v>0.10200901127885252</v>
      </c>
      <c r="BT40" s="880">
        <f t="shared" ref="BT40:BW40" si="224">BT39/BT10</f>
        <v>9.9944032802000773E-2</v>
      </c>
      <c r="BU40" s="881">
        <f t="shared" si="224"/>
        <v>0.10281442635988855</v>
      </c>
      <c r="BV40" s="881">
        <f t="shared" si="224"/>
        <v>0.10235216151641904</v>
      </c>
      <c r="BW40" s="885">
        <f t="shared" si="224"/>
        <v>9.9656843106637125E-2</v>
      </c>
      <c r="BX40" s="841"/>
      <c r="BY40" s="20">
        <f>BY39/BY10</f>
        <v>0.25263803661120543</v>
      </c>
      <c r="BZ40" s="21">
        <f>BZ39/BZ10</f>
        <v>0.19467923772644427</v>
      </c>
      <c r="CA40" s="21">
        <f>CA39/CA10</f>
        <v>0.19210067001442505</v>
      </c>
      <c r="CB40" s="21">
        <f>CB39/CB10</f>
        <v>0.20917926316276061</v>
      </c>
      <c r="CC40" s="21">
        <f>CC39/CC10</f>
        <v>0.16994698382015752</v>
      </c>
      <c r="CD40" s="21">
        <f t="shared" ref="CD40:CJ40" si="225">CD39/CD10</f>
        <v>0.16977920203902946</v>
      </c>
      <c r="CE40" s="21">
        <f t="shared" si="225"/>
        <v>0.15449732549026446</v>
      </c>
      <c r="CF40" s="21">
        <f t="shared" si="225"/>
        <v>0.12514822516977669</v>
      </c>
      <c r="CG40" s="21">
        <f t="shared" si="225"/>
        <v>0.11884867526192419</v>
      </c>
      <c r="CH40" s="21">
        <f t="shared" si="225"/>
        <v>0.13549443732902539</v>
      </c>
      <c r="CI40" s="37">
        <f t="shared" si="225"/>
        <v>0.12625619202432112</v>
      </c>
      <c r="CJ40" s="880">
        <f t="shared" si="225"/>
        <v>0.11006371650519332</v>
      </c>
      <c r="CK40" s="881">
        <f t="shared" ref="CK40:CP40" si="226">CK39/CK10</f>
        <v>9.3051804566658514E-2</v>
      </c>
      <c r="CL40" s="881">
        <f t="shared" si="226"/>
        <v>9.4983277591973239E-2</v>
      </c>
      <c r="CM40" s="881">
        <f t="shared" si="226"/>
        <v>9.7277756476967736E-2</v>
      </c>
      <c r="CN40" s="881">
        <f t="shared" si="226"/>
        <v>0.10422775098902408</v>
      </c>
      <c r="CO40" s="881">
        <f t="shared" si="226"/>
        <v>0.10263876664489945</v>
      </c>
      <c r="CP40" s="885">
        <f t="shared" si="226"/>
        <v>0.10114312049284523</v>
      </c>
      <c r="CQ40" s="107"/>
      <c r="CR40" s="20">
        <f>CR39/CR10</f>
        <v>0.20288734076019807</v>
      </c>
      <c r="CS40" s="21">
        <f>CS39/CS10</f>
        <v>0.19586564205987692</v>
      </c>
      <c r="CT40" s="21">
        <f>CT39/CT10</f>
        <v>0.17155636529023524</v>
      </c>
      <c r="CU40" s="21">
        <f t="shared" ref="CU40:CZ40" si="227">CU39/CU10</f>
        <v>0.17047918372664334</v>
      </c>
      <c r="CV40" s="21">
        <f t="shared" si="227"/>
        <v>0.14464821543498588</v>
      </c>
      <c r="CW40" s="21">
        <f t="shared" si="227"/>
        <v>0.12126892809711566</v>
      </c>
      <c r="CX40" s="21">
        <f t="shared" si="227"/>
        <v>0.11981723700578394</v>
      </c>
      <c r="CY40" s="21">
        <f t="shared" si="227"/>
        <v>0.137327731670355</v>
      </c>
      <c r="CZ40" s="21">
        <f t="shared" si="227"/>
        <v>0.12291836181177108</v>
      </c>
      <c r="DA40" s="880">
        <f t="shared" ref="DA40:DF40" si="228">DA39/DA10</f>
        <v>0.10120770150866228</v>
      </c>
      <c r="DB40" s="881">
        <f t="shared" si="228"/>
        <v>9.3558599875728635E-2</v>
      </c>
      <c r="DC40" s="881">
        <f t="shared" si="228"/>
        <v>9.5498245078589949E-2</v>
      </c>
      <c r="DD40" s="881">
        <f t="shared" si="228"/>
        <v>9.7967801530746898E-2</v>
      </c>
      <c r="DE40" s="881">
        <f t="shared" si="228"/>
        <v>0.10597529010934889</v>
      </c>
      <c r="DF40" s="885">
        <f t="shared" si="228"/>
        <v>0.10268763558715401</v>
      </c>
      <c r="DG40" s="7"/>
      <c r="DH40" s="7"/>
      <c r="DI40" s="7"/>
      <c r="DJ40" s="7"/>
      <c r="DK40"/>
      <c r="DL40"/>
      <c r="DM40"/>
      <c r="DN40"/>
      <c r="DO40"/>
      <c r="DP40"/>
      <c r="DQ40" s="7"/>
      <c r="DR40" s="7"/>
    </row>
    <row r="41" spans="1:122" s="7" customFormat="1" ht="14.25" collapsed="1">
      <c r="A41" s="505"/>
      <c r="B41" s="51"/>
      <c r="C41" s="52"/>
      <c r="D41" s="39"/>
      <c r="E41" s="44"/>
      <c r="F41" s="39"/>
      <c r="G41" s="40"/>
      <c r="H41" s="39"/>
      <c r="I41" s="39"/>
      <c r="J41" s="39"/>
      <c r="K41" s="40"/>
      <c r="L41" s="39"/>
      <c r="M41" s="39"/>
      <c r="N41" s="39"/>
      <c r="O41" s="40"/>
      <c r="P41" s="39"/>
      <c r="Q41" s="39"/>
      <c r="R41" s="39"/>
      <c r="S41" s="40"/>
      <c r="T41" s="39"/>
      <c r="U41" s="39"/>
      <c r="V41" s="39"/>
      <c r="W41" s="40"/>
      <c r="X41" s="39"/>
      <c r="Y41" s="39"/>
      <c r="Z41" s="39"/>
      <c r="AA41" s="39"/>
      <c r="AB41" s="38"/>
      <c r="AC41" s="39"/>
      <c r="AD41" s="39"/>
      <c r="AE41" s="39"/>
      <c r="AF41" s="38"/>
      <c r="AG41" s="39"/>
      <c r="AH41" s="44"/>
      <c r="AI41" s="39"/>
      <c r="AJ41" s="38"/>
      <c r="AK41" s="39"/>
      <c r="AL41" s="44"/>
      <c r="AM41" s="40"/>
      <c r="AN41" s="38"/>
      <c r="AO41" s="39"/>
      <c r="AP41" s="44"/>
      <c r="AQ41" s="40"/>
      <c r="AR41" s="38"/>
      <c r="AS41" s="39"/>
      <c r="AT41" s="44"/>
      <c r="AU41" s="40"/>
      <c r="AV41" s="38"/>
      <c r="AW41" s="39"/>
      <c r="AX41" s="44"/>
      <c r="AY41" s="40"/>
      <c r="AZ41" s="38"/>
      <c r="BA41" s="39"/>
      <c r="BB41" s="44"/>
      <c r="BC41" s="40"/>
      <c r="BD41" s="38"/>
      <c r="BE41" s="39"/>
      <c r="BF41" s="44"/>
      <c r="BG41" s="40"/>
      <c r="BH41" s="38"/>
      <c r="BI41" s="39"/>
      <c r="BJ41" s="44"/>
      <c r="BK41" s="40"/>
      <c r="BL41" s="38"/>
      <c r="BM41" s="39"/>
      <c r="BN41" s="39"/>
      <c r="BO41" s="40"/>
      <c r="BP41" s="38"/>
      <c r="BQ41" s="39"/>
      <c r="BR41" s="39"/>
      <c r="BS41" s="40"/>
      <c r="BT41" s="38"/>
      <c r="BU41" s="39"/>
      <c r="BV41" s="39"/>
      <c r="BW41" s="40"/>
      <c r="BX41" s="108"/>
      <c r="BY41" s="56"/>
      <c r="BZ41" s="57"/>
      <c r="CA41" s="57"/>
      <c r="CB41" s="57"/>
      <c r="CC41" s="57"/>
      <c r="CD41" s="57"/>
      <c r="CE41" s="57"/>
      <c r="CF41" s="57"/>
      <c r="CG41" s="57"/>
      <c r="CH41" s="57"/>
      <c r="CI41" s="58"/>
      <c r="CJ41" s="56"/>
      <c r="CK41" s="57"/>
      <c r="CL41" s="57"/>
      <c r="CM41" s="57"/>
      <c r="CN41" s="57"/>
      <c r="CO41" s="57"/>
      <c r="CP41" s="58"/>
      <c r="CQ41" s="108"/>
      <c r="CR41" s="56"/>
      <c r="CS41" s="57"/>
      <c r="CT41" s="57"/>
      <c r="CU41" s="57"/>
      <c r="CV41" s="57"/>
      <c r="CW41" s="57"/>
      <c r="CX41" s="57"/>
      <c r="CY41" s="57"/>
      <c r="CZ41" s="57"/>
      <c r="DA41" s="56"/>
      <c r="DB41" s="57"/>
      <c r="DC41" s="57"/>
      <c r="DD41" s="57"/>
      <c r="DE41" s="57"/>
      <c r="DF41" s="58"/>
      <c r="DG41" s="45"/>
      <c r="DH41" s="45"/>
      <c r="DI41" s="45"/>
      <c r="DJ41" s="45"/>
      <c r="DK41"/>
      <c r="DL41"/>
      <c r="DM41"/>
      <c r="DN41"/>
      <c r="DO41"/>
      <c r="DP41"/>
      <c r="DQ41" s="45"/>
      <c r="DR41" s="45"/>
    </row>
    <row r="42" spans="1:122" s="45" customFormat="1" ht="14.25">
      <c r="B42" s="14" t="s">
        <v>23</v>
      </c>
      <c r="C42" s="24"/>
      <c r="D42" s="28">
        <v>20.251999999999999</v>
      </c>
      <c r="E42" s="28">
        <v>19.940000000000001</v>
      </c>
      <c r="F42" s="28">
        <v>19.710999999999999</v>
      </c>
      <c r="G42" s="54">
        <f>85.432-F42-E42-D42</f>
        <v>25.529000000000007</v>
      </c>
      <c r="H42" s="28">
        <v>20.361000000000001</v>
      </c>
      <c r="I42" s="28">
        <v>22.573</v>
      </c>
      <c r="J42" s="28">
        <v>26.492999999999999</v>
      </c>
      <c r="K42" s="54">
        <f>97.522-J42-I42-H42</f>
        <v>28.09500000000001</v>
      </c>
      <c r="L42" s="28">
        <v>27.224</v>
      </c>
      <c r="M42" s="28">
        <v>25.058</v>
      </c>
      <c r="N42" s="28">
        <v>25.745000000000001</v>
      </c>
      <c r="O42" s="54">
        <f>103.07-N42-M42-L42</f>
        <v>25.042999999999989</v>
      </c>
      <c r="P42" s="28">
        <v>23.253</v>
      </c>
      <c r="Q42" s="28">
        <v>25.71</v>
      </c>
      <c r="R42" s="28">
        <v>26.332999999999998</v>
      </c>
      <c r="S42" s="54">
        <f>135.801-R42-Q42-P42</f>
        <v>60.504999999999981</v>
      </c>
      <c r="T42" s="28">
        <v>24.027999999999999</v>
      </c>
      <c r="U42" s="28">
        <v>23.75</v>
      </c>
      <c r="V42" s="28">
        <v>24.873999999999999</v>
      </c>
      <c r="W42" s="54">
        <f>94.95-V42-U42-T42</f>
        <v>22.298000000000009</v>
      </c>
      <c r="X42" s="28">
        <v>25.286999999999999</v>
      </c>
      <c r="Y42" s="28">
        <v>23.346</v>
      </c>
      <c r="Z42" s="28">
        <v>25.975000000000001</v>
      </c>
      <c r="AA42" s="41">
        <f>100.007-Z42-Y42-X42</f>
        <v>25.399000000000008</v>
      </c>
      <c r="AB42" s="27">
        <v>27.100999999999999</v>
      </c>
      <c r="AC42" s="28">
        <v>22.794</v>
      </c>
      <c r="AD42" s="28">
        <v>24.215</v>
      </c>
      <c r="AE42" s="41">
        <f>100.421-AD42-AC42-AB42</f>
        <v>26.311000000000007</v>
      </c>
      <c r="AF42" s="27">
        <v>26.731000000000002</v>
      </c>
      <c r="AG42" s="28">
        <v>27.981999999999999</v>
      </c>
      <c r="AH42" s="28">
        <v>29.451000000000001</v>
      </c>
      <c r="AI42" s="41">
        <f>117.853-AH42-AG42-AF42</f>
        <v>33.688999999999986</v>
      </c>
      <c r="AJ42" s="27">
        <v>31.050999999999998</v>
      </c>
      <c r="AK42" s="28">
        <v>31.664999999999999</v>
      </c>
      <c r="AL42" s="28">
        <v>35.451000000000001</v>
      </c>
      <c r="AM42" s="53">
        <v>39.070999999999998</v>
      </c>
      <c r="AN42" s="27">
        <v>42.908999999999999</v>
      </c>
      <c r="AO42" s="28">
        <v>40.237000000000002</v>
      </c>
      <c r="AP42" s="28">
        <v>37.463000000000001</v>
      </c>
      <c r="AQ42" s="53">
        <v>37.823999999999998</v>
      </c>
      <c r="AR42" s="27">
        <v>38.128</v>
      </c>
      <c r="AS42" s="28">
        <v>39.700000000000003</v>
      </c>
      <c r="AT42" s="28">
        <v>40.299999999999997</v>
      </c>
      <c r="AU42" s="53">
        <v>41.6</v>
      </c>
      <c r="AV42" s="27">
        <v>41.1</v>
      </c>
      <c r="AW42" s="28">
        <v>41.9</v>
      </c>
      <c r="AX42" s="28">
        <v>45.8</v>
      </c>
      <c r="AY42" s="53">
        <v>50.2</v>
      </c>
      <c r="AZ42" s="27">
        <v>47.9</v>
      </c>
      <c r="BA42" s="28">
        <v>47.4</v>
      </c>
      <c r="BB42" s="28">
        <v>48.6</v>
      </c>
      <c r="BC42" s="53">
        <f>191.3-BB42-BA42-AZ42</f>
        <v>47.400000000000013</v>
      </c>
      <c r="BD42" s="27">
        <f>51.7</f>
        <v>51.7</v>
      </c>
      <c r="BE42" s="28">
        <v>44</v>
      </c>
      <c r="BF42" s="28">
        <v>46.9</v>
      </c>
      <c r="BG42" s="53">
        <v>53.3</v>
      </c>
      <c r="BH42" s="27">
        <v>50.9</v>
      </c>
      <c r="BI42" s="28">
        <v>47.8</v>
      </c>
      <c r="BJ42" s="28">
        <v>49.5</v>
      </c>
      <c r="BK42" s="53">
        <v>56.4</v>
      </c>
      <c r="BL42" s="27">
        <v>51.3</v>
      </c>
      <c r="BM42" s="616">
        <f t="shared" ref="BM42:BS42" si="229">BL42*(1+BM11*BM44)</f>
        <v>52.391343374999998</v>
      </c>
      <c r="BN42" s="616">
        <f t="shared" si="229"/>
        <v>51.387430334145414</v>
      </c>
      <c r="BO42" s="618">
        <f t="shared" si="229"/>
        <v>54.484654066873524</v>
      </c>
      <c r="BP42" s="835">
        <f t="shared" si="229"/>
        <v>55.606496327015549</v>
      </c>
      <c r="BQ42" s="616">
        <f t="shared" si="229"/>
        <v>53.11914731701269</v>
      </c>
      <c r="BR42" s="616">
        <f t="shared" si="229"/>
        <v>53.127029436008215</v>
      </c>
      <c r="BS42" s="618">
        <f t="shared" si="229"/>
        <v>55.738983733077106</v>
      </c>
      <c r="BT42" s="835">
        <f t="shared" ref="BT42" si="230">BS42*(1+BT11*BT44)</f>
        <v>56.914922778708245</v>
      </c>
      <c r="BU42" s="616">
        <f t="shared" ref="BU42" si="231">BT42*(1+BU11*BU44)</f>
        <v>55.369116788606867</v>
      </c>
      <c r="BV42" s="616">
        <f t="shared" ref="BV42" si="232">BU42*(1+BV11*BV44)</f>
        <v>55.801434185178046</v>
      </c>
      <c r="BW42" s="618">
        <f t="shared" ref="BW42" si="233">BV42*(1+BW11*BW44)</f>
        <v>58.525466673448669</v>
      </c>
      <c r="BX42" s="106"/>
      <c r="BY42" s="30">
        <f>SUM(D42:G42)</f>
        <v>85.432000000000002</v>
      </c>
      <c r="BZ42" s="31">
        <f>SUM(H42:K42)</f>
        <v>97.522000000000006</v>
      </c>
      <c r="CA42" s="31">
        <f>SUM(L42:O42)</f>
        <v>103.07</v>
      </c>
      <c r="CB42" s="31">
        <f>SUM(P42:S42)</f>
        <v>135.80099999999999</v>
      </c>
      <c r="CC42" s="31">
        <f>SUM(T42:W42)</f>
        <v>94.950000000000017</v>
      </c>
      <c r="CD42" s="31">
        <f>SUM(X42:AA42)</f>
        <v>100.00700000000001</v>
      </c>
      <c r="CE42" s="31">
        <f>SUM(AB42:AE42)</f>
        <v>100.42100000000001</v>
      </c>
      <c r="CF42" s="31">
        <f>SUM(AF42:AI42)</f>
        <v>117.85299999999998</v>
      </c>
      <c r="CG42" s="31">
        <f>SUM(AJ42:AM42)</f>
        <v>137.238</v>
      </c>
      <c r="CH42" s="31">
        <f>SUM(AN42:AQ42)</f>
        <v>158.43299999999999</v>
      </c>
      <c r="CI42" s="32">
        <f>SUM(AR42:AU42)</f>
        <v>159.72800000000001</v>
      </c>
      <c r="CJ42" s="30">
        <f>SUM(AV42:AY42)</f>
        <v>179</v>
      </c>
      <c r="CK42" s="31">
        <f>SUM(AZ42:BC42)</f>
        <v>191.3</v>
      </c>
      <c r="CL42" s="31">
        <f>SUM(BD42:BG42)</f>
        <v>195.89999999999998</v>
      </c>
      <c r="CM42" s="31">
        <f>SUM(BH42:BK42)</f>
        <v>204.6</v>
      </c>
      <c r="CN42" s="31">
        <f>SUM(BL42:BO42)</f>
        <v>209.56342777601895</v>
      </c>
      <c r="CO42" s="31">
        <f>SUM(BP42:BS42)</f>
        <v>217.59165681311356</v>
      </c>
      <c r="CP42" s="32">
        <f>SUM(BT42:BW42)</f>
        <v>226.61094042594183</v>
      </c>
      <c r="CQ42" s="106"/>
      <c r="CR42" s="193">
        <f>SUM(M42:P42)</f>
        <v>99.09899999999999</v>
      </c>
      <c r="CS42" s="75">
        <f>SUM(Q42:T42)</f>
        <v>136.57599999999996</v>
      </c>
      <c r="CT42" s="75">
        <f>SUM(U42:X42)</f>
        <v>96.209000000000003</v>
      </c>
      <c r="CU42" s="75">
        <f>SUM(Y42:AB42)</f>
        <v>101.821</v>
      </c>
      <c r="CV42" s="75">
        <f>SUM(AC42:AF42)</f>
        <v>100.05100000000002</v>
      </c>
      <c r="CW42" s="75">
        <f>SUM(AG42:AJ42)</f>
        <v>122.17299999999999</v>
      </c>
      <c r="CX42" s="75">
        <f>SUM(AK42:AN42)</f>
        <v>149.096</v>
      </c>
      <c r="CY42" s="75">
        <f>SUM(AO42:AR42)</f>
        <v>153.65199999999999</v>
      </c>
      <c r="CZ42" s="75">
        <f>SUM(AS42:AV42)</f>
        <v>162.69999999999999</v>
      </c>
      <c r="DA42" s="193">
        <f>SUM(AW42:AZ42)</f>
        <v>185.79999999999998</v>
      </c>
      <c r="DB42" s="75">
        <f>SUM(BA42:BD42)</f>
        <v>195.10000000000002</v>
      </c>
      <c r="DC42" s="75">
        <f>SUM(BE42:BH42)</f>
        <v>195.1</v>
      </c>
      <c r="DD42" s="75">
        <f>SUM(BI42:BL42)</f>
        <v>205</v>
      </c>
      <c r="DE42" s="75">
        <f>SUM(BM42:BP42)</f>
        <v>213.86992410303449</v>
      </c>
      <c r="DF42" s="76">
        <f>SUM(BQ42:BT42)</f>
        <v>218.90008326480626</v>
      </c>
      <c r="DG42" s="42"/>
      <c r="DH42" s="42"/>
      <c r="DI42" s="42"/>
      <c r="DJ42" s="42"/>
      <c r="DK42"/>
      <c r="DL42"/>
      <c r="DM42"/>
      <c r="DN42"/>
      <c r="DO42"/>
      <c r="DP42"/>
      <c r="DQ42" s="42"/>
      <c r="DR42" s="42"/>
    </row>
    <row r="43" spans="1:122" s="42" customFormat="1" ht="14.25" hidden="1" outlineLevel="1">
      <c r="B43" s="19" t="s">
        <v>237</v>
      </c>
      <c r="C43" s="34"/>
      <c r="D43" s="20">
        <f t="shared" ref="D43:S43" si="234">D42/D8</f>
        <v>0.1264217136721725</v>
      </c>
      <c r="E43" s="21">
        <f t="shared" si="234"/>
        <v>0.12671258991891413</v>
      </c>
      <c r="F43" s="21">
        <f t="shared" si="234"/>
        <v>0.13123256479736881</v>
      </c>
      <c r="G43" s="37">
        <f t="shared" si="234"/>
        <v>0.17015703316625791</v>
      </c>
      <c r="H43" s="21">
        <f t="shared" si="234"/>
        <v>0.11627681202457912</v>
      </c>
      <c r="I43" s="21">
        <f t="shared" si="234"/>
        <v>0.12303306789628879</v>
      </c>
      <c r="J43" s="21">
        <f t="shared" si="234"/>
        <v>0.12775283662122605</v>
      </c>
      <c r="K43" s="37">
        <f t="shared" si="234"/>
        <v>0.128836550234561</v>
      </c>
      <c r="L43" s="21">
        <f t="shared" si="234"/>
        <v>0.12365552325581396</v>
      </c>
      <c r="M43" s="21">
        <f t="shared" si="234"/>
        <v>0.23732537765781125</v>
      </c>
      <c r="N43" s="21">
        <f t="shared" si="234"/>
        <v>0.1344161811081177</v>
      </c>
      <c r="O43" s="37">
        <f t="shared" si="234"/>
        <v>9.1034337353777237E-2</v>
      </c>
      <c r="P43" s="21">
        <f t="shared" si="234"/>
        <v>0.11724694314887181</v>
      </c>
      <c r="Q43" s="21">
        <f t="shared" si="234"/>
        <v>0.13879741300193268</v>
      </c>
      <c r="R43" s="21">
        <f t="shared" si="234"/>
        <v>0.13363070771042027</v>
      </c>
      <c r="S43" s="37">
        <f t="shared" si="234"/>
        <v>0.31328152102437173</v>
      </c>
      <c r="T43" s="21">
        <f>T42/T8</f>
        <v>0.12257307554966076</v>
      </c>
      <c r="U43" s="21">
        <f>U42/U8</f>
        <v>0.13179068864102991</v>
      </c>
      <c r="V43" s="21">
        <f>V42/V8</f>
        <v>0.14209654384461581</v>
      </c>
      <c r="W43" s="37">
        <f>W42/W8</f>
        <v>0.11707813960326388</v>
      </c>
      <c r="X43" s="21">
        <f t="shared" ref="X43:AW43" si="235">X42/X8</f>
        <v>0.12010943652539033</v>
      </c>
      <c r="Y43" s="21">
        <f t="shared" si="235"/>
        <v>0.11574156701766911</v>
      </c>
      <c r="Z43" s="21">
        <f t="shared" si="235"/>
        <v>0.12069606430927932</v>
      </c>
      <c r="AA43" s="21">
        <f t="shared" si="235"/>
        <v>0.10921200863410817</v>
      </c>
      <c r="AB43" s="20">
        <f t="shared" si="235"/>
        <v>0.12891241889757785</v>
      </c>
      <c r="AC43" s="21">
        <f t="shared" si="235"/>
        <v>0.13176484189837562</v>
      </c>
      <c r="AD43" s="21">
        <f t="shared" si="235"/>
        <v>0.12663887915570593</v>
      </c>
      <c r="AE43" s="21">
        <f t="shared" si="235"/>
        <v>0.11532527416654251</v>
      </c>
      <c r="AF43" s="20">
        <f t="shared" si="235"/>
        <v>0.10904470135189159</v>
      </c>
      <c r="AG43" s="21">
        <f t="shared" si="235"/>
        <v>0.11754278369136933</v>
      </c>
      <c r="AH43" s="21">
        <f t="shared" si="235"/>
        <v>0.10695064821876021</v>
      </c>
      <c r="AI43" s="21">
        <f t="shared" si="235"/>
        <v>0.10753535940347864</v>
      </c>
      <c r="AJ43" s="20">
        <f t="shared" si="235"/>
        <v>9.265636190021484E-2</v>
      </c>
      <c r="AK43" s="21">
        <f t="shared" si="235"/>
        <v>9.7307712400625662E-2</v>
      </c>
      <c r="AL43" s="21">
        <f t="shared" si="235"/>
        <v>9.9560485852699582E-2</v>
      </c>
      <c r="AM43" s="37">
        <f t="shared" si="235"/>
        <v>9.7115202974776049E-2</v>
      </c>
      <c r="AN43" s="20">
        <f t="shared" si="235"/>
        <v>0.10897800579062325</v>
      </c>
      <c r="AO43" s="21">
        <f t="shared" si="235"/>
        <v>0.11033206284789822</v>
      </c>
      <c r="AP43" s="21">
        <f t="shared" si="235"/>
        <v>9.6296505739799199E-2</v>
      </c>
      <c r="AQ43" s="37">
        <f t="shared" si="235"/>
        <v>8.9819122183356956E-2</v>
      </c>
      <c r="AR43" s="20">
        <f t="shared" si="235"/>
        <v>8.4033650487191525E-2</v>
      </c>
      <c r="AS43" s="21">
        <f t="shared" si="235"/>
        <v>9.3367826904985893E-2</v>
      </c>
      <c r="AT43" s="21">
        <f t="shared" si="235"/>
        <v>9.2409997706947938E-2</v>
      </c>
      <c r="AU43" s="37">
        <f t="shared" si="235"/>
        <v>8.721174004192872E-2</v>
      </c>
      <c r="AV43" s="20">
        <f t="shared" si="235"/>
        <v>8.1353919239904995E-2</v>
      </c>
      <c r="AW43" s="21">
        <f t="shared" si="235"/>
        <v>8.7110187110187101E-2</v>
      </c>
      <c r="AX43" s="21">
        <f t="shared" ref="AX43:BC43" si="236">AX42/AX8</f>
        <v>7.802385008517887E-2</v>
      </c>
      <c r="AY43" s="37">
        <f t="shared" si="236"/>
        <v>6.9896964633806735E-2</v>
      </c>
      <c r="AZ43" s="20">
        <f t="shared" si="236"/>
        <v>5.946617008069522E-2</v>
      </c>
      <c r="BA43" s="21">
        <f t="shared" si="236"/>
        <v>6.2196562130953939E-2</v>
      </c>
      <c r="BB43" s="21">
        <f t="shared" si="236"/>
        <v>6.0000000000000005E-2</v>
      </c>
      <c r="BC43" s="37">
        <f t="shared" si="236"/>
        <v>5.3814713896457783E-2</v>
      </c>
      <c r="BD43" s="20">
        <f t="shared" ref="BD43:BI43" si="237">BD42/BD8</f>
        <v>5.5783340526542949E-2</v>
      </c>
      <c r="BE43" s="21">
        <f t="shared" si="237"/>
        <v>5.6766868791123727E-2</v>
      </c>
      <c r="BF43" s="21">
        <f t="shared" si="237"/>
        <v>6.2391911666888379E-2</v>
      </c>
      <c r="BG43" s="37">
        <f t="shared" si="237"/>
        <v>6.3801771606416091E-2</v>
      </c>
      <c r="BH43" s="20">
        <f t="shared" si="237"/>
        <v>5.5671005140544683E-2</v>
      </c>
      <c r="BI43" s="859">
        <f t="shared" si="237"/>
        <v>5.6123048021603845E-2</v>
      </c>
      <c r="BJ43" s="859">
        <f t="shared" ref="BJ43:BS43" si="238">BJ42/BJ8</f>
        <v>5.4951154529307288E-2</v>
      </c>
      <c r="BK43" s="885">
        <f t="shared" si="238"/>
        <v>5.7282145033516148E-2</v>
      </c>
      <c r="BL43" s="880">
        <f t="shared" si="238"/>
        <v>4.87688943815952E-2</v>
      </c>
      <c r="BM43" s="881">
        <f t="shared" si="238"/>
        <v>5.8037570015959057E-2</v>
      </c>
      <c r="BN43" s="881">
        <f t="shared" si="238"/>
        <v>5.9193993317241574E-2</v>
      </c>
      <c r="BO43" s="885">
        <f t="shared" si="238"/>
        <v>5.2814181501564514E-2</v>
      </c>
      <c r="BP43" s="20">
        <f t="shared" si="238"/>
        <v>5.176974441387798E-2</v>
      </c>
      <c r="BQ43" s="859">
        <f t="shared" si="238"/>
        <v>5.4312996417987286E-2</v>
      </c>
      <c r="BR43" s="21">
        <f t="shared" si="238"/>
        <v>5.4304939539971647E-2</v>
      </c>
      <c r="BS43" s="37">
        <f t="shared" si="238"/>
        <v>5.2968411231642504E-2</v>
      </c>
      <c r="BT43" s="880">
        <f t="shared" ref="BT43:BW43" si="239">BT42/BT8</f>
        <v>5.1896166458605973E-2</v>
      </c>
      <c r="BU43" s="881">
        <f t="shared" si="239"/>
        <v>5.3386624845220845E-2</v>
      </c>
      <c r="BV43" s="881">
        <f t="shared" si="239"/>
        <v>5.3112302477367743E-2</v>
      </c>
      <c r="BW43" s="885">
        <f t="shared" si="239"/>
        <v>5.1513848506213128E-2</v>
      </c>
      <c r="BX43" s="841"/>
      <c r="BY43" s="20">
        <f>BY42/BY8</f>
        <v>0.13828669659058351</v>
      </c>
      <c r="BZ43" s="21">
        <f>BZ42/BZ8</f>
        <v>0.12438665702409242</v>
      </c>
      <c r="CA43" s="21">
        <f>CA42/CA8</f>
        <v>0.13007795590701829</v>
      </c>
      <c r="CB43" s="21">
        <f>CB42/CB8</f>
        <v>0.17551017770597738</v>
      </c>
      <c r="CC43" s="21">
        <f>CC42/CC8</f>
        <v>0.128009124441856</v>
      </c>
      <c r="CD43" s="21">
        <f t="shared" ref="CD43:CJ43" si="240">CD42/CD8</f>
        <v>0.11628491064711512</v>
      </c>
      <c r="CE43" s="21">
        <f t="shared" si="240"/>
        <v>0.12512319690197951</v>
      </c>
      <c r="CF43" s="21">
        <f t="shared" si="240"/>
        <v>0.10995298778092809</v>
      </c>
      <c r="CG43" s="21">
        <f t="shared" si="240"/>
        <v>9.6719904265350737E-2</v>
      </c>
      <c r="CH43" s="21">
        <f t="shared" si="240"/>
        <v>0.10100402848179341</v>
      </c>
      <c r="CI43" s="37">
        <f t="shared" si="240"/>
        <v>8.9132784568055207E-2</v>
      </c>
      <c r="CJ43" s="880">
        <f t="shared" si="240"/>
        <v>7.8118181024701056E-2</v>
      </c>
      <c r="CK43" s="881">
        <f t="shared" ref="CK43:CP43" si="241">CK42/CK8</f>
        <v>5.8709796219003199E-2</v>
      </c>
      <c r="CL43" s="881">
        <f t="shared" si="241"/>
        <v>5.9562176953481288E-2</v>
      </c>
      <c r="CM43" s="881">
        <f t="shared" si="241"/>
        <v>5.6033302295010128E-2</v>
      </c>
      <c r="CN43" s="881">
        <f t="shared" si="241"/>
        <v>5.4370450719084321E-2</v>
      </c>
      <c r="CO43" s="881">
        <f t="shared" si="241"/>
        <v>5.3295413138492884E-2</v>
      </c>
      <c r="CP43" s="885">
        <f t="shared" si="241"/>
        <v>5.2449138034197242E-2</v>
      </c>
      <c r="CQ43" s="107"/>
      <c r="CR43" s="20">
        <f>CR42/CR8</f>
        <v>0.12861047374814413</v>
      </c>
      <c r="CS43" s="21">
        <f>CS42/CS8</f>
        <v>0.17703689780998241</v>
      </c>
      <c r="CT43" s="21">
        <f>CT42/CT8</f>
        <v>0.12721901706717514</v>
      </c>
      <c r="CU43" s="21">
        <f t="shared" ref="CU43:CZ43" si="242">CU42/CU8</f>
        <v>0.11843617397454032</v>
      </c>
      <c r="CV43" s="21">
        <f t="shared" si="242"/>
        <v>0.11946573499051331</v>
      </c>
      <c r="CW43" s="21">
        <f t="shared" si="242"/>
        <v>0.10515556909739884</v>
      </c>
      <c r="CX43" s="21">
        <f t="shared" si="242"/>
        <v>0.10090812985349994</v>
      </c>
      <c r="CY43" s="21">
        <f t="shared" si="242"/>
        <v>9.4348149658226493E-2</v>
      </c>
      <c r="CZ43" s="21">
        <f t="shared" si="242"/>
        <v>8.825603471657173E-2</v>
      </c>
      <c r="DA43" s="880">
        <f t="shared" ref="DA43:DF43" si="243">DA42/DA8</f>
        <v>7.1690396264999803E-2</v>
      </c>
      <c r="DB43" s="881">
        <f t="shared" si="243"/>
        <v>5.7727017190874939E-2</v>
      </c>
      <c r="DC43" s="881">
        <f t="shared" si="243"/>
        <v>5.9545246452006713E-2</v>
      </c>
      <c r="DD43" s="881">
        <f t="shared" si="243"/>
        <v>5.4103985220374767E-2</v>
      </c>
      <c r="DE43" s="881">
        <f t="shared" si="243"/>
        <v>5.5169823393258308E-2</v>
      </c>
      <c r="DF43" s="885">
        <f t="shared" si="243"/>
        <v>5.3320788447961572E-2</v>
      </c>
      <c r="DG43" s="7"/>
      <c r="DH43" s="7"/>
      <c r="DI43" s="7"/>
      <c r="DJ43" s="7"/>
      <c r="DK43"/>
      <c r="DL43"/>
      <c r="DM43"/>
      <c r="DN43"/>
      <c r="DO43"/>
      <c r="DP43"/>
      <c r="DQ43" s="7"/>
      <c r="DR43" s="7"/>
    </row>
    <row r="44" spans="1:122" s="42" customFormat="1" ht="14.25" hidden="1" outlineLevel="1">
      <c r="B44" s="19" t="s">
        <v>382</v>
      </c>
      <c r="C44" s="34"/>
      <c r="D44" s="20"/>
      <c r="E44" s="21"/>
      <c r="F44" s="21"/>
      <c r="G44" s="37"/>
      <c r="H44" s="21"/>
      <c r="I44" s="21"/>
      <c r="J44" s="21"/>
      <c r="K44" s="37"/>
      <c r="L44" s="21"/>
      <c r="M44" s="21"/>
      <c r="N44" s="21"/>
      <c r="O44" s="37"/>
      <c r="P44" s="21"/>
      <c r="Q44" s="21"/>
      <c r="R44" s="21"/>
      <c r="S44" s="37"/>
      <c r="T44" s="21"/>
      <c r="U44" s="21"/>
      <c r="V44" s="21"/>
      <c r="W44" s="37"/>
      <c r="X44" s="21"/>
      <c r="Y44" s="21"/>
      <c r="Z44" s="21"/>
      <c r="AA44" s="21"/>
      <c r="AB44" s="20"/>
      <c r="AC44" s="21"/>
      <c r="AD44" s="21"/>
      <c r="AE44" s="21"/>
      <c r="AF44" s="20"/>
      <c r="AG44" s="21"/>
      <c r="AH44" s="21"/>
      <c r="AI44" s="21"/>
      <c r="AJ44" s="20"/>
      <c r="AK44" s="21"/>
      <c r="AL44" s="21"/>
      <c r="AM44" s="37"/>
      <c r="AN44" s="20"/>
      <c r="AO44" s="21"/>
      <c r="AP44" s="21"/>
      <c r="AQ44" s="37"/>
      <c r="AR44" s="20"/>
      <c r="AS44" s="21"/>
      <c r="AT44" s="21"/>
      <c r="AU44" s="37"/>
      <c r="AV44" s="20"/>
      <c r="AW44" s="21"/>
      <c r="AX44" s="21"/>
      <c r="AY44" s="37"/>
      <c r="AZ44" s="20"/>
      <c r="BA44" s="21"/>
      <c r="BB44" s="21"/>
      <c r="BC44" s="37"/>
      <c r="BD44" s="20"/>
      <c r="BE44" s="21"/>
      <c r="BF44" s="21"/>
      <c r="BG44" s="37"/>
      <c r="BH44" s="20"/>
      <c r="BI44" s="859"/>
      <c r="BJ44" s="859"/>
      <c r="BK44" s="885"/>
      <c r="BL44" s="880"/>
      <c r="BM44" s="972">
        <v>-0.15</v>
      </c>
      <c r="BN44" s="920">
        <v>0.5</v>
      </c>
      <c r="BO44" s="923">
        <v>0.32</v>
      </c>
      <c r="BP44" s="871">
        <v>0.5</v>
      </c>
      <c r="BQ44" s="868">
        <v>0.5</v>
      </c>
      <c r="BR44" s="920">
        <v>0.5</v>
      </c>
      <c r="BS44" s="923">
        <v>0.65</v>
      </c>
      <c r="BT44" s="904">
        <v>0.5</v>
      </c>
      <c r="BU44" s="883">
        <v>0.5</v>
      </c>
      <c r="BV44" s="883">
        <v>0.6</v>
      </c>
      <c r="BW44" s="883">
        <v>0.6</v>
      </c>
      <c r="BX44" s="841"/>
      <c r="BY44" s="20"/>
      <c r="BZ44" s="21"/>
      <c r="CA44" s="21"/>
      <c r="CB44" s="21"/>
      <c r="CC44" s="21"/>
      <c r="CD44" s="21"/>
      <c r="CE44" s="21"/>
      <c r="CF44" s="21"/>
      <c r="CG44" s="21"/>
      <c r="CH44" s="21"/>
      <c r="CI44" s="37"/>
      <c r="CJ44" s="880"/>
      <c r="CK44" s="881"/>
      <c r="CL44" s="881"/>
      <c r="CM44" s="881"/>
      <c r="CN44" s="881"/>
      <c r="CO44" s="881"/>
      <c r="CP44" s="885"/>
      <c r="CQ44" s="107"/>
      <c r="CR44" s="20"/>
      <c r="CS44" s="21"/>
      <c r="CT44" s="21"/>
      <c r="CU44" s="21"/>
      <c r="CV44" s="21"/>
      <c r="CW44" s="21"/>
      <c r="CX44" s="21"/>
      <c r="CY44" s="21"/>
      <c r="CZ44" s="21"/>
      <c r="DA44" s="880"/>
      <c r="DB44" s="881"/>
      <c r="DC44" s="881"/>
      <c r="DD44" s="881"/>
      <c r="DE44" s="881"/>
      <c r="DF44" s="885"/>
      <c r="DG44" s="7"/>
      <c r="DH44" s="7"/>
      <c r="DI44" s="7"/>
      <c r="DJ44" s="7"/>
      <c r="DK44"/>
      <c r="DL44"/>
      <c r="DM44"/>
      <c r="DN44"/>
      <c r="DO44"/>
      <c r="DP44"/>
      <c r="DQ44" s="7"/>
      <c r="DR44" s="7"/>
    </row>
    <row r="45" spans="1:122" s="7" customFormat="1" ht="14.25" hidden="1" outlineLevel="1">
      <c r="A45" s="505"/>
      <c r="B45" s="25" t="s">
        <v>11</v>
      </c>
      <c r="C45" s="26"/>
      <c r="D45" s="27"/>
      <c r="E45" s="28"/>
      <c r="F45" s="28"/>
      <c r="G45" s="53"/>
      <c r="H45" s="28"/>
      <c r="I45" s="28"/>
      <c r="J45" s="28"/>
      <c r="K45" s="53"/>
      <c r="L45" s="28"/>
      <c r="M45" s="28"/>
      <c r="N45" s="28"/>
      <c r="O45" s="53"/>
      <c r="P45" s="28">
        <v>1.2629999999999999</v>
      </c>
      <c r="Q45" s="28">
        <v>1.4970000000000001</v>
      </c>
      <c r="R45" s="28">
        <v>1.5329999999999999</v>
      </c>
      <c r="S45" s="53">
        <v>1.43</v>
      </c>
      <c r="T45" s="28">
        <v>1.415</v>
      </c>
      <c r="U45" s="28">
        <v>2.1469999999999998</v>
      </c>
      <c r="V45" s="28">
        <v>1.625</v>
      </c>
      <c r="W45" s="53">
        <f>6.873-V45-U45-T45</f>
        <v>1.6860000000000004</v>
      </c>
      <c r="X45" s="28">
        <v>2.9729999999999994</v>
      </c>
      <c r="Y45" s="28">
        <v>2.3659999999999997</v>
      </c>
      <c r="Z45" s="28">
        <v>3.0609999999999999</v>
      </c>
      <c r="AA45" s="28">
        <v>3.1379999999999999</v>
      </c>
      <c r="AB45" s="27">
        <v>3.98</v>
      </c>
      <c r="AC45" s="28">
        <v>2.2360000000000002</v>
      </c>
      <c r="AD45" s="28">
        <v>3.3460000000000001</v>
      </c>
      <c r="AE45" s="28">
        <v>4.4749999999999996</v>
      </c>
      <c r="AF45" s="27">
        <v>5.2969999999999997</v>
      </c>
      <c r="AG45" s="28">
        <v>6.0760000000000005</v>
      </c>
      <c r="AH45" s="28">
        <v>6.6139999999999999</v>
      </c>
      <c r="AI45" s="28">
        <f>29.465-AH45-AG45-AF45</f>
        <v>11.477999999999998</v>
      </c>
      <c r="AJ45" s="27">
        <v>7.5359999999999996</v>
      </c>
      <c r="AK45" s="28">
        <v>14.864000000000001</v>
      </c>
      <c r="AL45" s="28">
        <v>8.1649999999999991</v>
      </c>
      <c r="AM45" s="53">
        <v>8.49</v>
      </c>
      <c r="AN45" s="27">
        <v>7.7</v>
      </c>
      <c r="AO45" s="522">
        <f>19.334*AN45/AN$107</f>
        <v>9.4121388379591586</v>
      </c>
      <c r="AP45" s="28">
        <v>8.1</v>
      </c>
      <c r="AQ45" s="53">
        <v>8.8000000000000007</v>
      </c>
      <c r="AR45" s="27">
        <v>7.9</v>
      </c>
      <c r="AS45" s="522">
        <v>8.1</v>
      </c>
      <c r="AT45" s="28">
        <v>8.4</v>
      </c>
      <c r="AU45" s="54">
        <f>33.3-AR45-AS45-AT45</f>
        <v>8.8999999999999968</v>
      </c>
      <c r="AV45" s="27">
        <v>8.6</v>
      </c>
      <c r="AW45" s="28">
        <v>9.4</v>
      </c>
      <c r="AX45" s="28">
        <v>10</v>
      </c>
      <c r="AY45" s="53">
        <v>10.5</v>
      </c>
      <c r="AZ45" s="27">
        <v>8.6999999999999993</v>
      </c>
      <c r="BA45" s="28">
        <v>10.6</v>
      </c>
      <c r="BB45" s="28">
        <v>10.6</v>
      </c>
      <c r="BC45" s="53">
        <v>10</v>
      </c>
      <c r="BD45" s="27">
        <v>7.5</v>
      </c>
      <c r="BE45" s="28">
        <v>7.2</v>
      </c>
      <c r="BF45" s="28">
        <f>(17.9-BF16-BF17)/2</f>
        <v>6.9499999999999993</v>
      </c>
      <c r="BG45" s="53">
        <v>9.5</v>
      </c>
      <c r="BH45" s="27">
        <v>9.5</v>
      </c>
      <c r="BI45" s="28">
        <v>10.199999999999999</v>
      </c>
      <c r="BJ45" s="28">
        <v>8.6</v>
      </c>
      <c r="BK45" s="53">
        <v>10</v>
      </c>
      <c r="BL45" s="27">
        <v>10.5</v>
      </c>
      <c r="BM45" s="29">
        <f t="shared" ref="BM45:BO47" si="244">BL45</f>
        <v>10.5</v>
      </c>
      <c r="BN45" s="29">
        <f t="shared" si="244"/>
        <v>10.5</v>
      </c>
      <c r="BO45" s="388">
        <f t="shared" si="244"/>
        <v>10.5</v>
      </c>
      <c r="BP45" s="833">
        <f t="shared" ref="BP45:BS47" si="245">BO45</f>
        <v>10.5</v>
      </c>
      <c r="BQ45" s="29">
        <f t="shared" si="245"/>
        <v>10.5</v>
      </c>
      <c r="BR45" s="29">
        <f t="shared" si="245"/>
        <v>10.5</v>
      </c>
      <c r="BS45" s="388">
        <f t="shared" si="245"/>
        <v>10.5</v>
      </c>
      <c r="BT45" s="833">
        <f t="shared" ref="BT45:BT47" si="246">BS45</f>
        <v>10.5</v>
      </c>
      <c r="BU45" s="29">
        <f t="shared" ref="BU45:BU47" si="247">BT45</f>
        <v>10.5</v>
      </c>
      <c r="BV45" s="29">
        <f t="shared" ref="BV45:BV47" si="248">BU45</f>
        <v>10.5</v>
      </c>
      <c r="BW45" s="388">
        <f t="shared" ref="BW45:BW47" si="249">BV45</f>
        <v>10.5</v>
      </c>
      <c r="BX45" s="106"/>
      <c r="BY45" s="30">
        <f>SUM(D45:G45)</f>
        <v>0</v>
      </c>
      <c r="BZ45" s="31">
        <f>SUM(H45:K45)</f>
        <v>0</v>
      </c>
      <c r="CA45" s="31">
        <f>SUM(L45:O45)</f>
        <v>0</v>
      </c>
      <c r="CB45" s="31">
        <f>SUM(P45:S45)</f>
        <v>5.722999999999999</v>
      </c>
      <c r="CC45" s="31">
        <f>SUM(T45:W45)</f>
        <v>6.8729999999999993</v>
      </c>
      <c r="CD45" s="31">
        <f>SUM(X45:AA45)</f>
        <v>11.537999999999998</v>
      </c>
      <c r="CE45" s="31">
        <f>SUM(AB45:AE45)</f>
        <v>14.037000000000001</v>
      </c>
      <c r="CF45" s="31">
        <f>SUM(AF45:AI45)</f>
        <v>29.465</v>
      </c>
      <c r="CG45" s="31">
        <f>SUM(AJ45:AM45)</f>
        <v>39.055</v>
      </c>
      <c r="CH45" s="31">
        <f>SUM(AN45:AQ45)</f>
        <v>34.012138837959156</v>
      </c>
      <c r="CI45" s="32">
        <f>SUM(AR45:AU45)</f>
        <v>33.299999999999997</v>
      </c>
      <c r="CJ45" s="30">
        <f>SUM(AV45:AY45)</f>
        <v>38.5</v>
      </c>
      <c r="CK45" s="31">
        <f>SUM(AZ45:BC45)</f>
        <v>39.9</v>
      </c>
      <c r="CL45" s="31">
        <f>SUM(BD45:BG45)</f>
        <v>31.15</v>
      </c>
      <c r="CM45" s="31">
        <f>SUM(BH45:BK45)</f>
        <v>38.299999999999997</v>
      </c>
      <c r="CN45" s="31">
        <f>SUM(BL45:BO45)</f>
        <v>42</v>
      </c>
      <c r="CO45" s="31">
        <f>SUM(BP45:BS45)</f>
        <v>42</v>
      </c>
      <c r="CP45" s="32">
        <f>SUM(BT45:BW45)</f>
        <v>42</v>
      </c>
      <c r="CQ45" s="106"/>
      <c r="CR45" s="193">
        <f>SUM(M45:P45)</f>
        <v>1.2629999999999999</v>
      </c>
      <c r="CS45" s="75">
        <f>SUM(Q45:T45)</f>
        <v>5.875</v>
      </c>
      <c r="CT45" s="75">
        <f>SUM(U45:X45)</f>
        <v>8.4309999999999992</v>
      </c>
      <c r="CU45" s="75">
        <f>SUM(Y45:AB45)</f>
        <v>12.545</v>
      </c>
      <c r="CV45" s="75">
        <f>SUM(AC45:AF45)</f>
        <v>15.353999999999999</v>
      </c>
      <c r="CW45" s="75">
        <f>SUM(AG45:AJ45)</f>
        <v>31.704000000000001</v>
      </c>
      <c r="CX45" s="75">
        <f>SUM(AK45:AN45)</f>
        <v>39.219000000000001</v>
      </c>
      <c r="CY45" s="75">
        <f>SUM(AO45:AR45)</f>
        <v>34.212138837959159</v>
      </c>
      <c r="CZ45" s="75">
        <f>SUM(AS45:AV45)</f>
        <v>34</v>
      </c>
      <c r="DA45" s="193">
        <f>SUM(AW45:AZ45)</f>
        <v>38.599999999999994</v>
      </c>
      <c r="DB45" s="75">
        <f>SUM(BA45:BD45)</f>
        <v>38.700000000000003</v>
      </c>
      <c r="DC45" s="75">
        <f>SUM(BE45:BH45)</f>
        <v>33.15</v>
      </c>
      <c r="DD45" s="75">
        <f>SUM(BI45:BL45)</f>
        <v>39.299999999999997</v>
      </c>
      <c r="DE45" s="75">
        <f>SUM(BM45:BP45)</f>
        <v>42</v>
      </c>
      <c r="DF45" s="76">
        <f>SUM(BQ45:BT45)</f>
        <v>42</v>
      </c>
      <c r="DK45"/>
      <c r="DL45"/>
      <c r="DM45"/>
      <c r="DN45"/>
      <c r="DO45"/>
      <c r="DP45"/>
    </row>
    <row r="46" spans="1:122" s="7" customFormat="1" ht="14.25" hidden="1" outlineLevel="1">
      <c r="A46" s="505"/>
      <c r="B46" s="25" t="s">
        <v>238</v>
      </c>
      <c r="C46" s="26"/>
      <c r="D46" s="27">
        <v>0.95699999999999996</v>
      </c>
      <c r="E46" s="28">
        <v>3.8490000000000002</v>
      </c>
      <c r="F46" s="28">
        <v>0.29599999999999999</v>
      </c>
      <c r="G46" s="53">
        <f>-0.823+0.449</f>
        <v>-0.37399999999999994</v>
      </c>
      <c r="H46" s="28"/>
      <c r="I46" s="28"/>
      <c r="J46" s="28"/>
      <c r="K46" s="53">
        <v>0</v>
      </c>
      <c r="L46" s="28"/>
      <c r="M46" s="28"/>
      <c r="N46" s="28"/>
      <c r="O46" s="28">
        <v>0.26700000000000002</v>
      </c>
      <c r="P46" s="27">
        <v>0.19600000000000001</v>
      </c>
      <c r="Q46" s="28"/>
      <c r="R46" s="28"/>
      <c r="S46" s="53">
        <v>35.137999999999998</v>
      </c>
      <c r="T46" s="28"/>
      <c r="U46" s="28"/>
      <c r="V46" s="28">
        <v>1.2869999999999999</v>
      </c>
      <c r="W46" s="53">
        <v>0</v>
      </c>
      <c r="X46" s="28">
        <v>0</v>
      </c>
      <c r="Y46" s="28">
        <v>-0.502</v>
      </c>
      <c r="Z46" s="28">
        <v>0</v>
      </c>
      <c r="AA46" s="28">
        <f>-0.823+0.449</f>
        <v>-0.37399999999999994</v>
      </c>
      <c r="AB46" s="27">
        <f>-0.249+0.163</f>
        <v>-8.5999999999999993E-2</v>
      </c>
      <c r="AC46" s="28">
        <f>-0.15+0.163</f>
        <v>1.3000000000000012E-2</v>
      </c>
      <c r="AD46" s="28">
        <f>-0.124+0.164</f>
        <v>4.0000000000000008E-2</v>
      </c>
      <c r="AE46" s="28">
        <v>0.24199999999999999</v>
      </c>
      <c r="AF46" s="27">
        <v>0.17299999999999999</v>
      </c>
      <c r="AG46" s="28">
        <v>0.17299999999999999</v>
      </c>
      <c r="AH46" s="28">
        <v>0.17299999999999999</v>
      </c>
      <c r="AI46" s="28">
        <v>0.23300000000000001</v>
      </c>
      <c r="AJ46" s="27">
        <v>0</v>
      </c>
      <c r="AK46" s="28">
        <v>0</v>
      </c>
      <c r="AL46" s="28">
        <v>0</v>
      </c>
      <c r="AM46" s="53">
        <v>0</v>
      </c>
      <c r="AN46" s="27">
        <v>0</v>
      </c>
      <c r="AO46" s="28">
        <v>0</v>
      </c>
      <c r="AP46" s="28">
        <v>0</v>
      </c>
      <c r="AQ46" s="53">
        <v>0</v>
      </c>
      <c r="AR46" s="27">
        <v>0</v>
      </c>
      <c r="AS46" s="28">
        <v>0</v>
      </c>
      <c r="AT46" s="28">
        <v>0.1</v>
      </c>
      <c r="AU46" s="53">
        <v>0</v>
      </c>
      <c r="AV46" s="27">
        <v>0</v>
      </c>
      <c r="AW46" s="28">
        <v>0</v>
      </c>
      <c r="AX46" s="28">
        <v>0</v>
      </c>
      <c r="AY46" s="53">
        <v>2.4</v>
      </c>
      <c r="AZ46" s="27">
        <v>3.3</v>
      </c>
      <c r="BA46" s="28">
        <v>0</v>
      </c>
      <c r="BB46" s="28">
        <v>0</v>
      </c>
      <c r="BC46" s="53">
        <f>2.3</f>
        <v>2.2999999999999998</v>
      </c>
      <c r="BD46" s="27">
        <f>2.7+1.7</f>
        <v>4.4000000000000004</v>
      </c>
      <c r="BE46" s="28">
        <v>0</v>
      </c>
      <c r="BF46" s="28">
        <v>0</v>
      </c>
      <c r="BG46" s="53">
        <f>0.4+0.3</f>
        <v>0.7</v>
      </c>
      <c r="BH46" s="27">
        <f>1.7</f>
        <v>1.7</v>
      </c>
      <c r="BI46" s="28">
        <v>0</v>
      </c>
      <c r="BJ46" s="28">
        <v>0</v>
      </c>
      <c r="BK46" s="53">
        <v>0</v>
      </c>
      <c r="BL46" s="27">
        <v>0.7</v>
      </c>
      <c r="BM46" s="29">
        <v>0</v>
      </c>
      <c r="BN46" s="29">
        <f t="shared" si="244"/>
        <v>0</v>
      </c>
      <c r="BO46" s="388">
        <f t="shared" si="244"/>
        <v>0</v>
      </c>
      <c r="BP46" s="833">
        <f t="shared" si="245"/>
        <v>0</v>
      </c>
      <c r="BQ46" s="29">
        <f t="shared" si="245"/>
        <v>0</v>
      </c>
      <c r="BR46" s="29">
        <f t="shared" si="245"/>
        <v>0</v>
      </c>
      <c r="BS46" s="388">
        <f t="shared" si="245"/>
        <v>0</v>
      </c>
      <c r="BT46" s="833">
        <f t="shared" si="246"/>
        <v>0</v>
      </c>
      <c r="BU46" s="29">
        <f t="shared" si="247"/>
        <v>0</v>
      </c>
      <c r="BV46" s="29">
        <f t="shared" si="248"/>
        <v>0</v>
      </c>
      <c r="BW46" s="388">
        <f t="shared" si="249"/>
        <v>0</v>
      </c>
      <c r="BX46" s="106"/>
      <c r="BY46" s="30">
        <f>SUM(D46:G46)</f>
        <v>4.7280000000000006</v>
      </c>
      <c r="BZ46" s="31">
        <f>SUM(H46:K46)</f>
        <v>0</v>
      </c>
      <c r="CA46" s="31">
        <f>SUM(L46:O46)</f>
        <v>0.26700000000000002</v>
      </c>
      <c r="CB46" s="31">
        <f>SUM(P46:S46)</f>
        <v>35.333999999999996</v>
      </c>
      <c r="CC46" s="31">
        <f>SUM(T46:W46)</f>
        <v>1.2869999999999999</v>
      </c>
      <c r="CD46" s="31">
        <f>SUM(X46:AA46)</f>
        <v>-0.87599999999999989</v>
      </c>
      <c r="CE46" s="31">
        <f>SUM(AB46:AE46)</f>
        <v>0.20900000000000002</v>
      </c>
      <c r="CF46" s="31">
        <f>SUM(AF46:AI46)</f>
        <v>0.75199999999999989</v>
      </c>
      <c r="CG46" s="31">
        <f>SUM(AJ46:AM46)</f>
        <v>0</v>
      </c>
      <c r="CH46" s="31">
        <f>SUM(AN46:AQ46)</f>
        <v>0</v>
      </c>
      <c r="CI46" s="32">
        <f>SUM(AR46:AU46)</f>
        <v>0.1</v>
      </c>
      <c r="CJ46" s="30">
        <f>SUM(AV46:AY46)</f>
        <v>2.4</v>
      </c>
      <c r="CK46" s="31">
        <f>SUM(AZ46:BC46)</f>
        <v>5.6</v>
      </c>
      <c r="CL46" s="31">
        <f>SUM(BD46:BG46)</f>
        <v>5.1000000000000005</v>
      </c>
      <c r="CM46" s="31">
        <f>SUM(BH46:BK46)</f>
        <v>1.7</v>
      </c>
      <c r="CN46" s="31">
        <f>SUM(BL46:BO46)</f>
        <v>0.7</v>
      </c>
      <c r="CO46" s="31">
        <f>SUM(BP46:BS46)</f>
        <v>0</v>
      </c>
      <c r="CP46" s="32">
        <f>SUM(BT46:BW46)</f>
        <v>0</v>
      </c>
      <c r="CQ46" s="106"/>
      <c r="CR46" s="193">
        <f>SUM(M46:P46)</f>
        <v>0.46300000000000002</v>
      </c>
      <c r="CS46" s="75">
        <f>SUM(Q46:T46)</f>
        <v>35.137999999999998</v>
      </c>
      <c r="CT46" s="75">
        <f>SUM(U46:X46)</f>
        <v>1.2869999999999999</v>
      </c>
      <c r="CU46" s="75">
        <f>SUM(Y46:AB46)</f>
        <v>-0.96199999999999986</v>
      </c>
      <c r="CV46" s="75">
        <f>SUM(AC46:AF46)</f>
        <v>0.46800000000000003</v>
      </c>
      <c r="CW46" s="75">
        <f>SUM(AG46:AJ46)</f>
        <v>0.57899999999999996</v>
      </c>
      <c r="CX46" s="75">
        <f>SUM(AK46:AN46)</f>
        <v>0</v>
      </c>
      <c r="CY46" s="75">
        <f>SUM(AO46:AR46)</f>
        <v>0</v>
      </c>
      <c r="CZ46" s="75">
        <f>SUM(AS46:AV46)</f>
        <v>0.1</v>
      </c>
      <c r="DA46" s="193">
        <f>SUM(AW46:AZ46)</f>
        <v>5.6999999999999993</v>
      </c>
      <c r="DB46" s="75">
        <f>SUM(BA46:BD46)</f>
        <v>6.7</v>
      </c>
      <c r="DC46" s="75">
        <f>SUM(BE46:BH46)</f>
        <v>2.4</v>
      </c>
      <c r="DD46" s="75">
        <f>SUM(BI46:BL46)</f>
        <v>0.7</v>
      </c>
      <c r="DE46" s="75">
        <f>SUM(BM46:BP46)</f>
        <v>0</v>
      </c>
      <c r="DF46" s="76">
        <f>SUM(BQ46:BT46)</f>
        <v>0</v>
      </c>
      <c r="DK46"/>
      <c r="DL46"/>
      <c r="DM46"/>
      <c r="DN46"/>
      <c r="DO46"/>
      <c r="DP46"/>
    </row>
    <row r="47" spans="1:122" s="7" customFormat="1" ht="14.25" hidden="1" outlineLevel="1">
      <c r="A47" s="505"/>
      <c r="B47" s="25" t="s">
        <v>12</v>
      </c>
      <c r="C47" s="26"/>
      <c r="D47" s="27"/>
      <c r="E47" s="28"/>
      <c r="F47" s="28"/>
      <c r="G47" s="28"/>
      <c r="H47" s="27"/>
      <c r="I47" s="28"/>
      <c r="J47" s="28"/>
      <c r="K47" s="53"/>
      <c r="L47" s="28"/>
      <c r="M47" s="28"/>
      <c r="N47" s="28"/>
      <c r="O47" s="28"/>
      <c r="P47" s="27"/>
      <c r="Q47" s="28"/>
      <c r="R47" s="28"/>
      <c r="S47" s="53"/>
      <c r="T47" s="28"/>
      <c r="U47" s="28"/>
      <c r="V47" s="28"/>
      <c r="W47" s="28"/>
      <c r="X47" s="27"/>
      <c r="Y47" s="28"/>
      <c r="Z47" s="28"/>
      <c r="AA47" s="28"/>
      <c r="AB47" s="27"/>
      <c r="AC47" s="28"/>
      <c r="AD47" s="28"/>
      <c r="AE47" s="28"/>
      <c r="AF47" s="27"/>
      <c r="AG47" s="28"/>
      <c r="AH47" s="28"/>
      <c r="AI47" s="28"/>
      <c r="AJ47" s="27"/>
      <c r="AK47" s="28"/>
      <c r="AL47" s="28"/>
      <c r="AM47" s="53"/>
      <c r="AN47" s="27"/>
      <c r="AO47" s="28"/>
      <c r="AP47" s="28"/>
      <c r="AQ47" s="53"/>
      <c r="AR47" s="27"/>
      <c r="AS47" s="28"/>
      <c r="AT47" s="28"/>
      <c r="AU47" s="53"/>
      <c r="AV47" s="27"/>
      <c r="AW47" s="28"/>
      <c r="AX47" s="28"/>
      <c r="AY47" s="53"/>
      <c r="AZ47" s="27"/>
      <c r="BA47" s="28"/>
      <c r="BB47" s="28"/>
      <c r="BC47" s="53"/>
      <c r="BD47" s="27"/>
      <c r="BE47" s="28"/>
      <c r="BF47" s="28"/>
      <c r="BG47" s="53"/>
      <c r="BH47" s="27"/>
      <c r="BI47" s="28"/>
      <c r="BJ47" s="28"/>
      <c r="BK47" s="53"/>
      <c r="BL47" s="27"/>
      <c r="BM47" s="29">
        <f t="shared" si="244"/>
        <v>0</v>
      </c>
      <c r="BN47" s="29">
        <f t="shared" si="244"/>
        <v>0</v>
      </c>
      <c r="BO47" s="388">
        <f t="shared" si="244"/>
        <v>0</v>
      </c>
      <c r="BP47" s="833">
        <f t="shared" si="245"/>
        <v>0</v>
      </c>
      <c r="BQ47" s="29">
        <f t="shared" si="245"/>
        <v>0</v>
      </c>
      <c r="BR47" s="29">
        <f t="shared" si="245"/>
        <v>0</v>
      </c>
      <c r="BS47" s="388">
        <f t="shared" si="245"/>
        <v>0</v>
      </c>
      <c r="BT47" s="833">
        <f t="shared" si="246"/>
        <v>0</v>
      </c>
      <c r="BU47" s="29">
        <f t="shared" si="247"/>
        <v>0</v>
      </c>
      <c r="BV47" s="29">
        <f t="shared" si="248"/>
        <v>0</v>
      </c>
      <c r="BW47" s="388">
        <f t="shared" si="249"/>
        <v>0</v>
      </c>
      <c r="BX47" s="106"/>
      <c r="BY47" s="30">
        <f>SUM(D47:G47)</f>
        <v>0</v>
      </c>
      <c r="BZ47" s="31">
        <f>SUM(H47:K47)</f>
        <v>0</v>
      </c>
      <c r="CA47" s="31">
        <f>SUM(L47:O47)</f>
        <v>0</v>
      </c>
      <c r="CB47" s="31">
        <f>SUM(P47:S47)</f>
        <v>0</v>
      </c>
      <c r="CC47" s="31">
        <f>SUM(T47:W47)</f>
        <v>0</v>
      </c>
      <c r="CD47" s="31">
        <f>SUM(X47:AA47)</f>
        <v>0</v>
      </c>
      <c r="CE47" s="31">
        <f>SUM(AB47:AE47)</f>
        <v>0</v>
      </c>
      <c r="CF47" s="31">
        <f>SUM(AF47:AI47)</f>
        <v>0</v>
      </c>
      <c r="CG47" s="31">
        <f>SUM(AJ47:AM47)</f>
        <v>0</v>
      </c>
      <c r="CH47" s="31">
        <f>SUM(AN47:AQ47)</f>
        <v>0</v>
      </c>
      <c r="CI47" s="32">
        <f>SUM(AR47:AU47)</f>
        <v>0</v>
      </c>
      <c r="CJ47" s="30">
        <f>SUM(AV47:AY47)</f>
        <v>0</v>
      </c>
      <c r="CK47" s="31">
        <f>SUM(AZ47:BC47)</f>
        <v>0</v>
      </c>
      <c r="CL47" s="31">
        <f>SUM(BD47:BG47)</f>
        <v>0</v>
      </c>
      <c r="CM47" s="31">
        <f>SUM(BH47:BK47)</f>
        <v>0</v>
      </c>
      <c r="CN47" s="31">
        <f>SUM(BL47:BO47)</f>
        <v>0</v>
      </c>
      <c r="CO47" s="31">
        <f>SUM(BP47:BS47)</f>
        <v>0</v>
      </c>
      <c r="CP47" s="32">
        <f>SUM(BT47:BW47)</f>
        <v>0</v>
      </c>
      <c r="CQ47" s="106"/>
      <c r="CR47" s="193">
        <f>SUM(M47:P47)</f>
        <v>0</v>
      </c>
      <c r="CS47" s="75">
        <f>SUM(Q47:T47)</f>
        <v>0</v>
      </c>
      <c r="CT47" s="75">
        <f>SUM(U47:X47)</f>
        <v>0</v>
      </c>
      <c r="CU47" s="75">
        <f>SUM(Y47:AB47)</f>
        <v>0</v>
      </c>
      <c r="CV47" s="75">
        <f>SUM(AC47:AF47)</f>
        <v>0</v>
      </c>
      <c r="CW47" s="75">
        <f>SUM(AG47:AJ47)</f>
        <v>0</v>
      </c>
      <c r="CX47" s="75">
        <f>SUM(AK47:AN47)</f>
        <v>0</v>
      </c>
      <c r="CY47" s="75">
        <f>SUM(AO47:AR47)</f>
        <v>0</v>
      </c>
      <c r="CZ47" s="75">
        <f>SUM(AS47:AV47)</f>
        <v>0</v>
      </c>
      <c r="DA47" s="193">
        <f>SUM(AW47:AZ47)</f>
        <v>0</v>
      </c>
      <c r="DB47" s="75">
        <f>SUM(BA47:BD47)</f>
        <v>0</v>
      </c>
      <c r="DC47" s="75">
        <f>SUM(BE47:BH47)</f>
        <v>0</v>
      </c>
      <c r="DD47" s="75">
        <f>SUM(BI47:BL47)</f>
        <v>0</v>
      </c>
      <c r="DE47" s="75">
        <f>SUM(BM47:BP47)</f>
        <v>0</v>
      </c>
      <c r="DF47" s="76">
        <f>SUM(BQ47:BT47)</f>
        <v>0</v>
      </c>
      <c r="DK47"/>
      <c r="DL47"/>
      <c r="DM47"/>
      <c r="DN47"/>
      <c r="DO47"/>
      <c r="DP47"/>
    </row>
    <row r="48" spans="1:122" s="7" customFormat="1" ht="14.25" hidden="1" outlineLevel="1">
      <c r="A48" s="505"/>
      <c r="B48" s="14" t="s">
        <v>24</v>
      </c>
      <c r="C48" s="24"/>
      <c r="D48" s="30">
        <f t="shared" ref="D48:S48" si="250">D42-D45-D46-D47</f>
        <v>19.294999999999998</v>
      </c>
      <c r="E48" s="31">
        <f t="shared" si="250"/>
        <v>16.091000000000001</v>
      </c>
      <c r="F48" s="31">
        <f t="shared" si="250"/>
        <v>19.414999999999999</v>
      </c>
      <c r="G48" s="31">
        <f t="shared" si="250"/>
        <v>25.903000000000006</v>
      </c>
      <c r="H48" s="30">
        <f t="shared" si="250"/>
        <v>20.361000000000001</v>
      </c>
      <c r="I48" s="31">
        <f t="shared" si="250"/>
        <v>22.573</v>
      </c>
      <c r="J48" s="31">
        <f t="shared" si="250"/>
        <v>26.492999999999999</v>
      </c>
      <c r="K48" s="32">
        <f t="shared" si="250"/>
        <v>28.09500000000001</v>
      </c>
      <c r="L48" s="31">
        <f t="shared" si="250"/>
        <v>27.224</v>
      </c>
      <c r="M48" s="31">
        <f t="shared" si="250"/>
        <v>25.058</v>
      </c>
      <c r="N48" s="31">
        <f t="shared" si="250"/>
        <v>25.745000000000001</v>
      </c>
      <c r="O48" s="31">
        <f t="shared" si="250"/>
        <v>24.775999999999989</v>
      </c>
      <c r="P48" s="30">
        <f t="shared" si="250"/>
        <v>21.794</v>
      </c>
      <c r="Q48" s="31">
        <f t="shared" si="250"/>
        <v>24.213000000000001</v>
      </c>
      <c r="R48" s="31">
        <f t="shared" si="250"/>
        <v>24.799999999999997</v>
      </c>
      <c r="S48" s="32">
        <f t="shared" si="250"/>
        <v>23.936999999999983</v>
      </c>
      <c r="T48" s="31">
        <f>T42-T45-T46-T47</f>
        <v>22.613</v>
      </c>
      <c r="U48" s="31">
        <f>U42-U45-U46-U47</f>
        <v>21.603000000000002</v>
      </c>
      <c r="V48" s="31">
        <f>V42-V45-V46-V47</f>
        <v>21.962</v>
      </c>
      <c r="W48" s="31">
        <f>W42-W45-W46-W47</f>
        <v>20.612000000000009</v>
      </c>
      <c r="X48" s="30">
        <f t="shared" ref="X48:AV48" si="251">X42-X45-X46-X47</f>
        <v>22.314</v>
      </c>
      <c r="Y48" s="31">
        <f t="shared" si="251"/>
        <v>21.481999999999999</v>
      </c>
      <c r="Z48" s="31">
        <f t="shared" si="251"/>
        <v>22.914000000000001</v>
      </c>
      <c r="AA48" s="31">
        <f t="shared" si="251"/>
        <v>22.635000000000009</v>
      </c>
      <c r="AB48" s="30">
        <f t="shared" si="251"/>
        <v>23.206999999999997</v>
      </c>
      <c r="AC48" s="31">
        <f t="shared" si="251"/>
        <v>20.544999999999998</v>
      </c>
      <c r="AD48" s="31">
        <f t="shared" si="251"/>
        <v>20.829000000000001</v>
      </c>
      <c r="AE48" s="31">
        <f t="shared" si="251"/>
        <v>21.594000000000005</v>
      </c>
      <c r="AF48" s="30">
        <f t="shared" si="251"/>
        <v>21.261000000000003</v>
      </c>
      <c r="AG48" s="31">
        <f t="shared" si="251"/>
        <v>21.733000000000001</v>
      </c>
      <c r="AH48" s="31">
        <f t="shared" si="251"/>
        <v>22.664000000000001</v>
      </c>
      <c r="AI48" s="31">
        <f t="shared" si="251"/>
        <v>21.977999999999987</v>
      </c>
      <c r="AJ48" s="30">
        <f t="shared" si="251"/>
        <v>23.515000000000001</v>
      </c>
      <c r="AK48" s="31">
        <f t="shared" si="251"/>
        <v>16.800999999999998</v>
      </c>
      <c r="AL48" s="31">
        <f t="shared" si="251"/>
        <v>27.286000000000001</v>
      </c>
      <c r="AM48" s="32">
        <f t="shared" si="251"/>
        <v>30.580999999999996</v>
      </c>
      <c r="AN48" s="30">
        <f t="shared" si="251"/>
        <v>35.208999999999996</v>
      </c>
      <c r="AO48" s="31">
        <f t="shared" si="251"/>
        <v>30.824861162040843</v>
      </c>
      <c r="AP48" s="31">
        <f t="shared" si="251"/>
        <v>29.363</v>
      </c>
      <c r="AQ48" s="32">
        <f t="shared" si="251"/>
        <v>29.023999999999997</v>
      </c>
      <c r="AR48" s="30">
        <f t="shared" si="251"/>
        <v>30.228000000000002</v>
      </c>
      <c r="AS48" s="31">
        <f>AS42-AS45-AS46-AS47</f>
        <v>31.6</v>
      </c>
      <c r="AT48" s="31">
        <f t="shared" si="251"/>
        <v>31.799999999999997</v>
      </c>
      <c r="AU48" s="32">
        <f t="shared" si="251"/>
        <v>32.700000000000003</v>
      </c>
      <c r="AV48" s="30">
        <f t="shared" si="251"/>
        <v>32.5</v>
      </c>
      <c r="AW48" s="31">
        <f t="shared" ref="AW48:BB48" si="252">AW42-AW45-AW46-AW47</f>
        <v>32.5</v>
      </c>
      <c r="AX48" s="31">
        <f t="shared" si="252"/>
        <v>35.799999999999997</v>
      </c>
      <c r="AY48" s="32">
        <f t="shared" si="252"/>
        <v>37.300000000000004</v>
      </c>
      <c r="AZ48" s="30">
        <f t="shared" si="252"/>
        <v>35.900000000000006</v>
      </c>
      <c r="BA48" s="31">
        <f t="shared" si="252"/>
        <v>36.799999999999997</v>
      </c>
      <c r="BB48" s="31">
        <f t="shared" si="252"/>
        <v>38</v>
      </c>
      <c r="BC48" s="32">
        <f t="shared" ref="BC48:BH48" si="253">BC42-BC45-BC46-BC47</f>
        <v>35.100000000000016</v>
      </c>
      <c r="BD48" s="30">
        <f t="shared" si="253"/>
        <v>39.800000000000004</v>
      </c>
      <c r="BE48" s="31">
        <f t="shared" si="253"/>
        <v>36.799999999999997</v>
      </c>
      <c r="BF48" s="31">
        <f t="shared" si="253"/>
        <v>39.950000000000003</v>
      </c>
      <c r="BG48" s="32">
        <f t="shared" si="253"/>
        <v>43.099999999999994</v>
      </c>
      <c r="BH48" s="30">
        <f t="shared" si="253"/>
        <v>39.699999999999996</v>
      </c>
      <c r="BI48" s="31">
        <f t="shared" ref="BI48:BS48" si="254">BI42-BI45-BI46-BI47</f>
        <v>37.599999999999994</v>
      </c>
      <c r="BJ48" s="31">
        <f t="shared" si="254"/>
        <v>40.9</v>
      </c>
      <c r="BK48" s="32">
        <f t="shared" si="254"/>
        <v>46.4</v>
      </c>
      <c r="BL48" s="30">
        <f t="shared" si="254"/>
        <v>40.099999999999994</v>
      </c>
      <c r="BM48" s="900">
        <f t="shared" si="254"/>
        <v>41.891343374999998</v>
      </c>
      <c r="BN48" s="900">
        <f t="shared" si="254"/>
        <v>40.887430334145414</v>
      </c>
      <c r="BO48" s="899">
        <f t="shared" si="254"/>
        <v>43.984654066873524</v>
      </c>
      <c r="BP48" s="834">
        <f t="shared" si="254"/>
        <v>45.106496327015549</v>
      </c>
      <c r="BQ48" s="620">
        <f t="shared" si="254"/>
        <v>42.61914731701269</v>
      </c>
      <c r="BR48" s="620">
        <f t="shared" si="254"/>
        <v>42.627029436008215</v>
      </c>
      <c r="BS48" s="615">
        <f t="shared" si="254"/>
        <v>45.238983733077106</v>
      </c>
      <c r="BT48" s="905">
        <f t="shared" ref="BT48:BW48" si="255">BT42-BT45-BT46-BT47</f>
        <v>46.414922778708245</v>
      </c>
      <c r="BU48" s="900">
        <f t="shared" si="255"/>
        <v>44.869116788606867</v>
      </c>
      <c r="BV48" s="900">
        <f t="shared" si="255"/>
        <v>45.301434185178046</v>
      </c>
      <c r="BW48" s="899">
        <f t="shared" si="255"/>
        <v>48.025466673448669</v>
      </c>
      <c r="BX48" s="106"/>
      <c r="BY48" s="30">
        <f>BY42-BY45-BY46-BY47</f>
        <v>80.704000000000008</v>
      </c>
      <c r="BZ48" s="31">
        <f>BZ42-BZ45-BZ46-BZ47</f>
        <v>97.522000000000006</v>
      </c>
      <c r="CA48" s="31">
        <f>CA42-CA45-CA46-CA47</f>
        <v>102.803</v>
      </c>
      <c r="CB48" s="31">
        <f>CB42-CB45-CB46-CB47</f>
        <v>94.743999999999971</v>
      </c>
      <c r="CC48" s="31">
        <f>CC42-CC45-CC46-CC47</f>
        <v>86.79</v>
      </c>
      <c r="CD48" s="31">
        <f t="shared" ref="CD48:CJ48" si="256">CD42-CD45-CD46-CD47</f>
        <v>89.345000000000013</v>
      </c>
      <c r="CE48" s="31">
        <f t="shared" si="256"/>
        <v>86.174999999999997</v>
      </c>
      <c r="CF48" s="31">
        <f t="shared" si="256"/>
        <v>87.635999999999981</v>
      </c>
      <c r="CG48" s="31">
        <f t="shared" si="256"/>
        <v>98.182999999999993</v>
      </c>
      <c r="CH48" s="31">
        <f t="shared" si="256"/>
        <v>124.42086116204084</v>
      </c>
      <c r="CI48" s="32">
        <f t="shared" si="256"/>
        <v>126.32800000000002</v>
      </c>
      <c r="CJ48" s="30">
        <f t="shared" si="256"/>
        <v>138.1</v>
      </c>
      <c r="CK48" s="31">
        <f t="shared" ref="CK48:CP48" si="257">CK42-CK45-CK46-CK47</f>
        <v>145.80000000000001</v>
      </c>
      <c r="CL48" s="31">
        <f t="shared" si="257"/>
        <v>159.64999999999998</v>
      </c>
      <c r="CM48" s="31">
        <f t="shared" si="257"/>
        <v>164.60000000000002</v>
      </c>
      <c r="CN48" s="31">
        <f t="shared" si="257"/>
        <v>166.86342777601897</v>
      </c>
      <c r="CO48" s="31">
        <f t="shared" si="257"/>
        <v>175.59165681311356</v>
      </c>
      <c r="CP48" s="32">
        <f t="shared" si="257"/>
        <v>184.61094042594183</v>
      </c>
      <c r="CQ48" s="106"/>
      <c r="CR48" s="30">
        <f>CR42-CR45-CR46-CR47</f>
        <v>97.37299999999999</v>
      </c>
      <c r="CS48" s="31">
        <f>CS42-CS45-CS46-CS47</f>
        <v>95.56299999999996</v>
      </c>
      <c r="CT48" s="31">
        <f>CT42-CT45-CT46-CT47</f>
        <v>86.491</v>
      </c>
      <c r="CU48" s="31">
        <f t="shared" ref="CU48:CZ48" si="258">CU42-CU45-CU46-CU47</f>
        <v>90.238</v>
      </c>
      <c r="CV48" s="31">
        <f t="shared" si="258"/>
        <v>84.229000000000013</v>
      </c>
      <c r="CW48" s="31">
        <f t="shared" si="258"/>
        <v>89.89</v>
      </c>
      <c r="CX48" s="31">
        <f t="shared" si="258"/>
        <v>109.87700000000001</v>
      </c>
      <c r="CY48" s="31">
        <f t="shared" si="258"/>
        <v>119.43986116204083</v>
      </c>
      <c r="CZ48" s="31">
        <f t="shared" si="258"/>
        <v>128.6</v>
      </c>
      <c r="DA48" s="30">
        <f t="shared" ref="DA48:DF48" si="259">DA42-DA45-DA46-DA47</f>
        <v>141.5</v>
      </c>
      <c r="DB48" s="31">
        <f t="shared" si="259"/>
        <v>149.70000000000005</v>
      </c>
      <c r="DC48" s="31">
        <f t="shared" si="259"/>
        <v>159.54999999999998</v>
      </c>
      <c r="DD48" s="31">
        <f t="shared" si="259"/>
        <v>165</v>
      </c>
      <c r="DE48" s="31">
        <f t="shared" si="259"/>
        <v>171.86992410303449</v>
      </c>
      <c r="DF48" s="32">
        <f t="shared" si="259"/>
        <v>176.90008326480626</v>
      </c>
      <c r="DG48" s="42"/>
      <c r="DH48" s="42"/>
      <c r="DI48" s="42"/>
      <c r="DJ48" s="42"/>
      <c r="DK48"/>
      <c r="DL48"/>
      <c r="DM48"/>
      <c r="DN48"/>
      <c r="DO48"/>
      <c r="DP48"/>
      <c r="DQ48" s="42"/>
      <c r="DR48" s="42"/>
    </row>
    <row r="49" spans="1:122" s="42" customFormat="1" ht="14.25" hidden="1" outlineLevel="1">
      <c r="B49" s="19" t="s">
        <v>237</v>
      </c>
      <c r="C49" s="34"/>
      <c r="D49" s="20">
        <f t="shared" ref="D49:S49" si="260">D48/D10</f>
        <v>0.12044770715507447</v>
      </c>
      <c r="E49" s="21">
        <f t="shared" si="260"/>
        <v>0.10225337434228922</v>
      </c>
      <c r="F49" s="21">
        <f t="shared" si="260"/>
        <v>0.12926184595103826</v>
      </c>
      <c r="G49" s="37">
        <f t="shared" si="260"/>
        <v>0.17264983470193029</v>
      </c>
      <c r="H49" s="21">
        <f t="shared" si="260"/>
        <v>0.11627681202457912</v>
      </c>
      <c r="I49" s="21">
        <f t="shared" si="260"/>
        <v>0.12303306789628879</v>
      </c>
      <c r="J49" s="21">
        <f t="shared" si="260"/>
        <v>0.12775283662122605</v>
      </c>
      <c r="K49" s="37">
        <f t="shared" si="260"/>
        <v>0.128836550234561</v>
      </c>
      <c r="L49" s="21">
        <f t="shared" si="260"/>
        <v>0.12365552325581396</v>
      </c>
      <c r="M49" s="21">
        <f t="shared" si="260"/>
        <v>0.23732537765781125</v>
      </c>
      <c r="N49" s="21">
        <f t="shared" si="260"/>
        <v>0.1344161811081177</v>
      </c>
      <c r="O49" s="21">
        <f t="shared" si="260"/>
        <v>9.0063760023846376E-2</v>
      </c>
      <c r="P49" s="20">
        <f t="shared" si="260"/>
        <v>0.10989033152653474</v>
      </c>
      <c r="Q49" s="21">
        <f t="shared" si="260"/>
        <v>0.1307157433300582</v>
      </c>
      <c r="R49" s="21">
        <f t="shared" si="260"/>
        <v>0.12585127221427192</v>
      </c>
      <c r="S49" s="37">
        <f t="shared" si="260"/>
        <v>0.12078962108482061</v>
      </c>
      <c r="T49" s="21">
        <f>T48/T10</f>
        <v>0.11535479263378054</v>
      </c>
      <c r="U49" s="21">
        <f>U48/U10</f>
        <v>0.11987681038788081</v>
      </c>
      <c r="V49" s="21">
        <f>V48/V10</f>
        <v>0.12538608660900344</v>
      </c>
      <c r="W49" s="21">
        <f>W48/W10</f>
        <v>0.10822560828336511</v>
      </c>
      <c r="X49" s="20">
        <f t="shared" ref="X49:AW49" si="261">X48/X10</f>
        <v>0.10598813487671767</v>
      </c>
      <c r="Y49" s="21">
        <f t="shared" si="261"/>
        <v>0.10650048585083388</v>
      </c>
      <c r="Z49" s="21">
        <f t="shared" si="261"/>
        <v>0.10647274754890572</v>
      </c>
      <c r="AA49" s="21">
        <f t="shared" si="261"/>
        <v>9.7327210340290515E-2</v>
      </c>
      <c r="AB49" s="20">
        <f t="shared" si="261"/>
        <v>0.11038967216545843</v>
      </c>
      <c r="AC49" s="21">
        <f t="shared" si="261"/>
        <v>0.11876409040985027</v>
      </c>
      <c r="AD49" s="21">
        <f t="shared" si="261"/>
        <v>0.10893087813067104</v>
      </c>
      <c r="AE49" s="21">
        <f t="shared" si="261"/>
        <v>9.464991715831092E-2</v>
      </c>
      <c r="AF49" s="20">
        <f t="shared" si="261"/>
        <v>8.6730739420244937E-2</v>
      </c>
      <c r="AG49" s="21">
        <f t="shared" si="261"/>
        <v>9.1292878206151451E-2</v>
      </c>
      <c r="AH49" s="21">
        <f t="shared" si="261"/>
        <v>8.2303809420053026E-2</v>
      </c>
      <c r="AI49" s="21">
        <f t="shared" si="261"/>
        <v>7.0153822582138176E-2</v>
      </c>
      <c r="AJ49" s="20">
        <f t="shared" si="261"/>
        <v>7.0168894724277869E-2</v>
      </c>
      <c r="AK49" s="21">
        <f t="shared" si="261"/>
        <v>5.1630092406218589E-2</v>
      </c>
      <c r="AL49" s="21">
        <f t="shared" si="261"/>
        <v>7.6629923471178835E-2</v>
      </c>
      <c r="AM49" s="37">
        <f t="shared" si="261"/>
        <v>7.6012388271905665E-2</v>
      </c>
      <c r="AN49" s="20">
        <f t="shared" si="261"/>
        <v>8.9421953573424071E-2</v>
      </c>
      <c r="AO49" s="21">
        <f t="shared" si="261"/>
        <v>8.4523461466014541E-2</v>
      </c>
      <c r="AP49" s="21">
        <f t="shared" si="261"/>
        <v>7.5475917519625332E-2</v>
      </c>
      <c r="AQ49" s="37">
        <f t="shared" si="261"/>
        <v>6.8922118291289983E-2</v>
      </c>
      <c r="AR49" s="20">
        <f t="shared" si="261"/>
        <v>6.6622146111173564E-2</v>
      </c>
      <c r="AS49" s="21">
        <f t="shared" si="261"/>
        <v>7.431796801505175E-2</v>
      </c>
      <c r="AT49" s="21">
        <f t="shared" si="261"/>
        <v>7.2919055262554447E-2</v>
      </c>
      <c r="AU49" s="37">
        <f t="shared" si="261"/>
        <v>6.8553459119496868E-2</v>
      </c>
      <c r="AV49" s="20">
        <f t="shared" si="261"/>
        <v>6.4330958036421221E-2</v>
      </c>
      <c r="AW49" s="21">
        <f t="shared" si="261"/>
        <v>6.7567567567567571E-2</v>
      </c>
      <c r="AX49" s="21">
        <f t="shared" ref="AX49:BC49" si="262">AX48/AX10</f>
        <v>6.0988074957410557E-2</v>
      </c>
      <c r="AY49" s="37">
        <f t="shared" si="262"/>
        <v>5.1935394040657203E-2</v>
      </c>
      <c r="AZ49" s="20">
        <f t="shared" si="262"/>
        <v>4.456859093730603E-2</v>
      </c>
      <c r="BA49" s="21">
        <f t="shared" si="262"/>
        <v>4.8287626295761707E-2</v>
      </c>
      <c r="BB49" s="21">
        <f t="shared" si="262"/>
        <v>4.6913580246913583E-2</v>
      </c>
      <c r="BC49" s="37">
        <f t="shared" si="262"/>
        <v>3.9850136239782036E-2</v>
      </c>
      <c r="BD49" s="20">
        <f t="shared" ref="BD49:BI49" si="263">BD48/BD10</f>
        <v>4.2943461372464402E-2</v>
      </c>
      <c r="BE49" s="21">
        <f t="shared" si="263"/>
        <v>4.7477744807121657E-2</v>
      </c>
      <c r="BF49" s="21">
        <f t="shared" si="263"/>
        <v>5.3146201942264201E-2</v>
      </c>
      <c r="BG49" s="37">
        <f t="shared" si="263"/>
        <v>5.1592051711754842E-2</v>
      </c>
      <c r="BH49" s="20">
        <f t="shared" si="263"/>
        <v>4.3421196543804004E-2</v>
      </c>
      <c r="BI49" s="859">
        <f t="shared" si="263"/>
        <v>4.4147000117412225E-2</v>
      </c>
      <c r="BJ49" s="859">
        <f t="shared" ref="BJ49:BS49" si="264">BJ48/BJ10</f>
        <v>4.5404085257548847E-2</v>
      </c>
      <c r="BK49" s="885">
        <f t="shared" si="264"/>
        <v>4.7125736339630304E-2</v>
      </c>
      <c r="BL49" s="880">
        <f t="shared" si="264"/>
        <v>3.8121494438634843E-2</v>
      </c>
      <c r="BM49" s="881">
        <f t="shared" si="264"/>
        <v>4.6405982698074784E-2</v>
      </c>
      <c r="BN49" s="881">
        <f t="shared" si="264"/>
        <v>4.7098877336747724E-2</v>
      </c>
      <c r="BO49" s="885">
        <f t="shared" si="264"/>
        <v>4.2636106312066505E-2</v>
      </c>
      <c r="BP49" s="20">
        <f t="shared" si="264"/>
        <v>4.199422622353971E-2</v>
      </c>
      <c r="BQ49" s="21">
        <f t="shared" si="264"/>
        <v>4.3577009656275492E-2</v>
      </c>
      <c r="BR49" s="21">
        <f t="shared" si="264"/>
        <v>4.3572137965652243E-2</v>
      </c>
      <c r="BS49" s="37">
        <f t="shared" si="264"/>
        <v>4.2990326223928232E-2</v>
      </c>
      <c r="BT49" s="880">
        <f t="shared" ref="BT49:BW49" si="265">BT48/BT10</f>
        <v>4.2322056168866418E-2</v>
      </c>
      <c r="BU49" s="881">
        <f t="shared" si="265"/>
        <v>4.3262577481146522E-2</v>
      </c>
      <c r="BV49" s="881">
        <f t="shared" si="265"/>
        <v>4.3118308879251728E-2</v>
      </c>
      <c r="BW49" s="885">
        <f t="shared" si="265"/>
        <v>4.2271796455039541E-2</v>
      </c>
      <c r="BX49" s="841"/>
      <c r="BY49" s="20">
        <f>BY48/BY10</f>
        <v>0.1306335982026226</v>
      </c>
      <c r="BZ49" s="21">
        <f>BZ48/BZ10</f>
        <v>0.12438665702409242</v>
      </c>
      <c r="CA49" s="21">
        <f>CA48/CA10</f>
        <v>0.12974099254011062</v>
      </c>
      <c r="CB49" s="21">
        <f>CB48/CB10</f>
        <v>0.1216557009096185</v>
      </c>
      <c r="CC49" s="21">
        <f>CC48/CC10</f>
        <v>0.11699146322229997</v>
      </c>
      <c r="CD49" s="21">
        <f t="shared" ref="CD49:CJ49" si="266">CD48/CD10</f>
        <v>0.10388748129397443</v>
      </c>
      <c r="CE49" s="21">
        <f t="shared" si="266"/>
        <v>0.10737287512600037</v>
      </c>
      <c r="CF49" s="21">
        <f t="shared" si="266"/>
        <v>8.1761516780815197E-2</v>
      </c>
      <c r="CG49" s="21">
        <f t="shared" si="266"/>
        <v>6.9195487842178771E-2</v>
      </c>
      <c r="CH49" s="21">
        <f t="shared" si="266"/>
        <v>7.932064787348618E-2</v>
      </c>
      <c r="CI49" s="37">
        <f t="shared" si="266"/>
        <v>7.0494630928286076E-2</v>
      </c>
      <c r="CJ49" s="880">
        <f t="shared" si="266"/>
        <v>6.0268831282185562E-2</v>
      </c>
      <c r="CK49" s="881">
        <f t="shared" ref="CK49:CP49" si="267">CK48/CK10</f>
        <v>4.4745887552172854E-2</v>
      </c>
      <c r="CL49" s="881">
        <f t="shared" si="267"/>
        <v>4.8540589844937657E-2</v>
      </c>
      <c r="CM49" s="881">
        <f t="shared" si="267"/>
        <v>4.5078599989045301E-2</v>
      </c>
      <c r="CN49" s="881">
        <f t="shared" si="267"/>
        <v>4.3292094775287476E-2</v>
      </c>
      <c r="CO49" s="881">
        <f t="shared" si="267"/>
        <v>4.3008220216664832E-2</v>
      </c>
      <c r="CP49" s="885">
        <f t="shared" si="267"/>
        <v>4.2728231385578498E-2</v>
      </c>
      <c r="CQ49" s="107"/>
      <c r="CR49" s="20">
        <f>CR48/CR10</f>
        <v>0.12637047457873479</v>
      </c>
      <c r="CS49" s="21">
        <f>CS48/CS10</f>
        <v>0.12307000835809205</v>
      </c>
      <c r="CT49" s="21">
        <f>CT48/CT10</f>
        <v>0.11435284100524624</v>
      </c>
      <c r="CU49" s="21">
        <f t="shared" ref="CU49:CZ49" si="268">CU48/CU10</f>
        <v>0.10496305739596516</v>
      </c>
      <c r="CV49" s="21">
        <f t="shared" si="268"/>
        <v>0.10057350143942535</v>
      </c>
      <c r="CW49" s="21">
        <f t="shared" si="268"/>
        <v>7.7369255941698925E-2</v>
      </c>
      <c r="CX49" s="21">
        <f t="shared" si="268"/>
        <v>7.4364721950374343E-2</v>
      </c>
      <c r="CY49" s="21">
        <f t="shared" si="268"/>
        <v>7.3340600161885455E-2</v>
      </c>
      <c r="CZ49" s="21">
        <f t="shared" si="268"/>
        <v>6.9758611337130461E-2</v>
      </c>
      <c r="DA49" s="880">
        <f t="shared" ref="DA49:DF49" si="269">DA48/DA10</f>
        <v>5.4597368522591352E-2</v>
      </c>
      <c r="DB49" s="881">
        <f t="shared" si="269"/>
        <v>4.4293872237180829E-2</v>
      </c>
      <c r="DC49" s="881">
        <f t="shared" si="269"/>
        <v>4.8695254082099799E-2</v>
      </c>
      <c r="DD49" s="881">
        <f t="shared" si="269"/>
        <v>4.3547110055423596E-2</v>
      </c>
      <c r="DE49" s="881">
        <f t="shared" si="269"/>
        <v>4.4335515613729004E-2</v>
      </c>
      <c r="DF49" s="885">
        <f t="shared" si="269"/>
        <v>4.3090216209643754E-2</v>
      </c>
      <c r="DG49" s="7"/>
      <c r="DH49" s="7"/>
      <c r="DI49" s="7"/>
      <c r="DJ49" s="7"/>
      <c r="DK49"/>
      <c r="DL49"/>
      <c r="DM49"/>
      <c r="DN49"/>
      <c r="DO49"/>
      <c r="DP49"/>
      <c r="DQ49" s="7"/>
      <c r="DR49" s="7"/>
    </row>
    <row r="50" spans="1:122" s="7" customFormat="1" ht="14.25" hidden="1" outlineLevel="1">
      <c r="A50" s="505"/>
      <c r="B50" s="14" t="s">
        <v>25</v>
      </c>
      <c r="C50" s="24"/>
      <c r="D50" s="30">
        <f t="shared" ref="D50:S50" si="270">D42-D46-D47</f>
        <v>19.294999999999998</v>
      </c>
      <c r="E50" s="31">
        <f t="shared" si="270"/>
        <v>16.091000000000001</v>
      </c>
      <c r="F50" s="31">
        <f t="shared" si="270"/>
        <v>19.414999999999999</v>
      </c>
      <c r="G50" s="32">
        <f t="shared" si="270"/>
        <v>25.903000000000006</v>
      </c>
      <c r="H50" s="31">
        <f t="shared" si="270"/>
        <v>20.361000000000001</v>
      </c>
      <c r="I50" s="31">
        <f t="shared" si="270"/>
        <v>22.573</v>
      </c>
      <c r="J50" s="31">
        <f t="shared" si="270"/>
        <v>26.492999999999999</v>
      </c>
      <c r="K50" s="32">
        <f t="shared" si="270"/>
        <v>28.09500000000001</v>
      </c>
      <c r="L50" s="31">
        <f t="shared" si="270"/>
        <v>27.224</v>
      </c>
      <c r="M50" s="31">
        <f t="shared" si="270"/>
        <v>25.058</v>
      </c>
      <c r="N50" s="31">
        <f t="shared" si="270"/>
        <v>25.745000000000001</v>
      </c>
      <c r="O50" s="31">
        <f t="shared" si="270"/>
        <v>24.775999999999989</v>
      </c>
      <c r="P50" s="30">
        <f t="shared" si="270"/>
        <v>23.056999999999999</v>
      </c>
      <c r="Q50" s="31">
        <f t="shared" si="270"/>
        <v>25.71</v>
      </c>
      <c r="R50" s="31">
        <f t="shared" si="270"/>
        <v>26.332999999999998</v>
      </c>
      <c r="S50" s="32">
        <f t="shared" si="270"/>
        <v>25.366999999999983</v>
      </c>
      <c r="T50" s="31">
        <f t="shared" ref="T50:AI50" si="271">T42-T46-T47</f>
        <v>24.027999999999999</v>
      </c>
      <c r="U50" s="31">
        <f t="shared" si="271"/>
        <v>23.75</v>
      </c>
      <c r="V50" s="31">
        <f t="shared" si="271"/>
        <v>23.587</v>
      </c>
      <c r="W50" s="31">
        <f t="shared" si="271"/>
        <v>22.298000000000009</v>
      </c>
      <c r="X50" s="30">
        <f t="shared" si="271"/>
        <v>25.286999999999999</v>
      </c>
      <c r="Y50" s="31">
        <f t="shared" si="271"/>
        <v>23.847999999999999</v>
      </c>
      <c r="Z50" s="31">
        <f t="shared" si="271"/>
        <v>25.975000000000001</v>
      </c>
      <c r="AA50" s="31">
        <f t="shared" si="271"/>
        <v>25.773000000000007</v>
      </c>
      <c r="AB50" s="30">
        <f t="shared" si="271"/>
        <v>27.186999999999998</v>
      </c>
      <c r="AC50" s="31">
        <f t="shared" si="271"/>
        <v>22.780999999999999</v>
      </c>
      <c r="AD50" s="31">
        <f t="shared" si="271"/>
        <v>24.175000000000001</v>
      </c>
      <c r="AE50" s="31">
        <f t="shared" si="271"/>
        <v>26.069000000000006</v>
      </c>
      <c r="AF50" s="30">
        <f t="shared" si="271"/>
        <v>26.558000000000003</v>
      </c>
      <c r="AG50" s="31">
        <f t="shared" si="271"/>
        <v>27.809000000000001</v>
      </c>
      <c r="AH50" s="31">
        <f t="shared" si="271"/>
        <v>29.278000000000002</v>
      </c>
      <c r="AI50" s="31">
        <f t="shared" si="271"/>
        <v>33.455999999999989</v>
      </c>
      <c r="AJ50" s="30">
        <f t="shared" ref="AJ50:AO50" si="272">AJ42-AJ46-AJ47</f>
        <v>31.050999999999998</v>
      </c>
      <c r="AK50" s="31">
        <f t="shared" si="272"/>
        <v>31.664999999999999</v>
      </c>
      <c r="AL50" s="31">
        <f t="shared" si="272"/>
        <v>35.451000000000001</v>
      </c>
      <c r="AM50" s="32">
        <f t="shared" si="272"/>
        <v>39.070999999999998</v>
      </c>
      <c r="AN50" s="30">
        <f t="shared" si="272"/>
        <v>42.908999999999999</v>
      </c>
      <c r="AO50" s="31">
        <f t="shared" si="272"/>
        <v>40.237000000000002</v>
      </c>
      <c r="AP50" s="31">
        <f t="shared" ref="AP50:AU50" si="273">AP42-AP46-AP47</f>
        <v>37.463000000000001</v>
      </c>
      <c r="AQ50" s="32">
        <f t="shared" si="273"/>
        <v>37.823999999999998</v>
      </c>
      <c r="AR50" s="30">
        <f t="shared" si="273"/>
        <v>38.128</v>
      </c>
      <c r="AS50" s="31">
        <f t="shared" si="273"/>
        <v>39.700000000000003</v>
      </c>
      <c r="AT50" s="31">
        <f t="shared" si="273"/>
        <v>40.199999999999996</v>
      </c>
      <c r="AU50" s="32">
        <f t="shared" si="273"/>
        <v>41.6</v>
      </c>
      <c r="AV50" s="30">
        <f t="shared" ref="AV50:BB50" si="274">AV42-AV46-AV47</f>
        <v>41.1</v>
      </c>
      <c r="AW50" s="31">
        <f t="shared" si="274"/>
        <v>41.9</v>
      </c>
      <c r="AX50" s="31">
        <f t="shared" si="274"/>
        <v>45.8</v>
      </c>
      <c r="AY50" s="32">
        <f t="shared" si="274"/>
        <v>47.800000000000004</v>
      </c>
      <c r="AZ50" s="30">
        <f t="shared" si="274"/>
        <v>44.6</v>
      </c>
      <c r="BA50" s="31">
        <f t="shared" si="274"/>
        <v>47.4</v>
      </c>
      <c r="BB50" s="31">
        <f t="shared" si="274"/>
        <v>48.6</v>
      </c>
      <c r="BC50" s="32">
        <f t="shared" ref="BC50:BH50" si="275">BC42-BC46-BC47</f>
        <v>45.100000000000016</v>
      </c>
      <c r="BD50" s="30">
        <f t="shared" si="275"/>
        <v>47.300000000000004</v>
      </c>
      <c r="BE50" s="31">
        <f t="shared" si="275"/>
        <v>44</v>
      </c>
      <c r="BF50" s="31">
        <f t="shared" si="275"/>
        <v>46.9</v>
      </c>
      <c r="BG50" s="32">
        <f t="shared" si="275"/>
        <v>52.599999999999994</v>
      </c>
      <c r="BH50" s="30">
        <f t="shared" si="275"/>
        <v>49.199999999999996</v>
      </c>
      <c r="BI50" s="31">
        <f t="shared" ref="BI50:BS50" si="276">BI42-BI46-BI47</f>
        <v>47.8</v>
      </c>
      <c r="BJ50" s="31">
        <f t="shared" si="276"/>
        <v>49.5</v>
      </c>
      <c r="BK50" s="32">
        <f t="shared" si="276"/>
        <v>56.4</v>
      </c>
      <c r="BL50" s="30">
        <f t="shared" si="276"/>
        <v>50.599999999999994</v>
      </c>
      <c r="BM50" s="31">
        <f t="shared" si="276"/>
        <v>52.391343374999998</v>
      </c>
      <c r="BN50" s="31">
        <f t="shared" si="276"/>
        <v>51.387430334145414</v>
      </c>
      <c r="BO50" s="32">
        <f t="shared" si="276"/>
        <v>54.484654066873524</v>
      </c>
      <c r="BP50" s="30">
        <f t="shared" si="276"/>
        <v>55.606496327015549</v>
      </c>
      <c r="BQ50" s="31">
        <f t="shared" si="276"/>
        <v>53.11914731701269</v>
      </c>
      <c r="BR50" s="31">
        <f t="shared" si="276"/>
        <v>53.127029436008215</v>
      </c>
      <c r="BS50" s="32">
        <f t="shared" si="276"/>
        <v>55.738983733077106</v>
      </c>
      <c r="BT50" s="30">
        <f t="shared" ref="BT50:BW50" si="277">BT42-BT46-BT47</f>
        <v>56.914922778708245</v>
      </c>
      <c r="BU50" s="31">
        <f t="shared" si="277"/>
        <v>55.369116788606867</v>
      </c>
      <c r="BV50" s="31">
        <f t="shared" si="277"/>
        <v>55.801434185178046</v>
      </c>
      <c r="BW50" s="32">
        <f t="shared" si="277"/>
        <v>58.525466673448669</v>
      </c>
      <c r="BX50" s="106"/>
      <c r="BY50" s="30">
        <f>BY42-BY46-BY47</f>
        <v>80.704000000000008</v>
      </c>
      <c r="BZ50" s="31">
        <f>BZ42-BZ46-BZ47</f>
        <v>97.522000000000006</v>
      </c>
      <c r="CA50" s="31">
        <f>CA42-CA46-CA47</f>
        <v>102.803</v>
      </c>
      <c r="CB50" s="31">
        <f>CB42-CB46-CB47</f>
        <v>100.46699999999998</v>
      </c>
      <c r="CC50" s="31">
        <f>CC42-CC46-CC47</f>
        <v>93.663000000000011</v>
      </c>
      <c r="CD50" s="31">
        <f t="shared" ref="CD50:CJ50" si="278">CD42-CD46-CD47</f>
        <v>100.88300000000001</v>
      </c>
      <c r="CE50" s="31">
        <f t="shared" si="278"/>
        <v>100.212</v>
      </c>
      <c r="CF50" s="31">
        <f t="shared" si="278"/>
        <v>117.10099999999998</v>
      </c>
      <c r="CG50" s="31">
        <f t="shared" si="278"/>
        <v>137.238</v>
      </c>
      <c r="CH50" s="31">
        <f t="shared" si="278"/>
        <v>158.43299999999999</v>
      </c>
      <c r="CI50" s="32">
        <f t="shared" si="278"/>
        <v>159.62800000000001</v>
      </c>
      <c r="CJ50" s="30">
        <f t="shared" si="278"/>
        <v>176.6</v>
      </c>
      <c r="CK50" s="31">
        <f t="shared" ref="CK50:CP50" si="279">CK42-CK46-CK47</f>
        <v>185.70000000000002</v>
      </c>
      <c r="CL50" s="31">
        <f t="shared" si="279"/>
        <v>190.79999999999998</v>
      </c>
      <c r="CM50" s="31">
        <f t="shared" si="279"/>
        <v>202.9</v>
      </c>
      <c r="CN50" s="31">
        <f t="shared" si="279"/>
        <v>208.86342777601897</v>
      </c>
      <c r="CO50" s="31">
        <f t="shared" si="279"/>
        <v>217.59165681311356</v>
      </c>
      <c r="CP50" s="32">
        <f t="shared" si="279"/>
        <v>226.61094042594183</v>
      </c>
      <c r="CQ50" s="106"/>
      <c r="CR50" s="30">
        <f>CR42-CR46-CR47</f>
        <v>98.635999999999996</v>
      </c>
      <c r="CS50" s="31">
        <f>CS42-CS46-CS47</f>
        <v>101.43799999999996</v>
      </c>
      <c r="CT50" s="31">
        <f>CT42-CT46-CT47</f>
        <v>94.921999999999997</v>
      </c>
      <c r="CU50" s="31">
        <f t="shared" ref="CU50:CZ50" si="280">CU42-CU46-CU47</f>
        <v>102.783</v>
      </c>
      <c r="CV50" s="31">
        <f t="shared" si="280"/>
        <v>99.583000000000013</v>
      </c>
      <c r="CW50" s="31">
        <f t="shared" si="280"/>
        <v>121.59399999999999</v>
      </c>
      <c r="CX50" s="31">
        <f t="shared" si="280"/>
        <v>149.096</v>
      </c>
      <c r="CY50" s="31">
        <f t="shared" si="280"/>
        <v>153.65199999999999</v>
      </c>
      <c r="CZ50" s="31">
        <f t="shared" si="280"/>
        <v>162.6</v>
      </c>
      <c r="DA50" s="30">
        <f t="shared" ref="DA50:DF50" si="281">DA42-DA46-DA47</f>
        <v>180.1</v>
      </c>
      <c r="DB50" s="31">
        <f t="shared" si="281"/>
        <v>188.40000000000003</v>
      </c>
      <c r="DC50" s="31">
        <f t="shared" si="281"/>
        <v>192.7</v>
      </c>
      <c r="DD50" s="31">
        <f t="shared" si="281"/>
        <v>204.3</v>
      </c>
      <c r="DE50" s="31">
        <f t="shared" si="281"/>
        <v>213.86992410303449</v>
      </c>
      <c r="DF50" s="32">
        <f t="shared" si="281"/>
        <v>218.90008326480626</v>
      </c>
      <c r="DG50" s="42"/>
      <c r="DH50" s="42"/>
      <c r="DI50" s="42"/>
      <c r="DJ50" s="42"/>
      <c r="DK50"/>
      <c r="DL50"/>
      <c r="DM50"/>
      <c r="DN50"/>
      <c r="DO50"/>
      <c r="DP50"/>
      <c r="DQ50" s="42"/>
      <c r="DR50" s="42"/>
    </row>
    <row r="51" spans="1:122" s="42" customFormat="1" ht="14.25" hidden="1" outlineLevel="1">
      <c r="B51" s="19" t="s">
        <v>237</v>
      </c>
      <c r="C51" s="34"/>
      <c r="D51" s="20">
        <f t="shared" ref="D51:S51" si="282">D50/D10</f>
        <v>0.12044770715507447</v>
      </c>
      <c r="E51" s="21">
        <f t="shared" si="282"/>
        <v>0.10225337434228922</v>
      </c>
      <c r="F51" s="21">
        <f t="shared" si="282"/>
        <v>0.12926184595103826</v>
      </c>
      <c r="G51" s="37">
        <f t="shared" si="282"/>
        <v>0.17264983470193029</v>
      </c>
      <c r="H51" s="21">
        <f t="shared" si="282"/>
        <v>0.11627681202457912</v>
      </c>
      <c r="I51" s="21">
        <f t="shared" si="282"/>
        <v>0.12303306789628879</v>
      </c>
      <c r="J51" s="21">
        <f t="shared" si="282"/>
        <v>0.12775283662122605</v>
      </c>
      <c r="K51" s="37">
        <f t="shared" si="282"/>
        <v>0.128836550234561</v>
      </c>
      <c r="L51" s="21">
        <f t="shared" si="282"/>
        <v>0.12365552325581396</v>
      </c>
      <c r="M51" s="21">
        <f t="shared" si="282"/>
        <v>0.23732537765781125</v>
      </c>
      <c r="N51" s="21">
        <f t="shared" si="282"/>
        <v>0.1344161811081177</v>
      </c>
      <c r="O51" s="37">
        <f t="shared" si="282"/>
        <v>9.0063760023846376E-2</v>
      </c>
      <c r="P51" s="21">
        <f t="shared" si="282"/>
        <v>0.11625866633051808</v>
      </c>
      <c r="Q51" s="21">
        <f t="shared" si="282"/>
        <v>0.13879741300193268</v>
      </c>
      <c r="R51" s="21">
        <f t="shared" si="282"/>
        <v>0.13363070771042027</v>
      </c>
      <c r="S51" s="37">
        <f t="shared" si="282"/>
        <v>0.12800561131547999</v>
      </c>
      <c r="T51" s="21">
        <f>T50/T10</f>
        <v>0.12257307554966076</v>
      </c>
      <c r="U51" s="21">
        <f>U50/U10</f>
        <v>0.13179068864102991</v>
      </c>
      <c r="V51" s="21">
        <f>V50/V10</f>
        <v>0.13466358368302361</v>
      </c>
      <c r="W51" s="37">
        <f>W50/W10</f>
        <v>0.11707813960326388</v>
      </c>
      <c r="X51" s="21">
        <f t="shared" ref="X51:AW51" si="283">X50/X10</f>
        <v>0.12010943652539033</v>
      </c>
      <c r="Y51" s="21">
        <f t="shared" si="283"/>
        <v>0.11823031312590476</v>
      </c>
      <c r="Z51" s="21">
        <f t="shared" si="283"/>
        <v>0.12069606430927932</v>
      </c>
      <c r="AA51" s="21">
        <f t="shared" si="283"/>
        <v>0.11082015427878537</v>
      </c>
      <c r="AB51" s="20">
        <f t="shared" si="283"/>
        <v>0.12932149856346442</v>
      </c>
      <c r="AC51" s="21">
        <f t="shared" si="283"/>
        <v>0.1316896930458408</v>
      </c>
      <c r="AD51" s="21">
        <f t="shared" si="283"/>
        <v>0.12642968835800913</v>
      </c>
      <c r="AE51" s="21">
        <f t="shared" si="283"/>
        <v>0.11426454989348928</v>
      </c>
      <c r="AF51" s="20">
        <f t="shared" si="283"/>
        <v>0.10833897641328559</v>
      </c>
      <c r="AG51" s="21">
        <f t="shared" si="283"/>
        <v>0.11681607003335323</v>
      </c>
      <c r="AH51" s="21">
        <f t="shared" si="283"/>
        <v>0.1063224025856121</v>
      </c>
      <c r="AI51" s="21">
        <f t="shared" si="283"/>
        <v>0.1067916229096376</v>
      </c>
      <c r="AJ51" s="20">
        <f t="shared" si="283"/>
        <v>9.265636190021484E-2</v>
      </c>
      <c r="AK51" s="21">
        <f t="shared" si="283"/>
        <v>9.7307712400625662E-2</v>
      </c>
      <c r="AL51" s="21">
        <f t="shared" si="283"/>
        <v>9.9560485852699582E-2</v>
      </c>
      <c r="AM51" s="37">
        <f t="shared" si="283"/>
        <v>9.7115202974776049E-2</v>
      </c>
      <c r="AN51" s="20">
        <f t="shared" si="283"/>
        <v>0.10897800579062325</v>
      </c>
      <c r="AO51" s="21">
        <f t="shared" si="283"/>
        <v>0.11033206284789822</v>
      </c>
      <c r="AP51" s="21">
        <f t="shared" si="283"/>
        <v>9.6296505739799199E-2</v>
      </c>
      <c r="AQ51" s="37">
        <f t="shared" si="283"/>
        <v>8.9819122183356956E-2</v>
      </c>
      <c r="AR51" s="20">
        <f t="shared" si="283"/>
        <v>8.4033650487191525E-2</v>
      </c>
      <c r="AS51" s="21">
        <f t="shared" si="283"/>
        <v>9.3367826904985893E-2</v>
      </c>
      <c r="AT51" s="21">
        <f t="shared" si="283"/>
        <v>9.2180692501719771E-2</v>
      </c>
      <c r="AU51" s="37">
        <f t="shared" si="283"/>
        <v>8.721174004192872E-2</v>
      </c>
      <c r="AV51" s="20">
        <f t="shared" si="283"/>
        <v>8.1353919239904995E-2</v>
      </c>
      <c r="AW51" s="21">
        <f t="shared" si="283"/>
        <v>8.7110187110187101E-2</v>
      </c>
      <c r="AX51" s="21">
        <f t="shared" ref="AX51:BC51" si="284">AX50/AX10</f>
        <v>7.802385008517887E-2</v>
      </c>
      <c r="AY51" s="37">
        <f t="shared" si="284"/>
        <v>6.6555277081592867E-2</v>
      </c>
      <c r="AZ51" s="20">
        <f t="shared" si="284"/>
        <v>5.5369335816263195E-2</v>
      </c>
      <c r="BA51" s="21">
        <f t="shared" si="284"/>
        <v>6.2196562130953939E-2</v>
      </c>
      <c r="BB51" s="21">
        <f t="shared" si="284"/>
        <v>6.0000000000000005E-2</v>
      </c>
      <c r="BC51" s="37">
        <f t="shared" si="284"/>
        <v>5.1203451407811101E-2</v>
      </c>
      <c r="BD51" s="20">
        <f t="shared" ref="BD51:BI51" si="285">BD50/BD10</f>
        <v>5.1035822183858444E-2</v>
      </c>
      <c r="BE51" s="21">
        <f t="shared" si="285"/>
        <v>5.6766868791123727E-2</v>
      </c>
      <c r="BF51" s="21">
        <f t="shared" si="285"/>
        <v>6.2391911666888379E-2</v>
      </c>
      <c r="BG51" s="37">
        <f t="shared" si="285"/>
        <v>6.2963849652860907E-2</v>
      </c>
      <c r="BH51" s="20">
        <f t="shared" si="285"/>
        <v>5.3811659192825108E-2</v>
      </c>
      <c r="BI51" s="859">
        <f t="shared" si="285"/>
        <v>5.6123048021603845E-2</v>
      </c>
      <c r="BJ51" s="859">
        <f t="shared" ref="BJ51:BS51" si="286">BJ50/BJ10</f>
        <v>5.4951154529307288E-2</v>
      </c>
      <c r="BK51" s="885">
        <f t="shared" si="286"/>
        <v>5.7282145033516148E-2</v>
      </c>
      <c r="BL51" s="880">
        <f t="shared" si="286"/>
        <v>4.8103431885160176E-2</v>
      </c>
      <c r="BM51" s="881">
        <f t="shared" si="286"/>
        <v>5.8037570015959057E-2</v>
      </c>
      <c r="BN51" s="881">
        <f t="shared" si="286"/>
        <v>5.9193993317241574E-2</v>
      </c>
      <c r="BO51" s="885">
        <f t="shared" si="286"/>
        <v>5.2814181501564514E-2</v>
      </c>
      <c r="BP51" s="20">
        <f t="shared" si="286"/>
        <v>5.176974441387798E-2</v>
      </c>
      <c r="BQ51" s="21">
        <f t="shared" si="286"/>
        <v>5.4312996417987286E-2</v>
      </c>
      <c r="BR51" s="21">
        <f t="shared" si="286"/>
        <v>5.4304939539971647E-2</v>
      </c>
      <c r="BS51" s="37">
        <f t="shared" si="286"/>
        <v>5.2968411231642504E-2</v>
      </c>
      <c r="BT51" s="880">
        <f t="shared" ref="BT51:BW51" si="287">BT50/BT10</f>
        <v>5.1896166458605973E-2</v>
      </c>
      <c r="BU51" s="881">
        <f t="shared" si="287"/>
        <v>5.3386624845220845E-2</v>
      </c>
      <c r="BV51" s="881">
        <f t="shared" si="287"/>
        <v>5.3112302477367743E-2</v>
      </c>
      <c r="BW51" s="885">
        <f t="shared" si="287"/>
        <v>5.1513848506213128E-2</v>
      </c>
      <c r="BX51" s="841"/>
      <c r="BY51" s="20">
        <f>BY50/BY10</f>
        <v>0.1306335982026226</v>
      </c>
      <c r="BZ51" s="21">
        <f>BZ50/BZ10</f>
        <v>0.12438665702409242</v>
      </c>
      <c r="CA51" s="21">
        <f>CA50/CA10</f>
        <v>0.12974099254011062</v>
      </c>
      <c r="CB51" s="21">
        <f>CB50/CB10</f>
        <v>0.12900429898765772</v>
      </c>
      <c r="CC51" s="21">
        <f>CC50/CC10</f>
        <v>0.12625615185839709</v>
      </c>
      <c r="CD51" s="21">
        <f t="shared" ref="CD51:CJ51" si="288">CD50/CD10</f>
        <v>0.11730349516346771</v>
      </c>
      <c r="CE51" s="21">
        <f t="shared" si="288"/>
        <v>0.12486278575139831</v>
      </c>
      <c r="CF51" s="21">
        <f t="shared" si="288"/>
        <v>0.10925139641871195</v>
      </c>
      <c r="CG51" s="21">
        <f t="shared" si="288"/>
        <v>9.6719904265350737E-2</v>
      </c>
      <c r="CH51" s="21">
        <f t="shared" si="288"/>
        <v>0.10100402848179341</v>
      </c>
      <c r="CI51" s="37">
        <f t="shared" si="288"/>
        <v>8.9076981712846323E-2</v>
      </c>
      <c r="CJ51" s="880">
        <f t="shared" si="288"/>
        <v>7.7070786418783274E-2</v>
      </c>
      <c r="CK51" s="881">
        <f t="shared" ref="CK51:CP51" si="289">CK50/CK10</f>
        <v>5.6991161306162545E-2</v>
      </c>
      <c r="CL51" s="881">
        <f t="shared" si="289"/>
        <v>5.8011553663727566E-2</v>
      </c>
      <c r="CM51" s="881">
        <f t="shared" si="289"/>
        <v>5.556772744700663E-2</v>
      </c>
      <c r="CN51" s="881">
        <f t="shared" si="289"/>
        <v>5.4188838326563064E-2</v>
      </c>
      <c r="CO51" s="881">
        <f t="shared" si="289"/>
        <v>5.3295413138492884E-2</v>
      </c>
      <c r="CP51" s="885">
        <f t="shared" si="289"/>
        <v>5.2449138034197242E-2</v>
      </c>
      <c r="CQ51" s="107"/>
      <c r="CR51" s="20">
        <f>CR50/CR10</f>
        <v>0.12800959332205114</v>
      </c>
      <c r="CS51" s="21">
        <f>CS50/CS10</f>
        <v>0.13063607785260134</v>
      </c>
      <c r="CT51" s="21">
        <f>CT50/CT10</f>
        <v>0.12549976730411236</v>
      </c>
      <c r="CU51" s="21">
        <f t="shared" ref="CU51:CZ51" si="290">CU50/CU10</f>
        <v>0.11955515335368123</v>
      </c>
      <c r="CV51" s="21">
        <f t="shared" si="290"/>
        <v>0.11890692034622628</v>
      </c>
      <c r="CW51" s="21">
        <f t="shared" si="290"/>
        <v>0.10465721778812925</v>
      </c>
      <c r="CX51" s="21">
        <f t="shared" si="290"/>
        <v>0.10090812985349994</v>
      </c>
      <c r="CY51" s="21">
        <f t="shared" si="290"/>
        <v>9.4348149658226493E-2</v>
      </c>
      <c r="CZ51" s="21">
        <f t="shared" si="290"/>
        <v>8.8201790073230271E-2</v>
      </c>
      <c r="DA51" s="880">
        <f t="shared" ref="DA51:DF51" si="291">DA50/DA10</f>
        <v>6.9491067639001425E-2</v>
      </c>
      <c r="DB51" s="881">
        <f t="shared" si="291"/>
        <v>5.5744592715329777E-2</v>
      </c>
      <c r="DC51" s="881">
        <f t="shared" si="291"/>
        <v>5.8812757515641689E-2</v>
      </c>
      <c r="DD51" s="881">
        <f t="shared" si="291"/>
        <v>5.3919239904988127E-2</v>
      </c>
      <c r="DE51" s="881">
        <f t="shared" si="291"/>
        <v>5.5169823393258308E-2</v>
      </c>
      <c r="DF51" s="885">
        <f t="shared" si="291"/>
        <v>5.3320788447961572E-2</v>
      </c>
      <c r="DG51" s="7"/>
      <c r="DH51" s="7"/>
      <c r="DI51" s="7"/>
      <c r="DJ51" s="7"/>
      <c r="DK51"/>
      <c r="DL51"/>
      <c r="DM51"/>
      <c r="DN51"/>
      <c r="DO51"/>
      <c r="DP51"/>
      <c r="DQ51" s="7"/>
      <c r="DR51" s="7"/>
    </row>
    <row r="52" spans="1:122" s="7" customFormat="1" ht="14.25" collapsed="1">
      <c r="A52" s="505"/>
      <c r="B52" s="51"/>
      <c r="C52" s="52"/>
      <c r="D52" s="39"/>
      <c r="E52" s="39"/>
      <c r="F52" s="39"/>
      <c r="G52" s="40"/>
      <c r="H52" s="39"/>
      <c r="I52" s="39"/>
      <c r="J52" s="39"/>
      <c r="K52" s="40"/>
      <c r="L52" s="39"/>
      <c r="M52" s="39"/>
      <c r="N52" s="39"/>
      <c r="O52" s="40"/>
      <c r="P52" s="39"/>
      <c r="Q52" s="39"/>
      <c r="R52" s="39"/>
      <c r="S52" s="40"/>
      <c r="T52" s="39"/>
      <c r="U52" s="39"/>
      <c r="V52" s="39"/>
      <c r="W52" s="40"/>
      <c r="X52" s="39"/>
      <c r="Y52" s="39"/>
      <c r="Z52" s="39"/>
      <c r="AA52" s="39"/>
      <c r="AB52" s="38"/>
      <c r="AC52" s="39"/>
      <c r="AD52" s="39"/>
      <c r="AE52" s="39"/>
      <c r="AF52" s="38"/>
      <c r="AG52" s="39"/>
      <c r="AH52" s="39"/>
      <c r="AI52" s="39"/>
      <c r="AJ52" s="38"/>
      <c r="AK52" s="39"/>
      <c r="AL52" s="39"/>
      <c r="AM52" s="40"/>
      <c r="AN52" s="38"/>
      <c r="AO52" s="39"/>
      <c r="AP52" s="39"/>
      <c r="AQ52" s="40"/>
      <c r="AR52" s="38"/>
      <c r="AS52" s="39"/>
      <c r="AT52" s="39"/>
      <c r="AU52" s="40"/>
      <c r="AV52" s="38"/>
      <c r="AW52" s="39"/>
      <c r="AX52" s="39"/>
      <c r="AY52" s="40"/>
      <c r="AZ52" s="38"/>
      <c r="BA52" s="39"/>
      <c r="BB52" s="39"/>
      <c r="BC52" s="40"/>
      <c r="BD52" s="38"/>
      <c r="BE52" s="39"/>
      <c r="BF52" s="39"/>
      <c r="BG52" s="40"/>
      <c r="BH52" s="38"/>
      <c r="BI52" s="39"/>
      <c r="BJ52" s="39"/>
      <c r="BK52" s="40"/>
      <c r="BL52" s="38"/>
      <c r="BM52" s="39"/>
      <c r="BN52" s="39"/>
      <c r="BO52" s="40"/>
      <c r="BP52" s="38"/>
      <c r="BQ52" s="39"/>
      <c r="BR52" s="39"/>
      <c r="BS52" s="40"/>
      <c r="BT52" s="38"/>
      <c r="BU52" s="39"/>
      <c r="BV52" s="39"/>
      <c r="BW52" s="40"/>
      <c r="BX52" s="108"/>
      <c r="BY52" s="56"/>
      <c r="BZ52" s="57"/>
      <c r="CA52" s="57"/>
      <c r="CB52" s="57"/>
      <c r="CC52" s="57"/>
      <c r="CD52" s="57"/>
      <c r="CE52" s="57"/>
      <c r="CF52" s="57"/>
      <c r="CG52" s="57"/>
      <c r="CH52" s="57"/>
      <c r="CI52" s="58"/>
      <c r="CJ52" s="56"/>
      <c r="CK52" s="57"/>
      <c r="CL52" s="57"/>
      <c r="CM52" s="57"/>
      <c r="CN52" s="57"/>
      <c r="CO52" s="57"/>
      <c r="CP52" s="58"/>
      <c r="CQ52" s="108"/>
      <c r="CR52" s="56"/>
      <c r="CS52" s="57"/>
      <c r="CT52" s="57"/>
      <c r="CU52" s="57"/>
      <c r="CV52" s="57"/>
      <c r="CW52" s="57"/>
      <c r="CX52" s="57"/>
      <c r="CY52" s="57"/>
      <c r="CZ52" s="57"/>
      <c r="DA52" s="56"/>
      <c r="DB52" s="57"/>
      <c r="DC52" s="57"/>
      <c r="DD52" s="57"/>
      <c r="DE52" s="57"/>
      <c r="DF52" s="58"/>
      <c r="DK52"/>
      <c r="DL52"/>
      <c r="DM52"/>
      <c r="DN52"/>
      <c r="DO52"/>
      <c r="DP52"/>
    </row>
    <row r="53" spans="1:122" s="7" customFormat="1" ht="14.25">
      <c r="A53" s="505"/>
      <c r="B53" s="14" t="s">
        <v>239</v>
      </c>
      <c r="C53" s="24"/>
      <c r="D53" s="30">
        <f t="shared" ref="D53:X53" si="292">D54+D55+D56</f>
        <v>1.127</v>
      </c>
      <c r="E53" s="31">
        <f t="shared" si="292"/>
        <v>4.4030000000000005</v>
      </c>
      <c r="F53" s="31">
        <f t="shared" si="292"/>
        <v>1.075</v>
      </c>
      <c r="G53" s="32">
        <f t="shared" si="292"/>
        <v>32.274000000000001</v>
      </c>
      <c r="H53" s="31">
        <f t="shared" si="292"/>
        <v>0.76900000000000002</v>
      </c>
      <c r="I53" s="31">
        <f t="shared" si="292"/>
        <v>16.527999999999999</v>
      </c>
      <c r="J53" s="31">
        <f t="shared" si="292"/>
        <v>0.76800000000000002</v>
      </c>
      <c r="K53" s="32">
        <f t="shared" si="292"/>
        <v>2.3439999999999994</v>
      </c>
      <c r="L53" s="31">
        <f t="shared" si="292"/>
        <v>0.73699999999999999</v>
      </c>
      <c r="M53" s="31">
        <f t="shared" si="292"/>
        <v>0.54500000000000004</v>
      </c>
      <c r="N53" s="31">
        <f t="shared" si="292"/>
        <v>0.53600000000000003</v>
      </c>
      <c r="O53" s="32">
        <f t="shared" si="292"/>
        <v>0.53600000000000014</v>
      </c>
      <c r="P53" s="31">
        <f t="shared" si="292"/>
        <v>0.53600000000000003</v>
      </c>
      <c r="Q53" s="31">
        <f t="shared" si="292"/>
        <v>0.53600000000000003</v>
      </c>
      <c r="R53" s="31">
        <f t="shared" si="292"/>
        <v>0.53600000000000003</v>
      </c>
      <c r="S53" s="32">
        <f t="shared" si="292"/>
        <v>27.491</v>
      </c>
      <c r="T53" s="31">
        <f t="shared" si="292"/>
        <v>6.0090000000000003</v>
      </c>
      <c r="U53" s="31">
        <f t="shared" si="292"/>
        <v>0.53600000000000003</v>
      </c>
      <c r="V53" s="31">
        <f t="shared" si="292"/>
        <v>0.79300000000000004</v>
      </c>
      <c r="W53" s="32">
        <f t="shared" si="292"/>
        <v>0.53600000000000003</v>
      </c>
      <c r="X53" s="31">
        <f t="shared" si="292"/>
        <v>1.9319999999999999</v>
      </c>
      <c r="Y53" s="31">
        <f t="shared" ref="Y53:AJ53" si="293">Y54+Y55+Y56</f>
        <v>1.871</v>
      </c>
      <c r="Z53" s="31">
        <f t="shared" si="293"/>
        <v>1.101</v>
      </c>
      <c r="AA53" s="31">
        <f t="shared" si="293"/>
        <v>1.6679999999999999</v>
      </c>
      <c r="AB53" s="30">
        <f t="shared" si="293"/>
        <v>1.149</v>
      </c>
      <c r="AC53" s="31">
        <f t="shared" si="293"/>
        <v>17.227999999999998</v>
      </c>
      <c r="AD53" s="31">
        <f t="shared" si="293"/>
        <v>1.548</v>
      </c>
      <c r="AE53" s="31">
        <f t="shared" si="293"/>
        <v>2.1750000000000003</v>
      </c>
      <c r="AF53" s="30">
        <f t="shared" si="293"/>
        <v>1.5009999999999999</v>
      </c>
      <c r="AG53" s="31">
        <f t="shared" si="293"/>
        <v>1.5</v>
      </c>
      <c r="AH53" s="31">
        <f t="shared" si="293"/>
        <v>0.46099999999999985</v>
      </c>
      <c r="AI53" s="31">
        <f t="shared" si="293"/>
        <v>1.6339999999999999</v>
      </c>
      <c r="AJ53" s="30">
        <f t="shared" si="293"/>
        <v>1.6020000000000001</v>
      </c>
      <c r="AK53" s="31">
        <f t="shared" ref="AK53:AP53" si="294">AK54+AK55+AK56</f>
        <v>1.6379999999999999</v>
      </c>
      <c r="AL53" s="31">
        <f t="shared" si="294"/>
        <v>5.4809999999999999</v>
      </c>
      <c r="AM53" s="32">
        <f t="shared" si="294"/>
        <v>10.384</v>
      </c>
      <c r="AN53" s="30">
        <f t="shared" si="294"/>
        <v>7.032</v>
      </c>
      <c r="AO53" s="31">
        <f t="shared" si="294"/>
        <v>15.234999999999999</v>
      </c>
      <c r="AP53" s="31">
        <f t="shared" si="294"/>
        <v>9.745000000000001</v>
      </c>
      <c r="AQ53" s="32">
        <f t="shared" ref="AQ53:AW53" si="295">AQ54+AQ55+AQ56</f>
        <v>8.484</v>
      </c>
      <c r="AR53" s="30">
        <f t="shared" si="295"/>
        <v>9.8000000000000007</v>
      </c>
      <c r="AS53" s="31">
        <f t="shared" si="295"/>
        <v>12</v>
      </c>
      <c r="AT53" s="31">
        <f t="shared" si="295"/>
        <v>7</v>
      </c>
      <c r="AU53" s="32">
        <f t="shared" si="295"/>
        <v>6.7</v>
      </c>
      <c r="AV53" s="30">
        <f t="shared" si="295"/>
        <v>6.5</v>
      </c>
      <c r="AW53" s="31">
        <f t="shared" si="295"/>
        <v>6.3</v>
      </c>
      <c r="AX53" s="31">
        <f t="shared" ref="AX53:BC53" si="296">AX54+AX55+AX56</f>
        <v>5.7</v>
      </c>
      <c r="AY53" s="32">
        <f t="shared" si="296"/>
        <v>7.7</v>
      </c>
      <c r="AZ53" s="30">
        <f t="shared" si="296"/>
        <v>9.8000000000000007</v>
      </c>
      <c r="BA53" s="31">
        <f t="shared" si="296"/>
        <v>9.4</v>
      </c>
      <c r="BB53" s="31">
        <f t="shared" si="296"/>
        <v>8.9</v>
      </c>
      <c r="BC53" s="32">
        <f t="shared" si="296"/>
        <v>8.8000000000000007</v>
      </c>
      <c r="BD53" s="30">
        <f t="shared" ref="BD53:BI53" si="297">BD54+BD55+BD56</f>
        <v>8.4</v>
      </c>
      <c r="BE53" s="31">
        <f t="shared" si="297"/>
        <v>8.9</v>
      </c>
      <c r="BF53" s="31">
        <f t="shared" si="297"/>
        <v>14.9</v>
      </c>
      <c r="BG53" s="32">
        <f t="shared" si="297"/>
        <v>6</v>
      </c>
      <c r="BH53" s="30">
        <f t="shared" si="297"/>
        <v>9.1</v>
      </c>
      <c r="BI53" s="31">
        <f t="shared" si="297"/>
        <v>7</v>
      </c>
      <c r="BJ53" s="31">
        <f t="shared" ref="BJ53:BS53" si="298">BJ54+BJ55+BJ56</f>
        <v>7.3</v>
      </c>
      <c r="BK53" s="32">
        <f t="shared" si="298"/>
        <v>4.8</v>
      </c>
      <c r="BL53" s="30">
        <f t="shared" si="298"/>
        <v>4</v>
      </c>
      <c r="BM53" s="31">
        <f t="shared" si="298"/>
        <v>0</v>
      </c>
      <c r="BN53" s="31">
        <f t="shared" si="298"/>
        <v>0</v>
      </c>
      <c r="BO53" s="32">
        <f t="shared" si="298"/>
        <v>0</v>
      </c>
      <c r="BP53" s="30">
        <f t="shared" si="298"/>
        <v>0</v>
      </c>
      <c r="BQ53" s="31">
        <f t="shared" si="298"/>
        <v>0</v>
      </c>
      <c r="BR53" s="31">
        <f t="shared" si="298"/>
        <v>0</v>
      </c>
      <c r="BS53" s="32">
        <f t="shared" si="298"/>
        <v>0</v>
      </c>
      <c r="BT53" s="30">
        <f t="shared" ref="BT53:BW53" si="299">BT54+BT55+BT56</f>
        <v>0</v>
      </c>
      <c r="BU53" s="31">
        <f t="shared" si="299"/>
        <v>0</v>
      </c>
      <c r="BV53" s="31">
        <f t="shared" si="299"/>
        <v>0</v>
      </c>
      <c r="BW53" s="32">
        <f t="shared" si="299"/>
        <v>0</v>
      </c>
      <c r="BX53" s="106"/>
      <c r="BY53" s="30">
        <f>BY54+BY55+BY56</f>
        <v>38.879000000000005</v>
      </c>
      <c r="BZ53" s="31">
        <f>BZ54+BZ55+BZ56</f>
        <v>20.408999999999999</v>
      </c>
      <c r="CA53" s="31">
        <f>CA54+CA55+CA56</f>
        <v>2.3540000000000001</v>
      </c>
      <c r="CB53" s="31">
        <f>CB54+CB55+CB56</f>
        <v>29.098999999999997</v>
      </c>
      <c r="CC53" s="31">
        <f>CC54+CC55+CC56</f>
        <v>7.8739999999999997</v>
      </c>
      <c r="CD53" s="31">
        <f t="shared" ref="CD53:CL53" si="300">CD54+CD55+CD56</f>
        <v>6.5720000000000001</v>
      </c>
      <c r="CE53" s="31">
        <f t="shared" si="300"/>
        <v>22.1</v>
      </c>
      <c r="CF53" s="31">
        <f t="shared" si="300"/>
        <v>5.0959999999999992</v>
      </c>
      <c r="CG53" s="31">
        <f t="shared" si="300"/>
        <v>19.105</v>
      </c>
      <c r="CH53" s="31">
        <f t="shared" si="300"/>
        <v>40.495999999999995</v>
      </c>
      <c r="CI53" s="32">
        <f t="shared" si="300"/>
        <v>35.5</v>
      </c>
      <c r="CJ53" s="30">
        <f t="shared" si="300"/>
        <v>26.2</v>
      </c>
      <c r="CK53" s="31">
        <f>CK54+CK55+CK56</f>
        <v>36.9</v>
      </c>
      <c r="CL53" s="31">
        <f t="shared" si="300"/>
        <v>38.199999999999996</v>
      </c>
      <c r="CM53" s="31">
        <f t="shared" ref="CM53:CM59" si="301">SUM(BH53:BK53)</f>
        <v>28.200000000000003</v>
      </c>
      <c r="CN53" s="31">
        <f t="shared" ref="CN53:CN59" si="302">SUM(BL53:BO53)</f>
        <v>4</v>
      </c>
      <c r="CO53" s="31">
        <f t="shared" ref="CO53:CO59" si="303">SUM(BP53:BS53)</f>
        <v>0</v>
      </c>
      <c r="CP53" s="32">
        <f t="shared" ref="CP53:CP59" si="304">SUM(BT53:BW53)</f>
        <v>0</v>
      </c>
      <c r="CQ53" s="106"/>
      <c r="CR53" s="30">
        <f>CR54+CR55+CR56</f>
        <v>2.153</v>
      </c>
      <c r="CS53" s="31">
        <f>CS54+CS55+CS56</f>
        <v>34.571999999999996</v>
      </c>
      <c r="CT53" s="31">
        <f>CT54+CT55+CT56</f>
        <v>3.7970000000000002</v>
      </c>
      <c r="CU53" s="31">
        <f t="shared" ref="CU53:DD53" si="305">CU54+CU55+CU56</f>
        <v>5.7890000000000006</v>
      </c>
      <c r="CV53" s="31">
        <f t="shared" si="305"/>
        <v>22.451999999999998</v>
      </c>
      <c r="CW53" s="31">
        <f t="shared" si="305"/>
        <v>5.1970000000000001</v>
      </c>
      <c r="CX53" s="31">
        <f t="shared" si="305"/>
        <v>24.535000000000004</v>
      </c>
      <c r="CY53" s="31">
        <f t="shared" si="305"/>
        <v>43.264000000000003</v>
      </c>
      <c r="CZ53" s="31">
        <f t="shared" si="305"/>
        <v>32.199999999999996</v>
      </c>
      <c r="DA53" s="30">
        <f t="shared" si="305"/>
        <v>29.5</v>
      </c>
      <c r="DB53" s="31">
        <f>DB54+DB55+DB56</f>
        <v>35.500000000000007</v>
      </c>
      <c r="DC53" s="31">
        <f>DC54+DC55+DC56</f>
        <v>38.9</v>
      </c>
      <c r="DD53" s="31">
        <f t="shared" si="305"/>
        <v>23.1</v>
      </c>
      <c r="DE53" s="31">
        <f>DE54+DE55+DE56</f>
        <v>0</v>
      </c>
      <c r="DF53" s="32">
        <f>DF54+DF55+DF56</f>
        <v>0</v>
      </c>
      <c r="DG53" s="42"/>
      <c r="DH53" s="42"/>
      <c r="DI53" s="42"/>
      <c r="DJ53" s="42"/>
      <c r="DK53"/>
      <c r="DL53"/>
      <c r="DM53"/>
      <c r="DN53"/>
      <c r="DO53"/>
      <c r="DP53"/>
      <c r="DQ53" s="42"/>
      <c r="DR53" s="42"/>
    </row>
    <row r="54" spans="1:122" s="42" customFormat="1" ht="14.25" hidden="1" outlineLevel="1">
      <c r="B54" s="25" t="s">
        <v>26</v>
      </c>
      <c r="C54" s="24"/>
      <c r="D54" s="27">
        <v>1.127</v>
      </c>
      <c r="E54" s="28">
        <v>1.1080000000000001</v>
      </c>
      <c r="F54" s="28">
        <v>1.075</v>
      </c>
      <c r="G54" s="54">
        <f>4.386-F54-E54-D54</f>
        <v>1.0759999999999998</v>
      </c>
      <c r="H54" s="28">
        <v>0.76900000000000002</v>
      </c>
      <c r="I54" s="28">
        <v>0.76900000000000002</v>
      </c>
      <c r="J54" s="28">
        <v>0.76800000000000002</v>
      </c>
      <c r="K54" s="54">
        <f>3.043-J54-I54-H54</f>
        <v>0.73700000000000021</v>
      </c>
      <c r="L54" s="28">
        <v>0.73699999999999999</v>
      </c>
      <c r="M54" s="28">
        <v>0.54500000000000004</v>
      </c>
      <c r="N54" s="28">
        <v>0.53600000000000003</v>
      </c>
      <c r="O54" s="54">
        <f>2.354-N54-M54-L54</f>
        <v>0.53600000000000014</v>
      </c>
      <c r="P54" s="28">
        <v>0.53600000000000003</v>
      </c>
      <c r="Q54" s="28">
        <v>0.53600000000000003</v>
      </c>
      <c r="R54" s="28">
        <v>0.53600000000000003</v>
      </c>
      <c r="S54" s="54">
        <f>2.144-R54-Q54-P54</f>
        <v>0.53600000000000003</v>
      </c>
      <c r="T54" s="28">
        <v>0.53600000000000003</v>
      </c>
      <c r="U54" s="28">
        <v>0.53600000000000003</v>
      </c>
      <c r="V54" s="28">
        <v>0.53600000000000003</v>
      </c>
      <c r="W54" s="53">
        <v>0.53600000000000003</v>
      </c>
      <c r="X54" s="28">
        <v>1.9319999999999999</v>
      </c>
      <c r="Y54" s="28">
        <v>1.871</v>
      </c>
      <c r="Z54" s="28">
        <v>1.101</v>
      </c>
      <c r="AA54" s="41">
        <f>6.005-Z54-Y54-X54</f>
        <v>1.101</v>
      </c>
      <c r="AB54" s="27">
        <v>1.149</v>
      </c>
      <c r="AC54" s="28">
        <v>1.246</v>
      </c>
      <c r="AD54" s="28">
        <v>1.548</v>
      </c>
      <c r="AE54" s="41">
        <f>6.118-AD54-AC54-AB54</f>
        <v>2.1750000000000003</v>
      </c>
      <c r="AF54" s="27">
        <v>1.5009999999999999</v>
      </c>
      <c r="AG54" s="28">
        <v>1.5</v>
      </c>
      <c r="AH54" s="28">
        <v>1.5009999999999999</v>
      </c>
      <c r="AI54" s="41">
        <f>6.136-AH54-AG54-AF54</f>
        <v>1.6339999999999999</v>
      </c>
      <c r="AJ54" s="27">
        <v>1.6020000000000001</v>
      </c>
      <c r="AK54" s="28">
        <v>1.6379999999999999</v>
      </c>
      <c r="AL54" s="28">
        <v>4.0060000000000002</v>
      </c>
      <c r="AM54" s="53">
        <v>9.4960000000000004</v>
      </c>
      <c r="AN54" s="27">
        <v>6.3120000000000003</v>
      </c>
      <c r="AO54" s="28">
        <v>9.34</v>
      </c>
      <c r="AP54" s="28">
        <v>8.6080000000000005</v>
      </c>
      <c r="AQ54" s="53">
        <v>8.484</v>
      </c>
      <c r="AR54" s="27">
        <v>8.1560000000000006</v>
      </c>
      <c r="AS54" s="28">
        <v>7.2</v>
      </c>
      <c r="AT54" s="28">
        <v>7</v>
      </c>
      <c r="AU54" s="53">
        <v>6.7</v>
      </c>
      <c r="AV54" s="27">
        <v>6.5</v>
      </c>
      <c r="AW54" s="28">
        <v>6.3</v>
      </c>
      <c r="AX54" s="28">
        <v>5.7</v>
      </c>
      <c r="AY54" s="53">
        <v>7.4</v>
      </c>
      <c r="AZ54" s="27">
        <v>8.5</v>
      </c>
      <c r="BA54" s="28">
        <v>8.3000000000000007</v>
      </c>
      <c r="BB54" s="28">
        <v>8.4</v>
      </c>
      <c r="BC54" s="53">
        <f>33.5-BB54-BA54-AZ54</f>
        <v>8.3000000000000007</v>
      </c>
      <c r="BD54" s="27">
        <v>8.4</v>
      </c>
      <c r="BE54" s="28">
        <v>8.6</v>
      </c>
      <c r="BF54" s="28">
        <v>10</v>
      </c>
      <c r="BG54" s="53">
        <v>6.4</v>
      </c>
      <c r="BH54" s="27">
        <v>8.5</v>
      </c>
      <c r="BI54" s="28">
        <v>7</v>
      </c>
      <c r="BJ54" s="28">
        <v>7.1</v>
      </c>
      <c r="BK54" s="53">
        <v>5</v>
      </c>
      <c r="BL54" s="27">
        <v>4</v>
      </c>
      <c r="BM54" s="43">
        <v>0</v>
      </c>
      <c r="BN54" s="43">
        <v>0</v>
      </c>
      <c r="BO54" s="389">
        <v>0</v>
      </c>
      <c r="BP54" s="832">
        <v>0</v>
      </c>
      <c r="BQ54" s="43">
        <f t="shared" ref="BQ54:BS58" si="306">BP54</f>
        <v>0</v>
      </c>
      <c r="BR54" s="43">
        <f t="shared" si="306"/>
        <v>0</v>
      </c>
      <c r="BS54" s="389">
        <f t="shared" si="306"/>
        <v>0</v>
      </c>
      <c r="BT54" s="832">
        <v>0</v>
      </c>
      <c r="BU54" s="43">
        <f t="shared" ref="BU54:BU58" si="307">BT54</f>
        <v>0</v>
      </c>
      <c r="BV54" s="43">
        <f t="shared" ref="BV54:BV58" si="308">BU54</f>
        <v>0</v>
      </c>
      <c r="BW54" s="389">
        <f t="shared" ref="BW54:BW58" si="309">BV54</f>
        <v>0</v>
      </c>
      <c r="BX54" s="106"/>
      <c r="BY54" s="30">
        <f t="shared" ref="BY54:BY59" si="310">SUM(D54:G54)</f>
        <v>4.3860000000000001</v>
      </c>
      <c r="BZ54" s="31">
        <f t="shared" ref="BZ54:BZ59" si="311">SUM(H54:K54)</f>
        <v>3.0430000000000001</v>
      </c>
      <c r="CA54" s="31">
        <f>SUM(L54:O54)</f>
        <v>2.3540000000000001</v>
      </c>
      <c r="CB54" s="31">
        <f t="shared" ref="CB54:CB59" si="312">SUM(P54:S54)</f>
        <v>2.1440000000000001</v>
      </c>
      <c r="CC54" s="31">
        <f t="shared" ref="CC54:CC59" si="313">SUM(T54:W54)</f>
        <v>2.1440000000000001</v>
      </c>
      <c r="CD54" s="31">
        <f t="shared" ref="CD54:CD59" si="314">SUM(X54:AA54)</f>
        <v>6.0049999999999999</v>
      </c>
      <c r="CE54" s="31">
        <f t="shared" ref="CE54:CE59" si="315">SUM(AB54:AE54)</f>
        <v>6.1180000000000003</v>
      </c>
      <c r="CF54" s="31">
        <f t="shared" ref="CF54:CF59" si="316">SUM(AF54:AI54)</f>
        <v>6.1359999999999992</v>
      </c>
      <c r="CG54" s="31">
        <f t="shared" ref="CG54:CG59" si="317">SUM(AJ54:AM54)</f>
        <v>16.742000000000001</v>
      </c>
      <c r="CH54" s="31">
        <f t="shared" ref="CH54:CH59" si="318">SUM(AN54:AQ54)</f>
        <v>32.744</v>
      </c>
      <c r="CI54" s="32">
        <f t="shared" ref="CI54:CI59" si="319">SUM(AR54:AU54)</f>
        <v>29.056000000000001</v>
      </c>
      <c r="CJ54" s="30">
        <f t="shared" ref="CJ54:CJ59" si="320">SUM(AV54:AY54)</f>
        <v>25.9</v>
      </c>
      <c r="CK54" s="31">
        <f t="shared" ref="CK54:CK59" si="321">SUM(AZ54:BC54)</f>
        <v>33.5</v>
      </c>
      <c r="CL54" s="31">
        <f t="shared" ref="CL54:CL59" si="322">SUM(BD54:BG54)</f>
        <v>33.4</v>
      </c>
      <c r="CM54" s="31">
        <f t="shared" si="301"/>
        <v>27.6</v>
      </c>
      <c r="CN54" s="31">
        <f t="shared" si="302"/>
        <v>4</v>
      </c>
      <c r="CO54" s="31">
        <f t="shared" si="303"/>
        <v>0</v>
      </c>
      <c r="CP54" s="32">
        <f t="shared" si="304"/>
        <v>0</v>
      </c>
      <c r="CQ54" s="106"/>
      <c r="CR54" s="193">
        <f t="shared" ref="CR54:CR59" si="323">SUM(M54:P54)</f>
        <v>2.153</v>
      </c>
      <c r="CS54" s="75">
        <f t="shared" ref="CS54:CS59" si="324">SUM(Q54:T54)</f>
        <v>2.1440000000000001</v>
      </c>
      <c r="CT54" s="75">
        <f t="shared" ref="CT54:CT59" si="325">SUM(U54:X54)</f>
        <v>3.54</v>
      </c>
      <c r="CU54" s="75">
        <f t="shared" ref="CU54:CU59" si="326">SUM(Y54:AB54)</f>
        <v>5.2220000000000004</v>
      </c>
      <c r="CV54" s="75">
        <f t="shared" ref="CV54:CV59" si="327">SUM(AC54:AF54)</f>
        <v>6.4700000000000006</v>
      </c>
      <c r="CW54" s="75">
        <f t="shared" ref="CW54:CW59" si="328">SUM(AG54:AJ54)</f>
        <v>6.2370000000000001</v>
      </c>
      <c r="CX54" s="75">
        <f t="shared" ref="CX54:CX59" si="329">SUM(AK54:AN54)</f>
        <v>21.452000000000002</v>
      </c>
      <c r="CY54" s="75">
        <f t="shared" ref="CY54:CY59" si="330">SUM(AO54:AR54)</f>
        <v>34.588000000000001</v>
      </c>
      <c r="CZ54" s="75">
        <f t="shared" ref="CZ54:CZ59" si="331">SUM(AS54:AV54)</f>
        <v>27.4</v>
      </c>
      <c r="DA54" s="193">
        <f t="shared" ref="DA54:DA59" si="332">SUM(AW54:AZ54)</f>
        <v>27.9</v>
      </c>
      <c r="DB54" s="75">
        <f t="shared" ref="DB54:DB59" si="333">SUM(BA54:BD54)</f>
        <v>33.400000000000006</v>
      </c>
      <c r="DC54" s="75">
        <f t="shared" ref="DC54:DC59" si="334">SUM(BE54:BH54)</f>
        <v>33.5</v>
      </c>
      <c r="DD54" s="75">
        <f t="shared" ref="DD54:DD59" si="335">SUM(BI54:BL54)</f>
        <v>23.1</v>
      </c>
      <c r="DE54" s="75">
        <f t="shared" ref="DE54:DE59" si="336">SUM(BM54:BP54)</f>
        <v>0</v>
      </c>
      <c r="DF54" s="76">
        <f t="shared" ref="DF54:DF59" si="337">SUM(BQ54:BT54)</f>
        <v>0</v>
      </c>
      <c r="DK54"/>
      <c r="DL54"/>
      <c r="DM54"/>
      <c r="DN54"/>
      <c r="DO54"/>
      <c r="DP54"/>
    </row>
    <row r="55" spans="1:122" s="42" customFormat="1" ht="14.25" hidden="1" outlineLevel="1">
      <c r="B55" s="25" t="s">
        <v>27</v>
      </c>
      <c r="C55" s="24"/>
      <c r="D55" s="27"/>
      <c r="E55" s="28">
        <v>3.2949999999999999</v>
      </c>
      <c r="F55" s="28">
        <v>0</v>
      </c>
      <c r="G55" s="54">
        <f>34.493-F55-E55-D55</f>
        <v>31.198</v>
      </c>
      <c r="H55" s="28">
        <v>0</v>
      </c>
      <c r="I55" s="28">
        <v>15.759</v>
      </c>
      <c r="J55" s="28">
        <v>0</v>
      </c>
      <c r="K55" s="54">
        <f>17.366-J55-I55-H55</f>
        <v>1.6069999999999993</v>
      </c>
      <c r="L55" s="28">
        <v>0</v>
      </c>
      <c r="M55" s="28">
        <v>0</v>
      </c>
      <c r="N55" s="28">
        <v>0</v>
      </c>
      <c r="O55" s="54">
        <f>0-N55-M55-L55</f>
        <v>0</v>
      </c>
      <c r="P55" s="28">
        <v>0</v>
      </c>
      <c r="Q55" s="28">
        <v>0</v>
      </c>
      <c r="R55" s="28">
        <v>0</v>
      </c>
      <c r="S55" s="54">
        <f>26.955-R55-Q55-P55</f>
        <v>26.954999999999998</v>
      </c>
      <c r="T55" s="28">
        <v>5.4729999999999999</v>
      </c>
      <c r="U55" s="28">
        <v>0</v>
      </c>
      <c r="V55" s="28">
        <v>0.25700000000000001</v>
      </c>
      <c r="W55" s="28">
        <f>5.73-V55-U55-T55</f>
        <v>0</v>
      </c>
      <c r="X55" s="27">
        <v>0</v>
      </c>
      <c r="Y55" s="28">
        <v>0</v>
      </c>
      <c r="Z55" s="28">
        <v>0</v>
      </c>
      <c r="AA55" s="41">
        <f>0.567-Z55-Y55-X55</f>
        <v>0.56699999999999995</v>
      </c>
      <c r="AB55" s="27">
        <v>0</v>
      </c>
      <c r="AC55" s="28">
        <v>15.981999999999999</v>
      </c>
      <c r="AD55" s="28">
        <v>0</v>
      </c>
      <c r="AE55" s="41">
        <f>15.982-AD55-AC55-AB55</f>
        <v>0</v>
      </c>
      <c r="AF55" s="27">
        <v>0</v>
      </c>
      <c r="AG55" s="28">
        <v>0</v>
      </c>
      <c r="AH55" s="28">
        <v>-1.04</v>
      </c>
      <c r="AI55" s="41">
        <f>-1.04-AH55-AG55-AF55</f>
        <v>0</v>
      </c>
      <c r="AJ55" s="27">
        <f>AI55</f>
        <v>0</v>
      </c>
      <c r="AK55" s="28">
        <v>0</v>
      </c>
      <c r="AL55" s="28">
        <v>1.4750000000000001</v>
      </c>
      <c r="AM55" s="53">
        <v>0.88800000000000001</v>
      </c>
      <c r="AN55" s="27">
        <v>0.72</v>
      </c>
      <c r="AO55" s="28">
        <v>5.8949999999999996</v>
      </c>
      <c r="AP55" s="28">
        <v>1.137</v>
      </c>
      <c r="AQ55" s="53">
        <v>0</v>
      </c>
      <c r="AR55" s="27">
        <v>1.6439999999999999</v>
      </c>
      <c r="AS55" s="28">
        <v>4.8</v>
      </c>
      <c r="AT55" s="28">
        <v>0</v>
      </c>
      <c r="AU55" s="53">
        <v>0</v>
      </c>
      <c r="AV55" s="27">
        <v>0</v>
      </c>
      <c r="AW55" s="28">
        <v>0</v>
      </c>
      <c r="AX55" s="28">
        <v>0</v>
      </c>
      <c r="AY55" s="53">
        <v>0.3</v>
      </c>
      <c r="AZ55" s="27">
        <v>1.3</v>
      </c>
      <c r="BA55" s="28">
        <v>1.1000000000000001</v>
      </c>
      <c r="BB55" s="28">
        <v>0.5</v>
      </c>
      <c r="BC55" s="53">
        <f>3.4-BB55-BA55-AZ55</f>
        <v>0.49999999999999978</v>
      </c>
      <c r="BD55" s="27">
        <v>0</v>
      </c>
      <c r="BE55" s="28">
        <v>0.3</v>
      </c>
      <c r="BF55" s="28">
        <v>4.9000000000000004</v>
      </c>
      <c r="BG55" s="53">
        <v>-0.4</v>
      </c>
      <c r="BH55" s="27">
        <v>0.6</v>
      </c>
      <c r="BI55" s="28">
        <v>0</v>
      </c>
      <c r="BJ55" s="28">
        <v>0.2</v>
      </c>
      <c r="BK55" s="53">
        <v>-0.2</v>
      </c>
      <c r="BL55" s="27">
        <v>0</v>
      </c>
      <c r="BM55" s="29">
        <f t="shared" ref="BM55:BO58" si="338">BL55</f>
        <v>0</v>
      </c>
      <c r="BN55" s="29">
        <f t="shared" si="338"/>
        <v>0</v>
      </c>
      <c r="BO55" s="388">
        <f t="shared" si="338"/>
        <v>0</v>
      </c>
      <c r="BP55" s="833">
        <f>BO55</f>
        <v>0</v>
      </c>
      <c r="BQ55" s="29">
        <f t="shared" si="306"/>
        <v>0</v>
      </c>
      <c r="BR55" s="29">
        <f t="shared" si="306"/>
        <v>0</v>
      </c>
      <c r="BS55" s="388">
        <f t="shared" si="306"/>
        <v>0</v>
      </c>
      <c r="BT55" s="833">
        <f>BS55</f>
        <v>0</v>
      </c>
      <c r="BU55" s="29">
        <f t="shared" si="307"/>
        <v>0</v>
      </c>
      <c r="BV55" s="29">
        <f t="shared" si="308"/>
        <v>0</v>
      </c>
      <c r="BW55" s="388">
        <f t="shared" si="309"/>
        <v>0</v>
      </c>
      <c r="BX55" s="106"/>
      <c r="BY55" s="30">
        <f t="shared" si="310"/>
        <v>34.493000000000002</v>
      </c>
      <c r="BZ55" s="31">
        <f t="shared" si="311"/>
        <v>17.366</v>
      </c>
      <c r="CA55" s="31">
        <f>SUM(L55:O55)</f>
        <v>0</v>
      </c>
      <c r="CB55" s="31">
        <f t="shared" si="312"/>
        <v>26.954999999999998</v>
      </c>
      <c r="CC55" s="31">
        <f t="shared" si="313"/>
        <v>5.7299999999999995</v>
      </c>
      <c r="CD55" s="31">
        <f t="shared" si="314"/>
        <v>0.56699999999999995</v>
      </c>
      <c r="CE55" s="31">
        <f t="shared" si="315"/>
        <v>15.981999999999999</v>
      </c>
      <c r="CF55" s="31">
        <f t="shared" si="316"/>
        <v>-1.04</v>
      </c>
      <c r="CG55" s="31">
        <f t="shared" si="317"/>
        <v>2.363</v>
      </c>
      <c r="CH55" s="31">
        <f t="shared" si="318"/>
        <v>7.7519999999999989</v>
      </c>
      <c r="CI55" s="32">
        <f t="shared" si="319"/>
        <v>6.444</v>
      </c>
      <c r="CJ55" s="30">
        <f t="shared" si="320"/>
        <v>0.3</v>
      </c>
      <c r="CK55" s="31">
        <f t="shared" si="321"/>
        <v>3.4000000000000004</v>
      </c>
      <c r="CL55" s="31">
        <f t="shared" si="322"/>
        <v>4.8</v>
      </c>
      <c r="CM55" s="31">
        <f t="shared" si="301"/>
        <v>0.60000000000000009</v>
      </c>
      <c r="CN55" s="31">
        <f t="shared" si="302"/>
        <v>0</v>
      </c>
      <c r="CO55" s="31">
        <f t="shared" si="303"/>
        <v>0</v>
      </c>
      <c r="CP55" s="32">
        <f t="shared" si="304"/>
        <v>0</v>
      </c>
      <c r="CQ55" s="106"/>
      <c r="CR55" s="193">
        <f t="shared" si="323"/>
        <v>0</v>
      </c>
      <c r="CS55" s="75">
        <f t="shared" si="324"/>
        <v>32.427999999999997</v>
      </c>
      <c r="CT55" s="75">
        <f t="shared" si="325"/>
        <v>0.25700000000000001</v>
      </c>
      <c r="CU55" s="75">
        <f t="shared" si="326"/>
        <v>0.56699999999999995</v>
      </c>
      <c r="CV55" s="75">
        <f t="shared" si="327"/>
        <v>15.981999999999999</v>
      </c>
      <c r="CW55" s="75">
        <f t="shared" si="328"/>
        <v>-1.04</v>
      </c>
      <c r="CX55" s="75">
        <f t="shared" si="329"/>
        <v>3.0830000000000002</v>
      </c>
      <c r="CY55" s="75">
        <f t="shared" si="330"/>
        <v>8.6760000000000002</v>
      </c>
      <c r="CZ55" s="75">
        <f t="shared" si="331"/>
        <v>4.8</v>
      </c>
      <c r="DA55" s="193">
        <f t="shared" si="332"/>
        <v>1.6</v>
      </c>
      <c r="DB55" s="75">
        <f t="shared" si="333"/>
        <v>2.0999999999999996</v>
      </c>
      <c r="DC55" s="75">
        <f t="shared" si="334"/>
        <v>5.3999999999999995</v>
      </c>
      <c r="DD55" s="75">
        <f t="shared" si="335"/>
        <v>0</v>
      </c>
      <c r="DE55" s="75">
        <f t="shared" si="336"/>
        <v>0</v>
      </c>
      <c r="DF55" s="76">
        <f t="shared" si="337"/>
        <v>0</v>
      </c>
      <c r="DK55"/>
      <c r="DL55"/>
      <c r="DM55"/>
      <c r="DN55"/>
      <c r="DO55"/>
      <c r="DP55"/>
    </row>
    <row r="56" spans="1:122" s="42" customFormat="1" ht="14.25" hidden="1" outlineLevel="1">
      <c r="B56" s="25" t="s">
        <v>3</v>
      </c>
      <c r="C56" s="24"/>
      <c r="D56" s="27"/>
      <c r="E56" s="28"/>
      <c r="F56" s="28"/>
      <c r="G56" s="53"/>
      <c r="H56" s="28"/>
      <c r="I56" s="28"/>
      <c r="J56" s="28"/>
      <c r="K56" s="53"/>
      <c r="L56" s="28"/>
      <c r="M56" s="28">
        <v>0</v>
      </c>
      <c r="N56" s="28"/>
      <c r="O56" s="53"/>
      <c r="P56" s="28">
        <v>0</v>
      </c>
      <c r="Q56" s="28">
        <v>0</v>
      </c>
      <c r="R56" s="28">
        <v>0</v>
      </c>
      <c r="S56" s="54">
        <f>0-R56-Q56-P56</f>
        <v>0</v>
      </c>
      <c r="T56" s="28">
        <v>0</v>
      </c>
      <c r="U56" s="28">
        <v>0</v>
      </c>
      <c r="V56" s="28">
        <v>0</v>
      </c>
      <c r="W56" s="28">
        <v>0</v>
      </c>
      <c r="X56" s="27">
        <v>0</v>
      </c>
      <c r="Y56" s="28">
        <v>0</v>
      </c>
      <c r="Z56" s="28">
        <v>0</v>
      </c>
      <c r="AA56" s="28">
        <v>0</v>
      </c>
      <c r="AB56" s="27">
        <v>0</v>
      </c>
      <c r="AC56" s="28">
        <v>0</v>
      </c>
      <c r="AD56" s="28">
        <v>0</v>
      </c>
      <c r="AE56" s="28">
        <v>0</v>
      </c>
      <c r="AF56" s="27">
        <v>0</v>
      </c>
      <c r="AG56" s="28">
        <v>0</v>
      </c>
      <c r="AH56" s="28">
        <v>0</v>
      </c>
      <c r="AI56" s="28">
        <v>0</v>
      </c>
      <c r="AJ56" s="27">
        <v>0</v>
      </c>
      <c r="AK56" s="28">
        <v>0</v>
      </c>
      <c r="AL56" s="28">
        <v>0</v>
      </c>
      <c r="AM56" s="53">
        <v>0</v>
      </c>
      <c r="AN56" s="27">
        <v>0</v>
      </c>
      <c r="AO56" s="28">
        <v>0</v>
      </c>
      <c r="AP56" s="28">
        <v>0</v>
      </c>
      <c r="AQ56" s="53">
        <v>0</v>
      </c>
      <c r="AR56" s="27">
        <v>0</v>
      </c>
      <c r="AS56" s="28">
        <v>0</v>
      </c>
      <c r="AT56" s="28">
        <v>0</v>
      </c>
      <c r="AU56" s="53">
        <v>0</v>
      </c>
      <c r="AV56" s="27">
        <v>0</v>
      </c>
      <c r="AW56" s="28">
        <v>0</v>
      </c>
      <c r="AX56" s="28">
        <v>0</v>
      </c>
      <c r="AY56" s="53">
        <v>0</v>
      </c>
      <c r="AZ56" s="27">
        <v>0</v>
      </c>
      <c r="BA56" s="28">
        <v>0</v>
      </c>
      <c r="BB56" s="28">
        <v>0</v>
      </c>
      <c r="BC56" s="53">
        <v>0</v>
      </c>
      <c r="BD56" s="27">
        <v>0</v>
      </c>
      <c r="BE56" s="28">
        <v>0</v>
      </c>
      <c r="BF56" s="28">
        <v>0</v>
      </c>
      <c r="BG56" s="53">
        <v>0</v>
      </c>
      <c r="BH56" s="27">
        <v>0</v>
      </c>
      <c r="BI56" s="28">
        <v>0</v>
      </c>
      <c r="BJ56" s="28">
        <v>0</v>
      </c>
      <c r="BK56" s="53">
        <v>0</v>
      </c>
      <c r="BL56" s="27">
        <v>0</v>
      </c>
      <c r="BM56" s="439">
        <f t="shared" si="338"/>
        <v>0</v>
      </c>
      <c r="BN56" s="439">
        <f t="shared" si="338"/>
        <v>0</v>
      </c>
      <c r="BO56" s="619">
        <f t="shared" si="338"/>
        <v>0</v>
      </c>
      <c r="BP56" s="836">
        <f>BO56</f>
        <v>0</v>
      </c>
      <c r="BQ56" s="439">
        <f t="shared" si="306"/>
        <v>0</v>
      </c>
      <c r="BR56" s="439">
        <f t="shared" si="306"/>
        <v>0</v>
      </c>
      <c r="BS56" s="619">
        <f t="shared" si="306"/>
        <v>0</v>
      </c>
      <c r="BT56" s="836">
        <f>BS56</f>
        <v>0</v>
      </c>
      <c r="BU56" s="439">
        <f t="shared" si="307"/>
        <v>0</v>
      </c>
      <c r="BV56" s="439">
        <f t="shared" si="308"/>
        <v>0</v>
      </c>
      <c r="BW56" s="619">
        <f t="shared" si="309"/>
        <v>0</v>
      </c>
      <c r="BX56" s="106"/>
      <c r="BY56" s="30">
        <f t="shared" si="310"/>
        <v>0</v>
      </c>
      <c r="BZ56" s="31">
        <f t="shared" si="311"/>
        <v>0</v>
      </c>
      <c r="CA56" s="31">
        <f>SUM(L56:O56)</f>
        <v>0</v>
      </c>
      <c r="CB56" s="31">
        <f t="shared" si="312"/>
        <v>0</v>
      </c>
      <c r="CC56" s="31">
        <f t="shared" si="313"/>
        <v>0</v>
      </c>
      <c r="CD56" s="31">
        <f t="shared" si="314"/>
        <v>0</v>
      </c>
      <c r="CE56" s="31">
        <f t="shared" si="315"/>
        <v>0</v>
      </c>
      <c r="CF56" s="31">
        <f t="shared" si="316"/>
        <v>0</v>
      </c>
      <c r="CG56" s="31">
        <f t="shared" si="317"/>
        <v>0</v>
      </c>
      <c r="CH56" s="31">
        <f t="shared" si="318"/>
        <v>0</v>
      </c>
      <c r="CI56" s="32">
        <f t="shared" si="319"/>
        <v>0</v>
      </c>
      <c r="CJ56" s="30">
        <f t="shared" si="320"/>
        <v>0</v>
      </c>
      <c r="CK56" s="31">
        <f t="shared" si="321"/>
        <v>0</v>
      </c>
      <c r="CL56" s="31">
        <f t="shared" si="322"/>
        <v>0</v>
      </c>
      <c r="CM56" s="31">
        <f t="shared" si="301"/>
        <v>0</v>
      </c>
      <c r="CN56" s="31">
        <f t="shared" si="302"/>
        <v>0</v>
      </c>
      <c r="CO56" s="31">
        <f t="shared" si="303"/>
        <v>0</v>
      </c>
      <c r="CP56" s="32">
        <f t="shared" si="304"/>
        <v>0</v>
      </c>
      <c r="CQ56" s="106"/>
      <c r="CR56" s="193">
        <f t="shared" si="323"/>
        <v>0</v>
      </c>
      <c r="CS56" s="75">
        <f t="shared" si="324"/>
        <v>0</v>
      </c>
      <c r="CT56" s="75">
        <f t="shared" si="325"/>
        <v>0</v>
      </c>
      <c r="CU56" s="75">
        <f t="shared" si="326"/>
        <v>0</v>
      </c>
      <c r="CV56" s="75">
        <f t="shared" si="327"/>
        <v>0</v>
      </c>
      <c r="CW56" s="75">
        <f t="shared" si="328"/>
        <v>0</v>
      </c>
      <c r="CX56" s="75">
        <f t="shared" si="329"/>
        <v>0</v>
      </c>
      <c r="CY56" s="75">
        <f t="shared" si="330"/>
        <v>0</v>
      </c>
      <c r="CZ56" s="75">
        <f t="shared" si="331"/>
        <v>0</v>
      </c>
      <c r="DA56" s="193">
        <f t="shared" si="332"/>
        <v>0</v>
      </c>
      <c r="DB56" s="75">
        <f t="shared" si="333"/>
        <v>0</v>
      </c>
      <c r="DC56" s="75">
        <f t="shared" si="334"/>
        <v>0</v>
      </c>
      <c r="DD56" s="75">
        <f t="shared" si="335"/>
        <v>0</v>
      </c>
      <c r="DE56" s="75">
        <f t="shared" si="336"/>
        <v>0</v>
      </c>
      <c r="DF56" s="76">
        <f t="shared" si="337"/>
        <v>0</v>
      </c>
      <c r="DK56"/>
      <c r="DL56"/>
      <c r="DM56"/>
      <c r="DN56"/>
      <c r="DO56"/>
      <c r="DP56"/>
    </row>
    <row r="57" spans="1:122" s="7" customFormat="1" ht="14.25" hidden="1" outlineLevel="1">
      <c r="A57" s="505"/>
      <c r="B57" s="14" t="s">
        <v>240</v>
      </c>
      <c r="C57" s="24"/>
      <c r="D57" s="27"/>
      <c r="E57" s="28"/>
      <c r="F57" s="28"/>
      <c r="G57" s="53"/>
      <c r="H57" s="28"/>
      <c r="I57" s="28"/>
      <c r="J57" s="28"/>
      <c r="K57" s="53"/>
      <c r="L57" s="28"/>
      <c r="M57" s="28">
        <v>-0.88600000000000001</v>
      </c>
      <c r="N57" s="28"/>
      <c r="O57" s="53"/>
      <c r="P57" s="28">
        <v>0</v>
      </c>
      <c r="Q57" s="28">
        <v>0</v>
      </c>
      <c r="R57" s="28">
        <v>0</v>
      </c>
      <c r="S57" s="54">
        <f>0-R57-Q57-P57</f>
        <v>0</v>
      </c>
      <c r="T57" s="28">
        <v>0</v>
      </c>
      <c r="U57" s="28">
        <v>0</v>
      </c>
      <c r="V57" s="28">
        <v>0</v>
      </c>
      <c r="W57" s="28">
        <v>0</v>
      </c>
      <c r="X57" s="27">
        <v>0</v>
      </c>
      <c r="Y57" s="28">
        <v>0</v>
      </c>
      <c r="Z57" s="28">
        <v>0</v>
      </c>
      <c r="AA57" s="28">
        <v>0</v>
      </c>
      <c r="AB57" s="27">
        <v>0</v>
      </c>
      <c r="AC57" s="28">
        <v>0</v>
      </c>
      <c r="AD57" s="28">
        <v>0</v>
      </c>
      <c r="AE57" s="28">
        <v>0</v>
      </c>
      <c r="AF57" s="27">
        <v>0</v>
      </c>
      <c r="AG57" s="28">
        <v>0</v>
      </c>
      <c r="AH57" s="28">
        <v>0</v>
      </c>
      <c r="AI57" s="28">
        <v>0</v>
      </c>
      <c r="AJ57" s="27">
        <f>-(0.445+0.165)</f>
        <v>-0.61</v>
      </c>
      <c r="AK57" s="28">
        <f>-0.203+1.638+0.143</f>
        <v>1.5779999999999998</v>
      </c>
      <c r="AL57" s="28">
        <f>-2.3-0.143-(2.857-1.617)</f>
        <v>-3.6829999999999998</v>
      </c>
      <c r="AM57" s="53">
        <f>-0.143-(5.509-2.955)</f>
        <v>-2.6970000000000001</v>
      </c>
      <c r="AN57" s="27">
        <f>-15.817+15.75-7.283-0.076+0.143</f>
        <v>-7.2830000000000004</v>
      </c>
      <c r="AO57" s="28">
        <f>-4.813+0.517+0.143+19.334-18.659+0.176</f>
        <v>-3.3019999999999978</v>
      </c>
      <c r="AP57" s="28">
        <f>-5.261-(-4.04-0.652)-4.158-0.143</f>
        <v>-4.87</v>
      </c>
      <c r="AQ57" s="53">
        <f>(18.489-18.519)+0.653-1.64-0.143</f>
        <v>-1.1599999999999975</v>
      </c>
      <c r="AR57" s="27">
        <f>-(-(AR16+AR34+AR45)+17.696+0.555+0.143-0.011)</f>
        <v>-0.67699999999999849</v>
      </c>
      <c r="AS57" s="28">
        <f>-(0.2+0.3+0.2)</f>
        <v>-0.7</v>
      </c>
      <c r="AT57" s="28">
        <f>-1.1-0.1</f>
        <v>-1.2000000000000002</v>
      </c>
      <c r="AU57" s="53">
        <f>(17.6-17.6)-0.4-0.1</f>
        <v>-0.5</v>
      </c>
      <c r="AV57" s="27">
        <v>-0.5</v>
      </c>
      <c r="AW57" s="28">
        <f>-0.1-0.6</f>
        <v>-0.7</v>
      </c>
      <c r="AX57" s="28">
        <f>-0.9-1.2</f>
        <v>-2.1</v>
      </c>
      <c r="AY57" s="53">
        <v>-1.6</v>
      </c>
      <c r="AZ57" s="27">
        <f>-0.1-0.1</f>
        <v>-0.2</v>
      </c>
      <c r="BA57" s="28">
        <f>-1-1.8</f>
        <v>-2.8</v>
      </c>
      <c r="BB57" s="28">
        <f>-0.8-1</f>
        <v>-1.8</v>
      </c>
      <c r="BC57" s="53">
        <f>-0.1-0.9</f>
        <v>-1</v>
      </c>
      <c r="BD57" s="27">
        <v>0</v>
      </c>
      <c r="BE57" s="28">
        <f>-1.2-0.1</f>
        <v>-1.3</v>
      </c>
      <c r="BF57" s="28">
        <v>-3.3</v>
      </c>
      <c r="BG57" s="53">
        <f>0.1-0.6</f>
        <v>-0.5</v>
      </c>
      <c r="BH57" s="27">
        <v>0</v>
      </c>
      <c r="BI57" s="28">
        <v>-2.2000000000000002</v>
      </c>
      <c r="BJ57" s="28">
        <v>-0.4</v>
      </c>
      <c r="BK57" s="53">
        <f>-(4+0.3)</f>
        <v>-4.3</v>
      </c>
      <c r="BL57" s="27">
        <v>0</v>
      </c>
      <c r="BM57" s="28">
        <f t="shared" si="338"/>
        <v>0</v>
      </c>
      <c r="BN57" s="28">
        <f t="shared" si="338"/>
        <v>0</v>
      </c>
      <c r="BO57" s="53">
        <f t="shared" si="338"/>
        <v>0</v>
      </c>
      <c r="BP57" s="27">
        <f>BO57</f>
        <v>0</v>
      </c>
      <c r="BQ57" s="28">
        <f t="shared" si="306"/>
        <v>0</v>
      </c>
      <c r="BR57" s="28">
        <f t="shared" si="306"/>
        <v>0</v>
      </c>
      <c r="BS57" s="53">
        <f t="shared" si="306"/>
        <v>0</v>
      </c>
      <c r="BT57" s="27">
        <f>BS57</f>
        <v>0</v>
      </c>
      <c r="BU57" s="28">
        <f t="shared" si="307"/>
        <v>0</v>
      </c>
      <c r="BV57" s="28">
        <f t="shared" si="308"/>
        <v>0</v>
      </c>
      <c r="BW57" s="53">
        <f t="shared" si="309"/>
        <v>0</v>
      </c>
      <c r="BX57" s="106"/>
      <c r="BY57" s="30">
        <f t="shared" si="310"/>
        <v>0</v>
      </c>
      <c r="BZ57" s="31">
        <f t="shared" si="311"/>
        <v>0</v>
      </c>
      <c r="CA57" s="31">
        <v>0</v>
      </c>
      <c r="CB57" s="31">
        <f t="shared" si="312"/>
        <v>0</v>
      </c>
      <c r="CC57" s="31">
        <f t="shared" si="313"/>
        <v>0</v>
      </c>
      <c r="CD57" s="31">
        <f t="shared" si="314"/>
        <v>0</v>
      </c>
      <c r="CE57" s="31">
        <f t="shared" si="315"/>
        <v>0</v>
      </c>
      <c r="CF57" s="31">
        <f t="shared" si="316"/>
        <v>0</v>
      </c>
      <c r="CG57" s="31">
        <f t="shared" si="317"/>
        <v>-5.4119999999999999</v>
      </c>
      <c r="CH57" s="31">
        <f t="shared" si="318"/>
        <v>-16.614999999999995</v>
      </c>
      <c r="CI57" s="32">
        <f t="shared" si="319"/>
        <v>-3.0769999999999986</v>
      </c>
      <c r="CJ57" s="30">
        <f t="shared" si="320"/>
        <v>-4.9000000000000004</v>
      </c>
      <c r="CK57" s="31">
        <f t="shared" si="321"/>
        <v>-5.8</v>
      </c>
      <c r="CL57" s="31">
        <f t="shared" si="322"/>
        <v>-5.0999999999999996</v>
      </c>
      <c r="CM57" s="31">
        <f t="shared" si="301"/>
        <v>-6.9</v>
      </c>
      <c r="CN57" s="31">
        <f t="shared" si="302"/>
        <v>0</v>
      </c>
      <c r="CO57" s="31">
        <f t="shared" si="303"/>
        <v>0</v>
      </c>
      <c r="CP57" s="32">
        <f t="shared" si="304"/>
        <v>0</v>
      </c>
      <c r="CQ57" s="106"/>
      <c r="CR57" s="193">
        <f t="shared" si="323"/>
        <v>-0.88600000000000001</v>
      </c>
      <c r="CS57" s="75">
        <f t="shared" si="324"/>
        <v>0</v>
      </c>
      <c r="CT57" s="75">
        <f t="shared" si="325"/>
        <v>0</v>
      </c>
      <c r="CU57" s="75">
        <f t="shared" si="326"/>
        <v>0</v>
      </c>
      <c r="CV57" s="75">
        <f t="shared" si="327"/>
        <v>0</v>
      </c>
      <c r="CW57" s="75">
        <f t="shared" si="328"/>
        <v>-0.61</v>
      </c>
      <c r="CX57" s="75">
        <f t="shared" si="329"/>
        <v>-12.085000000000001</v>
      </c>
      <c r="CY57" s="75">
        <f t="shared" si="330"/>
        <v>-10.008999999999991</v>
      </c>
      <c r="CZ57" s="75">
        <f t="shared" si="331"/>
        <v>-2.9000000000000004</v>
      </c>
      <c r="DA57" s="193">
        <f t="shared" si="332"/>
        <v>-4.6000000000000005</v>
      </c>
      <c r="DB57" s="75">
        <f t="shared" si="333"/>
        <v>-5.6</v>
      </c>
      <c r="DC57" s="75">
        <f t="shared" si="334"/>
        <v>-5.0999999999999996</v>
      </c>
      <c r="DD57" s="75">
        <f t="shared" si="335"/>
        <v>-6.9</v>
      </c>
      <c r="DE57" s="75">
        <f t="shared" si="336"/>
        <v>0</v>
      </c>
      <c r="DF57" s="76">
        <f t="shared" si="337"/>
        <v>0</v>
      </c>
      <c r="DG57" s="42"/>
      <c r="DH57" s="42"/>
      <c r="DI57" s="42"/>
      <c r="DJ57" s="42"/>
      <c r="DK57"/>
      <c r="DL57"/>
      <c r="DM57"/>
      <c r="DN57"/>
      <c r="DO57"/>
      <c r="DP57"/>
      <c r="DQ57" s="42"/>
      <c r="DR57" s="42"/>
    </row>
    <row r="58" spans="1:122" s="7" customFormat="1" ht="14.25" hidden="1" outlineLevel="1">
      <c r="A58" s="505"/>
      <c r="B58" s="25" t="s">
        <v>12</v>
      </c>
      <c r="C58" s="26"/>
      <c r="D58" s="27"/>
      <c r="E58" s="28"/>
      <c r="F58" s="28"/>
      <c r="G58" s="53"/>
      <c r="H58" s="27"/>
      <c r="I58" s="28"/>
      <c r="J58" s="28"/>
      <c r="K58" s="53"/>
      <c r="L58" s="28"/>
      <c r="M58" s="28">
        <v>0</v>
      </c>
      <c r="N58" s="28"/>
      <c r="O58" s="53"/>
      <c r="P58" s="28">
        <v>0</v>
      </c>
      <c r="Q58" s="28">
        <v>0</v>
      </c>
      <c r="R58" s="28">
        <v>0</v>
      </c>
      <c r="S58" s="54">
        <f>0-R58-Q58-P58</f>
        <v>0</v>
      </c>
      <c r="T58" s="28">
        <v>0</v>
      </c>
      <c r="U58" s="28">
        <v>0</v>
      </c>
      <c r="V58" s="28">
        <v>0</v>
      </c>
      <c r="W58" s="53">
        <v>0</v>
      </c>
      <c r="X58" s="27">
        <v>0</v>
      </c>
      <c r="Y58" s="28">
        <v>0</v>
      </c>
      <c r="Z58" s="28">
        <v>0</v>
      </c>
      <c r="AA58" s="53">
        <v>0</v>
      </c>
      <c r="AB58" s="27">
        <v>0</v>
      </c>
      <c r="AC58" s="28">
        <v>0</v>
      </c>
      <c r="AD58" s="28">
        <v>0</v>
      </c>
      <c r="AE58" s="53">
        <v>0</v>
      </c>
      <c r="AF58" s="27">
        <v>0</v>
      </c>
      <c r="AG58" s="28">
        <v>0</v>
      </c>
      <c r="AH58" s="28">
        <v>0</v>
      </c>
      <c r="AI58" s="53">
        <v>0</v>
      </c>
      <c r="AJ58" s="27">
        <v>0</v>
      </c>
      <c r="AK58" s="28">
        <v>0</v>
      </c>
      <c r="AL58" s="28">
        <v>0</v>
      </c>
      <c r="AM58" s="53">
        <v>0</v>
      </c>
      <c r="AN58" s="27">
        <v>0</v>
      </c>
      <c r="AO58" s="28">
        <v>0</v>
      </c>
      <c r="AP58" s="28">
        <v>0</v>
      </c>
      <c r="AQ58" s="53">
        <v>0</v>
      </c>
      <c r="AR58" s="27">
        <v>0</v>
      </c>
      <c r="AS58" s="28">
        <v>0</v>
      </c>
      <c r="AT58" s="28">
        <v>0</v>
      </c>
      <c r="AU58" s="53">
        <v>0</v>
      </c>
      <c r="AV58" s="27">
        <v>0</v>
      </c>
      <c r="AW58" s="28">
        <v>0</v>
      </c>
      <c r="AX58" s="28">
        <v>0</v>
      </c>
      <c r="AY58" s="53">
        <v>0</v>
      </c>
      <c r="AZ58" s="27">
        <v>0</v>
      </c>
      <c r="BA58" s="28">
        <v>0</v>
      </c>
      <c r="BB58" s="28">
        <v>0</v>
      </c>
      <c r="BC58" s="53">
        <v>0</v>
      </c>
      <c r="BD58" s="27">
        <v>0</v>
      </c>
      <c r="BE58" s="28">
        <v>0</v>
      </c>
      <c r="BF58" s="28">
        <v>0</v>
      </c>
      <c r="BG58" s="53">
        <v>0</v>
      </c>
      <c r="BH58" s="27">
        <v>0</v>
      </c>
      <c r="BI58" s="28">
        <v>0</v>
      </c>
      <c r="BJ58" s="28">
        <v>0</v>
      </c>
      <c r="BK58" s="53">
        <v>0</v>
      </c>
      <c r="BL58" s="27">
        <v>0</v>
      </c>
      <c r="BM58" s="29">
        <f t="shared" si="338"/>
        <v>0</v>
      </c>
      <c r="BN58" s="29">
        <f t="shared" si="338"/>
        <v>0</v>
      </c>
      <c r="BO58" s="388">
        <f t="shared" si="338"/>
        <v>0</v>
      </c>
      <c r="BP58" s="833">
        <f>BO58</f>
        <v>0</v>
      </c>
      <c r="BQ58" s="29">
        <f t="shared" si="306"/>
        <v>0</v>
      </c>
      <c r="BR58" s="29">
        <f t="shared" si="306"/>
        <v>0</v>
      </c>
      <c r="BS58" s="388">
        <f t="shared" si="306"/>
        <v>0</v>
      </c>
      <c r="BT58" s="833">
        <f>BS58</f>
        <v>0</v>
      </c>
      <c r="BU58" s="29">
        <f t="shared" si="307"/>
        <v>0</v>
      </c>
      <c r="BV58" s="29">
        <f t="shared" si="308"/>
        <v>0</v>
      </c>
      <c r="BW58" s="388">
        <f t="shared" si="309"/>
        <v>0</v>
      </c>
      <c r="BX58" s="106"/>
      <c r="BY58" s="30">
        <f t="shared" si="310"/>
        <v>0</v>
      </c>
      <c r="BZ58" s="31">
        <f t="shared" si="311"/>
        <v>0</v>
      </c>
      <c r="CA58" s="31">
        <f>SUM(L58:O58)</f>
        <v>0</v>
      </c>
      <c r="CB58" s="31">
        <f t="shared" si="312"/>
        <v>0</v>
      </c>
      <c r="CC58" s="31">
        <f t="shared" si="313"/>
        <v>0</v>
      </c>
      <c r="CD58" s="31">
        <f t="shared" si="314"/>
        <v>0</v>
      </c>
      <c r="CE58" s="31">
        <f t="shared" si="315"/>
        <v>0</v>
      </c>
      <c r="CF58" s="31">
        <f t="shared" si="316"/>
        <v>0</v>
      </c>
      <c r="CG58" s="31">
        <f t="shared" si="317"/>
        <v>0</v>
      </c>
      <c r="CH58" s="31">
        <f t="shared" si="318"/>
        <v>0</v>
      </c>
      <c r="CI58" s="32">
        <f t="shared" si="319"/>
        <v>0</v>
      </c>
      <c r="CJ58" s="30">
        <f t="shared" si="320"/>
        <v>0</v>
      </c>
      <c r="CK58" s="31">
        <f t="shared" si="321"/>
        <v>0</v>
      </c>
      <c r="CL58" s="31">
        <f t="shared" si="322"/>
        <v>0</v>
      </c>
      <c r="CM58" s="31">
        <f t="shared" si="301"/>
        <v>0</v>
      </c>
      <c r="CN58" s="31">
        <f t="shared" si="302"/>
        <v>0</v>
      </c>
      <c r="CO58" s="31">
        <f t="shared" si="303"/>
        <v>0</v>
      </c>
      <c r="CP58" s="32">
        <f t="shared" si="304"/>
        <v>0</v>
      </c>
      <c r="CQ58" s="106"/>
      <c r="CR58" s="193">
        <f t="shared" si="323"/>
        <v>0</v>
      </c>
      <c r="CS58" s="75">
        <f t="shared" si="324"/>
        <v>0</v>
      </c>
      <c r="CT58" s="75">
        <f t="shared" si="325"/>
        <v>0</v>
      </c>
      <c r="CU58" s="75">
        <f t="shared" si="326"/>
        <v>0</v>
      </c>
      <c r="CV58" s="75">
        <f t="shared" si="327"/>
        <v>0</v>
      </c>
      <c r="CW58" s="75">
        <f t="shared" si="328"/>
        <v>0</v>
      </c>
      <c r="CX58" s="75">
        <f t="shared" si="329"/>
        <v>0</v>
      </c>
      <c r="CY58" s="75">
        <f t="shared" si="330"/>
        <v>0</v>
      </c>
      <c r="CZ58" s="75">
        <f t="shared" si="331"/>
        <v>0</v>
      </c>
      <c r="DA58" s="193">
        <f t="shared" si="332"/>
        <v>0</v>
      </c>
      <c r="DB58" s="75">
        <f t="shared" si="333"/>
        <v>0</v>
      </c>
      <c r="DC58" s="75">
        <f t="shared" si="334"/>
        <v>0</v>
      </c>
      <c r="DD58" s="75">
        <f t="shared" si="335"/>
        <v>0</v>
      </c>
      <c r="DE58" s="75">
        <f t="shared" si="336"/>
        <v>0</v>
      </c>
      <c r="DF58" s="76">
        <f t="shared" si="337"/>
        <v>0</v>
      </c>
      <c r="DK58"/>
      <c r="DL58"/>
      <c r="DM58"/>
      <c r="DN58"/>
      <c r="DO58"/>
      <c r="DP58"/>
    </row>
    <row r="59" spans="1:122" s="7" customFormat="1" ht="14.25" hidden="1" outlineLevel="1">
      <c r="A59" s="505"/>
      <c r="B59" s="14" t="s">
        <v>241</v>
      </c>
      <c r="C59" s="26"/>
      <c r="D59" s="27"/>
      <c r="E59" s="28">
        <v>-2.2349999999999999</v>
      </c>
      <c r="F59" s="28"/>
      <c r="G59" s="28"/>
      <c r="H59" s="27"/>
      <c r="I59" s="28"/>
      <c r="J59" s="28"/>
      <c r="K59" s="53"/>
      <c r="L59" s="28"/>
      <c r="M59" s="28">
        <v>0</v>
      </c>
      <c r="N59" s="28"/>
      <c r="O59" s="53"/>
      <c r="P59" s="28">
        <v>0</v>
      </c>
      <c r="Q59" s="28">
        <v>0</v>
      </c>
      <c r="R59" s="28">
        <v>0</v>
      </c>
      <c r="S59" s="54">
        <f>0-R59-Q59-P59</f>
        <v>0</v>
      </c>
      <c r="T59" s="28">
        <v>0</v>
      </c>
      <c r="U59" s="28">
        <v>0</v>
      </c>
      <c r="V59" s="28">
        <v>0</v>
      </c>
      <c r="W59" s="28">
        <v>0</v>
      </c>
      <c r="X59" s="27">
        <v>0</v>
      </c>
      <c r="Y59" s="28">
        <v>0</v>
      </c>
      <c r="Z59" s="28">
        <v>0</v>
      </c>
      <c r="AA59" s="28">
        <v>0</v>
      </c>
      <c r="AB59" s="27">
        <v>0</v>
      </c>
      <c r="AC59" s="28">
        <v>0</v>
      </c>
      <c r="AD59" s="28">
        <v>0</v>
      </c>
      <c r="AE59" s="28">
        <v>0</v>
      </c>
      <c r="AF59" s="27">
        <v>0</v>
      </c>
      <c r="AG59" s="28">
        <v>0</v>
      </c>
      <c r="AH59" s="28">
        <v>0</v>
      </c>
      <c r="AI59" s="28">
        <v>0</v>
      </c>
      <c r="AJ59" s="27">
        <v>0</v>
      </c>
      <c r="AK59" s="28">
        <v>0</v>
      </c>
      <c r="AL59" s="28">
        <v>0</v>
      </c>
      <c r="AM59" s="53">
        <v>0</v>
      </c>
      <c r="AN59" s="27">
        <v>0</v>
      </c>
      <c r="AO59" s="28">
        <v>0</v>
      </c>
      <c r="AP59" s="28">
        <v>0</v>
      </c>
      <c r="AQ59" s="53">
        <v>0</v>
      </c>
      <c r="AR59" s="27">
        <v>0</v>
      </c>
      <c r="AS59" s="28">
        <v>0</v>
      </c>
      <c r="AT59" s="28">
        <v>0</v>
      </c>
      <c r="AU59" s="53">
        <v>0</v>
      </c>
      <c r="AV59" s="27">
        <v>0</v>
      </c>
      <c r="AW59" s="28">
        <v>0</v>
      </c>
      <c r="AX59" s="28">
        <v>0</v>
      </c>
      <c r="AY59" s="53">
        <v>0</v>
      </c>
      <c r="AZ59" s="27">
        <v>0</v>
      </c>
      <c r="BA59" s="28">
        <v>0</v>
      </c>
      <c r="BB59" s="28">
        <v>0</v>
      </c>
      <c r="BC59" s="53">
        <v>0</v>
      </c>
      <c r="BD59" s="27">
        <v>0</v>
      </c>
      <c r="BE59" s="28">
        <v>0</v>
      </c>
      <c r="BF59" s="28">
        <v>0</v>
      </c>
      <c r="BG59" s="53">
        <v>0</v>
      </c>
      <c r="BH59" s="27">
        <v>0</v>
      </c>
      <c r="BI59" s="28">
        <v>0</v>
      </c>
      <c r="BJ59" s="28">
        <v>0</v>
      </c>
      <c r="BK59" s="53">
        <v>0</v>
      </c>
      <c r="BL59" s="27">
        <v>0</v>
      </c>
      <c r="BM59" s="28">
        <v>0</v>
      </c>
      <c r="BN59" s="28">
        <v>0</v>
      </c>
      <c r="BO59" s="53">
        <v>0</v>
      </c>
      <c r="BP59" s="27">
        <v>0</v>
      </c>
      <c r="BQ59" s="28">
        <v>0</v>
      </c>
      <c r="BR59" s="28">
        <v>0</v>
      </c>
      <c r="BS59" s="53">
        <v>0</v>
      </c>
      <c r="BT59" s="27">
        <v>0</v>
      </c>
      <c r="BU59" s="28">
        <v>0</v>
      </c>
      <c r="BV59" s="28">
        <v>0</v>
      </c>
      <c r="BW59" s="53">
        <v>0</v>
      </c>
      <c r="BX59" s="106"/>
      <c r="BY59" s="30">
        <f t="shared" si="310"/>
        <v>-2.2349999999999999</v>
      </c>
      <c r="BZ59" s="31">
        <f t="shared" si="311"/>
        <v>0</v>
      </c>
      <c r="CA59" s="31">
        <f>SUM(L59:O59)</f>
        <v>0</v>
      </c>
      <c r="CB59" s="31">
        <f t="shared" si="312"/>
        <v>0</v>
      </c>
      <c r="CC59" s="31">
        <f t="shared" si="313"/>
        <v>0</v>
      </c>
      <c r="CD59" s="31">
        <f t="shared" si="314"/>
        <v>0</v>
      </c>
      <c r="CE59" s="31">
        <f t="shared" si="315"/>
        <v>0</v>
      </c>
      <c r="CF59" s="31">
        <f t="shared" si="316"/>
        <v>0</v>
      </c>
      <c r="CG59" s="31">
        <f t="shared" si="317"/>
        <v>0</v>
      </c>
      <c r="CH59" s="31">
        <f t="shared" si="318"/>
        <v>0</v>
      </c>
      <c r="CI59" s="32">
        <f t="shared" si="319"/>
        <v>0</v>
      </c>
      <c r="CJ59" s="30">
        <f t="shared" si="320"/>
        <v>0</v>
      </c>
      <c r="CK59" s="31">
        <f t="shared" si="321"/>
        <v>0</v>
      </c>
      <c r="CL59" s="31">
        <f t="shared" si="322"/>
        <v>0</v>
      </c>
      <c r="CM59" s="31">
        <f t="shared" si="301"/>
        <v>0</v>
      </c>
      <c r="CN59" s="31">
        <f t="shared" si="302"/>
        <v>0</v>
      </c>
      <c r="CO59" s="31">
        <f t="shared" si="303"/>
        <v>0</v>
      </c>
      <c r="CP59" s="32">
        <f t="shared" si="304"/>
        <v>0</v>
      </c>
      <c r="CQ59" s="106"/>
      <c r="CR59" s="193">
        <f t="shared" si="323"/>
        <v>0</v>
      </c>
      <c r="CS59" s="75">
        <f t="shared" si="324"/>
        <v>0</v>
      </c>
      <c r="CT59" s="75">
        <f t="shared" si="325"/>
        <v>0</v>
      </c>
      <c r="CU59" s="75">
        <f t="shared" si="326"/>
        <v>0</v>
      </c>
      <c r="CV59" s="75">
        <f t="shared" si="327"/>
        <v>0</v>
      </c>
      <c r="CW59" s="75">
        <f t="shared" si="328"/>
        <v>0</v>
      </c>
      <c r="CX59" s="75">
        <f t="shared" si="329"/>
        <v>0</v>
      </c>
      <c r="CY59" s="75">
        <f t="shared" si="330"/>
        <v>0</v>
      </c>
      <c r="CZ59" s="75">
        <f t="shared" si="331"/>
        <v>0</v>
      </c>
      <c r="DA59" s="193">
        <f t="shared" si="332"/>
        <v>0</v>
      </c>
      <c r="DB59" s="75">
        <f t="shared" si="333"/>
        <v>0</v>
      </c>
      <c r="DC59" s="75">
        <f t="shared" si="334"/>
        <v>0</v>
      </c>
      <c r="DD59" s="75">
        <f t="shared" si="335"/>
        <v>0</v>
      </c>
      <c r="DE59" s="75">
        <f t="shared" si="336"/>
        <v>0</v>
      </c>
      <c r="DF59" s="76">
        <f t="shared" si="337"/>
        <v>0</v>
      </c>
      <c r="DK59"/>
      <c r="DL59"/>
      <c r="DM59"/>
      <c r="DN59"/>
      <c r="DO59"/>
      <c r="DP59"/>
    </row>
    <row r="60" spans="1:122" s="42" customFormat="1" ht="14.25" hidden="1" outlineLevel="1">
      <c r="B60" s="19" t="s">
        <v>237</v>
      </c>
      <c r="C60" s="34"/>
      <c r="D60" s="20">
        <f>D59/D10</f>
        <v>0</v>
      </c>
      <c r="E60" s="21">
        <f>E57/E10</f>
        <v>0</v>
      </c>
      <c r="F60" s="21">
        <f>F57/F10</f>
        <v>0</v>
      </c>
      <c r="G60" s="37">
        <f>G57/G10</f>
        <v>0</v>
      </c>
      <c r="H60" s="20">
        <f>H59/H10</f>
        <v>0</v>
      </c>
      <c r="I60" s="21">
        <f>I57/I10</f>
        <v>0</v>
      </c>
      <c r="J60" s="21">
        <f>J57/J10</f>
        <v>0</v>
      </c>
      <c r="K60" s="37">
        <f>K57/K10</f>
        <v>0</v>
      </c>
      <c r="L60" s="21">
        <f>L59/L10</f>
        <v>0</v>
      </c>
      <c r="M60" s="21">
        <f>M57/M10</f>
        <v>-8.3913434673485825E-3</v>
      </c>
      <c r="N60" s="21">
        <f>N57/N10</f>
        <v>0</v>
      </c>
      <c r="O60" s="37">
        <f>O57/O10</f>
        <v>0</v>
      </c>
      <c r="P60" s="21">
        <f>P59/P10</f>
        <v>0</v>
      </c>
      <c r="Q60" s="21">
        <f>Q57/Q10</f>
        <v>0</v>
      </c>
      <c r="R60" s="21">
        <f>R57/R10</f>
        <v>0</v>
      </c>
      <c r="S60" s="37">
        <f>S57/S10</f>
        <v>0</v>
      </c>
      <c r="T60" s="21">
        <f>T59/T10</f>
        <v>0</v>
      </c>
      <c r="U60" s="21">
        <f>U57/U10</f>
        <v>0</v>
      </c>
      <c r="V60" s="21">
        <f>V57/V10</f>
        <v>0</v>
      </c>
      <c r="W60" s="37">
        <f>W57/W10</f>
        <v>0</v>
      </c>
      <c r="X60" s="20">
        <f>X59/X10</f>
        <v>0</v>
      </c>
      <c r="Y60" s="21">
        <f t="shared" ref="Y60:AJ60" si="339">Y57/Y10</f>
        <v>0</v>
      </c>
      <c r="Z60" s="21">
        <f t="shared" si="339"/>
        <v>0</v>
      </c>
      <c r="AA60" s="37">
        <f t="shared" si="339"/>
        <v>0</v>
      </c>
      <c r="AB60" s="20">
        <f t="shared" si="339"/>
        <v>0</v>
      </c>
      <c r="AC60" s="21">
        <f t="shared" si="339"/>
        <v>0</v>
      </c>
      <c r="AD60" s="21">
        <f t="shared" si="339"/>
        <v>0</v>
      </c>
      <c r="AE60" s="37">
        <f t="shared" si="339"/>
        <v>0</v>
      </c>
      <c r="AF60" s="20">
        <f t="shared" si="339"/>
        <v>0</v>
      </c>
      <c r="AG60" s="21">
        <f t="shared" si="339"/>
        <v>0</v>
      </c>
      <c r="AH60" s="21">
        <f t="shared" si="339"/>
        <v>0</v>
      </c>
      <c r="AI60" s="37">
        <f t="shared" si="339"/>
        <v>0</v>
      </c>
      <c r="AJ60" s="20">
        <f t="shared" si="339"/>
        <v>-1.8202434948675101E-3</v>
      </c>
      <c r="AK60" s="21">
        <f t="shared" ref="AK60:AP60" si="340">AK57/AK10</f>
        <v>4.8492521764783606E-3</v>
      </c>
      <c r="AL60" s="21">
        <f t="shared" si="340"/>
        <v>-1.0343326546373656E-2</v>
      </c>
      <c r="AM60" s="37">
        <f t="shared" si="340"/>
        <v>-6.7036856600284356E-3</v>
      </c>
      <c r="AN60" s="20">
        <f t="shared" si="340"/>
        <v>-1.8496977701020979E-2</v>
      </c>
      <c r="AO60" s="21">
        <f t="shared" si="340"/>
        <v>-9.0542652663906271E-3</v>
      </c>
      <c r="AP60" s="21">
        <f t="shared" si="340"/>
        <v>-1.2518057362005768E-2</v>
      </c>
      <c r="AQ60" s="37">
        <f t="shared" ref="AQ60:AV60" si="341">AQ57/AQ10</f>
        <v>-2.7546050584997318E-3</v>
      </c>
      <c r="AR60" s="20">
        <f t="shared" si="341"/>
        <v>-1.4920998053878655E-3</v>
      </c>
      <c r="AS60" s="21">
        <f t="shared" si="341"/>
        <v>-1.6462841015992473E-3</v>
      </c>
      <c r="AT60" s="21">
        <f t="shared" si="341"/>
        <v>-2.7516624627379046E-3</v>
      </c>
      <c r="AU60" s="37">
        <f t="shared" si="341"/>
        <v>-1.0482180293501049E-3</v>
      </c>
      <c r="AV60" s="20">
        <f t="shared" si="341"/>
        <v>-9.8970704671417272E-4</v>
      </c>
      <c r="AW60" s="21">
        <f t="shared" ref="AW60:BB60" si="342">AW57/AW10</f>
        <v>-1.4553014553014552E-3</v>
      </c>
      <c r="AX60" s="21">
        <f t="shared" si="342"/>
        <v>-3.5775127768313459E-3</v>
      </c>
      <c r="AY60" s="37">
        <f t="shared" si="342"/>
        <v>-2.2277917014759119E-3</v>
      </c>
      <c r="AZ60" s="20">
        <f t="shared" si="342"/>
        <v>-2.4829298572315333E-4</v>
      </c>
      <c r="BA60" s="21">
        <f t="shared" si="342"/>
        <v>-3.6740585225036081E-3</v>
      </c>
      <c r="BB60" s="21">
        <f t="shared" si="342"/>
        <v>-2.2222222222222222E-3</v>
      </c>
      <c r="BC60" s="37">
        <f t="shared" ref="BC60:BH60" si="343">BC57/BC10</f>
        <v>-1.1353315168029065E-3</v>
      </c>
      <c r="BD60" s="20">
        <f t="shared" si="343"/>
        <v>0</v>
      </c>
      <c r="BE60" s="21">
        <f t="shared" si="343"/>
        <v>-1.6772029415559283E-3</v>
      </c>
      <c r="BF60" s="21">
        <f t="shared" si="343"/>
        <v>-4.3900492217640013E-3</v>
      </c>
      <c r="BG60" s="37">
        <f t="shared" si="343"/>
        <v>-5.9851568111084512E-4</v>
      </c>
      <c r="BH60" s="20">
        <f t="shared" si="343"/>
        <v>0</v>
      </c>
      <c r="BI60" s="859">
        <f t="shared" ref="BI60:BS60" si="344">BI57/BI10</f>
        <v>-2.5830691558060351E-3</v>
      </c>
      <c r="BJ60" s="859">
        <f t="shared" si="344"/>
        <v>-4.4404973357015993E-4</v>
      </c>
      <c r="BK60" s="885">
        <f t="shared" si="344"/>
        <v>-4.3672557383709117E-3</v>
      </c>
      <c r="BL60" s="880">
        <f t="shared" si="344"/>
        <v>0</v>
      </c>
      <c r="BM60" s="881">
        <f t="shared" si="344"/>
        <v>0</v>
      </c>
      <c r="BN60" s="881">
        <f t="shared" si="344"/>
        <v>0</v>
      </c>
      <c r="BO60" s="885">
        <f t="shared" si="344"/>
        <v>0</v>
      </c>
      <c r="BP60" s="20">
        <f t="shared" si="344"/>
        <v>0</v>
      </c>
      <c r="BQ60" s="21">
        <f t="shared" si="344"/>
        <v>0</v>
      </c>
      <c r="BR60" s="21">
        <f t="shared" si="344"/>
        <v>0</v>
      </c>
      <c r="BS60" s="37">
        <f t="shared" si="344"/>
        <v>0</v>
      </c>
      <c r="BT60" s="880">
        <f t="shared" ref="BT60:BW60" si="345">BT57/BT10</f>
        <v>0</v>
      </c>
      <c r="BU60" s="881">
        <f t="shared" si="345"/>
        <v>0</v>
      </c>
      <c r="BV60" s="881">
        <f t="shared" si="345"/>
        <v>0</v>
      </c>
      <c r="BW60" s="885">
        <f t="shared" si="345"/>
        <v>0</v>
      </c>
      <c r="BX60" s="841"/>
      <c r="BY60" s="20">
        <f>BY57/BY10</f>
        <v>0</v>
      </c>
      <c r="BZ60" s="21">
        <f>BZ57/BZ10</f>
        <v>0</v>
      </c>
      <c r="CA60" s="21">
        <f>CA57/CA10</f>
        <v>0</v>
      </c>
      <c r="CB60" s="21">
        <f>CB57/CB10</f>
        <v>0</v>
      </c>
      <c r="CC60" s="21">
        <f>CC57/CC10</f>
        <v>0</v>
      </c>
      <c r="CD60" s="21">
        <f t="shared" ref="CD60:CJ60" si="346">CD57/CD10</f>
        <v>0</v>
      </c>
      <c r="CE60" s="21">
        <f t="shared" si="346"/>
        <v>0</v>
      </c>
      <c r="CF60" s="21">
        <f t="shared" si="346"/>
        <v>0</v>
      </c>
      <c r="CG60" s="21">
        <f t="shared" si="346"/>
        <v>-3.8141631463885963E-3</v>
      </c>
      <c r="CH60" s="21">
        <f t="shared" si="346"/>
        <v>-1.0592376166739234E-2</v>
      </c>
      <c r="CI60" s="37">
        <f t="shared" si="346"/>
        <v>-1.7170538547775327E-3</v>
      </c>
      <c r="CJ60" s="880">
        <f t="shared" si="346"/>
        <v>-2.1384306537488001E-3</v>
      </c>
      <c r="CK60" s="881">
        <f t="shared" ref="CK60:CP60" si="347">CK57/CK10</f>
        <v>-1.780014731156396E-3</v>
      </c>
      <c r="CL60" s="881">
        <f t="shared" si="347"/>
        <v>-1.5506232897537242E-3</v>
      </c>
      <c r="CM60" s="881">
        <f t="shared" si="347"/>
        <v>-1.8896861477789341E-3</v>
      </c>
      <c r="CN60" s="881">
        <f t="shared" si="347"/>
        <v>0</v>
      </c>
      <c r="CO60" s="881">
        <f t="shared" si="347"/>
        <v>0</v>
      </c>
      <c r="CP60" s="885">
        <f t="shared" si="347"/>
        <v>0</v>
      </c>
      <c r="CQ60" s="107"/>
      <c r="CR60" s="20">
        <f>CR57/CR10</f>
        <v>-1.149848936324844E-3</v>
      </c>
      <c r="CS60" s="21">
        <f>CS57/CS10</f>
        <v>0</v>
      </c>
      <c r="CT60" s="21">
        <f>CT57/CT10</f>
        <v>0</v>
      </c>
      <c r="CU60" s="21">
        <f t="shared" ref="CU60:CZ60" si="348">CU57/CU10</f>
        <v>0</v>
      </c>
      <c r="CV60" s="21">
        <f t="shared" si="348"/>
        <v>0</v>
      </c>
      <c r="CW60" s="21">
        <f t="shared" si="348"/>
        <v>-5.2503333100941535E-4</v>
      </c>
      <c r="CX60" s="21">
        <f t="shared" si="348"/>
        <v>-8.1791245189646051E-3</v>
      </c>
      <c r="CY60" s="21">
        <f t="shared" si="348"/>
        <v>-6.1459052269361176E-3</v>
      </c>
      <c r="CZ60" s="21">
        <f t="shared" si="348"/>
        <v>-1.573094656902631E-3</v>
      </c>
      <c r="DA60" s="880">
        <f t="shared" ref="DA60:DF60" si="349">DA57/DA10</f>
        <v>-1.7748967858934293E-3</v>
      </c>
      <c r="DB60" s="881">
        <f t="shared" si="349"/>
        <v>-1.6569518004556616E-3</v>
      </c>
      <c r="DC60" s="881">
        <f t="shared" si="349"/>
        <v>-1.5565389897756752E-3</v>
      </c>
      <c r="DD60" s="881">
        <f t="shared" si="349"/>
        <v>-1.8210609659540778E-3</v>
      </c>
      <c r="DE60" s="881">
        <f t="shared" si="349"/>
        <v>0</v>
      </c>
      <c r="DF60" s="885">
        <f t="shared" si="349"/>
        <v>0</v>
      </c>
      <c r="DG60" s="7"/>
      <c r="DH60" s="7"/>
      <c r="DI60" s="7"/>
      <c r="DJ60" s="7"/>
      <c r="DK60"/>
      <c r="DL60"/>
      <c r="DM60"/>
      <c r="DN60"/>
      <c r="DO60"/>
      <c r="DP60"/>
      <c r="DQ60" s="7"/>
      <c r="DR60" s="7"/>
    </row>
    <row r="61" spans="1:122" s="7" customFormat="1" ht="14.25" collapsed="1">
      <c r="A61" s="505"/>
      <c r="B61" s="14"/>
      <c r="C61" s="24"/>
      <c r="D61" s="39"/>
      <c r="E61" s="39"/>
      <c r="F61" s="39"/>
      <c r="G61" s="40"/>
      <c r="H61" s="39"/>
      <c r="I61" s="39"/>
      <c r="J61" s="39"/>
      <c r="K61" s="40"/>
      <c r="L61" s="39"/>
      <c r="M61" s="39"/>
      <c r="N61" s="39"/>
      <c r="O61" s="40"/>
      <c r="P61" s="39"/>
      <c r="Q61" s="39"/>
      <c r="R61" s="39"/>
      <c r="S61" s="40"/>
      <c r="T61" s="39"/>
      <c r="U61" s="39"/>
      <c r="V61" s="39"/>
      <c r="W61" s="40"/>
      <c r="X61" s="39"/>
      <c r="Y61" s="39"/>
      <c r="Z61" s="39"/>
      <c r="AA61" s="40"/>
      <c r="AB61" s="38"/>
      <c r="AC61" s="39"/>
      <c r="AD61" s="39"/>
      <c r="AE61" s="40"/>
      <c r="AF61" s="38"/>
      <c r="AG61" s="39"/>
      <c r="AH61" s="39"/>
      <c r="AI61" s="40"/>
      <c r="AJ61" s="38"/>
      <c r="AK61" s="39"/>
      <c r="AL61" s="39"/>
      <c r="AM61" s="40"/>
      <c r="AN61" s="38"/>
      <c r="AO61" s="39"/>
      <c r="AP61" s="39"/>
      <c r="AQ61" s="40"/>
      <c r="AR61" s="38"/>
      <c r="AS61" s="39"/>
      <c r="AT61" s="39"/>
      <c r="AU61" s="40"/>
      <c r="AV61" s="38"/>
      <c r="AW61" s="39"/>
      <c r="AX61" s="39"/>
      <c r="AY61" s="40"/>
      <c r="AZ61" s="38"/>
      <c r="BA61" s="39"/>
      <c r="BB61" s="39"/>
      <c r="BC61" s="40"/>
      <c r="BD61" s="38"/>
      <c r="BE61" s="39"/>
      <c r="BF61" s="39"/>
      <c r="BG61" s="40"/>
      <c r="BH61" s="38"/>
      <c r="BI61" s="39"/>
      <c r="BJ61" s="39"/>
      <c r="BK61" s="40"/>
      <c r="BL61" s="38"/>
      <c r="BM61" s="39"/>
      <c r="BN61" s="39"/>
      <c r="BO61" s="40"/>
      <c r="BP61" s="38"/>
      <c r="BQ61" s="39"/>
      <c r="BR61" s="39"/>
      <c r="BS61" s="40"/>
      <c r="BT61" s="38"/>
      <c r="BU61" s="39"/>
      <c r="BV61" s="39"/>
      <c r="BW61" s="40"/>
      <c r="BX61" s="108"/>
      <c r="BY61" s="38"/>
      <c r="BZ61" s="39"/>
      <c r="CA61" s="39"/>
      <c r="CB61" s="39"/>
      <c r="CC61" s="39"/>
      <c r="CD61" s="39"/>
      <c r="CE61" s="39"/>
      <c r="CF61" s="39"/>
      <c r="CG61" s="39"/>
      <c r="CH61" s="39"/>
      <c r="CI61" s="40"/>
      <c r="CJ61" s="38"/>
      <c r="CK61" s="39"/>
      <c r="CL61" s="39"/>
      <c r="CM61" s="39"/>
      <c r="CN61" s="39"/>
      <c r="CO61" s="39"/>
      <c r="CP61" s="40"/>
      <c r="CQ61" s="108"/>
      <c r="CR61" s="56"/>
      <c r="CS61" s="57"/>
      <c r="CT61" s="57"/>
      <c r="CU61" s="57"/>
      <c r="CV61" s="57"/>
      <c r="CW61" s="57"/>
      <c r="CX61" s="57"/>
      <c r="CY61" s="57"/>
      <c r="CZ61" s="57"/>
      <c r="DA61" s="56"/>
      <c r="DB61" s="57"/>
      <c r="DC61" s="57"/>
      <c r="DD61" s="57"/>
      <c r="DE61" s="57"/>
      <c r="DF61" s="58"/>
      <c r="DK61"/>
      <c r="DL61"/>
      <c r="DM61"/>
      <c r="DN61"/>
      <c r="DO61"/>
      <c r="DP61"/>
    </row>
    <row r="62" spans="1:122" s="7" customFormat="1" ht="14.25">
      <c r="A62" s="505"/>
      <c r="B62" s="14" t="s">
        <v>28</v>
      </c>
      <c r="C62" s="24"/>
      <c r="D62" s="30">
        <f t="shared" ref="D62:X62" si="350">D31+D42+D53</f>
        <v>58.68</v>
      </c>
      <c r="E62" s="31">
        <f t="shared" si="350"/>
        <v>64.452000000000012</v>
      </c>
      <c r="F62" s="31">
        <f t="shared" si="350"/>
        <v>57.213999999999999</v>
      </c>
      <c r="G62" s="32">
        <f t="shared" si="350"/>
        <v>100.042</v>
      </c>
      <c r="H62" s="30">
        <f t="shared" si="350"/>
        <v>59.195</v>
      </c>
      <c r="I62" s="31">
        <f t="shared" si="350"/>
        <v>76.573999999999998</v>
      </c>
      <c r="J62" s="31">
        <f t="shared" si="350"/>
        <v>65.972999999999999</v>
      </c>
      <c r="K62" s="32">
        <f t="shared" si="350"/>
        <v>68.822000000000017</v>
      </c>
      <c r="L62" s="31">
        <f t="shared" si="350"/>
        <v>65.073999999999998</v>
      </c>
      <c r="M62" s="31">
        <f t="shared" si="350"/>
        <v>64.278999999999996</v>
      </c>
      <c r="N62" s="31">
        <f t="shared" si="350"/>
        <v>66.103999999999999</v>
      </c>
      <c r="O62" s="32">
        <f t="shared" si="350"/>
        <v>62.181999999999988</v>
      </c>
      <c r="P62" s="31">
        <f t="shared" si="350"/>
        <v>66.218999999999994</v>
      </c>
      <c r="Q62" s="31">
        <f t="shared" si="350"/>
        <v>66.802999999999997</v>
      </c>
      <c r="R62" s="31">
        <f t="shared" si="350"/>
        <v>67.488</v>
      </c>
      <c r="S62" s="32">
        <f>S31+S42+S53</f>
        <v>128.49629999999996</v>
      </c>
      <c r="T62" s="31">
        <f t="shared" si="350"/>
        <v>60.448999999999998</v>
      </c>
      <c r="U62" s="31">
        <f t="shared" si="350"/>
        <v>55.668999999999997</v>
      </c>
      <c r="V62" s="31">
        <f t="shared" si="350"/>
        <v>56.216000000000001</v>
      </c>
      <c r="W62" s="32">
        <f t="shared" si="350"/>
        <v>56.565000000000026</v>
      </c>
      <c r="X62" s="30">
        <f t="shared" si="350"/>
        <v>61.313000000000002</v>
      </c>
      <c r="Y62" s="31">
        <f t="shared" ref="Y62:AJ62" si="351">Y31+Y42+Y53</f>
        <v>61.798000000000009</v>
      </c>
      <c r="Z62" s="31">
        <f t="shared" si="351"/>
        <v>63.637</v>
      </c>
      <c r="AA62" s="32">
        <f t="shared" si="351"/>
        <v>65.844000000000008</v>
      </c>
      <c r="AB62" s="30">
        <f t="shared" si="351"/>
        <v>62.893999999999998</v>
      </c>
      <c r="AC62" s="31">
        <f t="shared" si="351"/>
        <v>68.617999999999995</v>
      </c>
      <c r="AD62" s="31">
        <f t="shared" si="351"/>
        <v>55.429000000000002</v>
      </c>
      <c r="AE62" s="32">
        <f t="shared" si="351"/>
        <v>59.576000000000001</v>
      </c>
      <c r="AF62" s="30">
        <f t="shared" si="351"/>
        <v>60.021000000000001</v>
      </c>
      <c r="AG62" s="31">
        <f t="shared" si="351"/>
        <v>61.542000000000002</v>
      </c>
      <c r="AH62" s="31">
        <f t="shared" si="351"/>
        <v>64.793999999999997</v>
      </c>
      <c r="AI62" s="32">
        <f t="shared" si="351"/>
        <v>70.731999999999957</v>
      </c>
      <c r="AJ62" s="30">
        <f t="shared" si="351"/>
        <v>71.195999999999998</v>
      </c>
      <c r="AK62" s="31">
        <f t="shared" ref="AK62:AP62" si="352">AK31+AK42+AK53</f>
        <v>72.921000000000006</v>
      </c>
      <c r="AL62" s="31">
        <f t="shared" si="352"/>
        <v>83.998999999999995</v>
      </c>
      <c r="AM62" s="32">
        <f t="shared" si="352"/>
        <v>96.86399999999999</v>
      </c>
      <c r="AN62" s="30">
        <f t="shared" si="352"/>
        <v>96.881999999999991</v>
      </c>
      <c r="AO62" s="31">
        <f t="shared" si="352"/>
        <v>108.458</v>
      </c>
      <c r="AP62" s="31">
        <f t="shared" si="352"/>
        <v>103.25800000000001</v>
      </c>
      <c r="AQ62" s="32">
        <f t="shared" ref="AQ62:AV62" si="353">AQ31+AQ42+AQ53</f>
        <v>102.86499999999999</v>
      </c>
      <c r="AR62" s="30">
        <f t="shared" si="353"/>
        <v>105.982</v>
      </c>
      <c r="AS62" s="31">
        <f t="shared" si="353"/>
        <v>108</v>
      </c>
      <c r="AT62" s="31">
        <f t="shared" si="353"/>
        <v>103.9</v>
      </c>
      <c r="AU62" s="32">
        <f t="shared" si="353"/>
        <v>103.60000000000001</v>
      </c>
      <c r="AV62" s="30">
        <f t="shared" si="353"/>
        <v>106</v>
      </c>
      <c r="AW62" s="31">
        <f t="shared" ref="AW62:BB62" si="354">AW31+AW42+AW53</f>
        <v>109.8</v>
      </c>
      <c r="AX62" s="31">
        <f t="shared" si="354"/>
        <v>115.7</v>
      </c>
      <c r="AY62" s="32">
        <f t="shared" si="354"/>
        <v>125.9</v>
      </c>
      <c r="AZ62" s="30">
        <f t="shared" si="354"/>
        <v>126.2</v>
      </c>
      <c r="BA62" s="31">
        <f t="shared" si="354"/>
        <v>132.30000000000001</v>
      </c>
      <c r="BB62" s="31">
        <f t="shared" si="354"/>
        <v>134.30000000000001</v>
      </c>
      <c r="BC62" s="32">
        <f t="shared" ref="BC62:BH62" si="355">BC31+BC42+BC53</f>
        <v>138.60000000000002</v>
      </c>
      <c r="BD62" s="30">
        <f t="shared" si="355"/>
        <v>141.6</v>
      </c>
      <c r="BE62" s="31">
        <f t="shared" si="355"/>
        <v>132.69999999999999</v>
      </c>
      <c r="BF62" s="31">
        <f t="shared" si="355"/>
        <v>139.70000000000002</v>
      </c>
      <c r="BG62" s="32">
        <f t="shared" si="355"/>
        <v>132.5</v>
      </c>
      <c r="BH62" s="30">
        <f t="shared" si="355"/>
        <v>142</v>
      </c>
      <c r="BI62" s="31">
        <f t="shared" ref="BI62:BS62" si="356">BI31+BI42+BI53</f>
        <v>144.19999999999999</v>
      </c>
      <c r="BJ62" s="31">
        <f t="shared" si="356"/>
        <v>148.80000000000001</v>
      </c>
      <c r="BK62" s="32">
        <f t="shared" si="356"/>
        <v>153</v>
      </c>
      <c r="BL62" s="30">
        <f t="shared" si="356"/>
        <v>153.30000000000001</v>
      </c>
      <c r="BM62" s="31">
        <f t="shared" si="356"/>
        <v>152.754147875</v>
      </c>
      <c r="BN62" s="31">
        <f t="shared" si="356"/>
        <v>149.82710170253026</v>
      </c>
      <c r="BO62" s="32">
        <f t="shared" si="356"/>
        <v>159.41371578492371</v>
      </c>
      <c r="BP62" s="30">
        <f t="shared" si="356"/>
        <v>162.69605365191825</v>
      </c>
      <c r="BQ62" s="31">
        <f t="shared" si="356"/>
        <v>155.4184531067844</v>
      </c>
      <c r="BR62" s="31">
        <f t="shared" si="356"/>
        <v>155.44151497436633</v>
      </c>
      <c r="BS62" s="32">
        <f t="shared" si="356"/>
        <v>163.08369141995945</v>
      </c>
      <c r="BT62" s="30">
        <f t="shared" ref="BT62:BW62" si="357">BT31+BT42+BT53</f>
        <v>166.52430815895076</v>
      </c>
      <c r="BU62" s="935">
        <f t="shared" si="357"/>
        <v>162.00151764141901</v>
      </c>
      <c r="BV62" s="935">
        <f t="shared" si="357"/>
        <v>163.33579323509716</v>
      </c>
      <c r="BW62" s="936">
        <f t="shared" si="357"/>
        <v>171.74673472363395</v>
      </c>
      <c r="BX62" s="106"/>
      <c r="BY62" s="937">
        <f>BY31+BY42+BY53</f>
        <v>280.38800000000003</v>
      </c>
      <c r="BZ62" s="935">
        <f>BZ31+BZ42+BZ53</f>
        <v>270.56400000000002</v>
      </c>
      <c r="CA62" s="935">
        <f>CA31+CA42+CA53</f>
        <v>257.63899999999995</v>
      </c>
      <c r="CB62" s="935">
        <f>CB31+CB42+CB53</f>
        <v>329.00629999999995</v>
      </c>
      <c r="CC62" s="935">
        <f>CC31+CC42+CC53</f>
        <v>228.89900000000003</v>
      </c>
      <c r="CD62" s="935">
        <f t="shared" ref="CD62:CJ62" si="358">CD31+CD42+CD53</f>
        <v>252.59200000000001</v>
      </c>
      <c r="CE62" s="935">
        <f t="shared" si="358"/>
        <v>246.51699999999997</v>
      </c>
      <c r="CF62" s="935">
        <f t="shared" si="358"/>
        <v>257.08899999999994</v>
      </c>
      <c r="CG62" s="935">
        <f t="shared" si="358"/>
        <v>324.98</v>
      </c>
      <c r="CH62" s="935">
        <f t="shared" si="358"/>
        <v>411.46299999999997</v>
      </c>
      <c r="CI62" s="936">
        <f t="shared" si="358"/>
        <v>421.48200000000003</v>
      </c>
      <c r="CJ62" s="937">
        <f t="shared" si="358"/>
        <v>457.4</v>
      </c>
      <c r="CK62" s="935">
        <f t="shared" ref="CK62:CP62" si="359">CK31+CK42+CK53</f>
        <v>531.40000000000009</v>
      </c>
      <c r="CL62" s="935">
        <f t="shared" si="359"/>
        <v>546.5</v>
      </c>
      <c r="CM62" s="31">
        <f t="shared" si="359"/>
        <v>588</v>
      </c>
      <c r="CN62" s="935">
        <f t="shared" si="359"/>
        <v>615.29496536245392</v>
      </c>
      <c r="CO62" s="935">
        <f t="shared" si="359"/>
        <v>636.63971315302842</v>
      </c>
      <c r="CP62" s="936">
        <f t="shared" si="359"/>
        <v>663.60835375910085</v>
      </c>
      <c r="CQ62" s="106"/>
      <c r="CR62" s="30">
        <f>CR31+CR42+CR53</f>
        <v>258.78399999999999</v>
      </c>
      <c r="CS62" s="31">
        <f>CS31+CS42+CS53</f>
        <v>323.23629999999997</v>
      </c>
      <c r="CT62" s="31">
        <f>CT31+CT42+CT53</f>
        <v>229.76300000000001</v>
      </c>
      <c r="CU62" s="31">
        <f t="shared" ref="CU62:CZ62" si="360">CU31+CU42+CU53</f>
        <v>254.17299999999997</v>
      </c>
      <c r="CV62" s="31">
        <f t="shared" si="360"/>
        <v>243.64400000000001</v>
      </c>
      <c r="CW62" s="31">
        <f t="shared" si="360"/>
        <v>268.26399999999995</v>
      </c>
      <c r="CX62" s="31">
        <f t="shared" si="360"/>
        <v>350.666</v>
      </c>
      <c r="CY62" s="31">
        <f t="shared" si="360"/>
        <v>420.56299999999999</v>
      </c>
      <c r="CZ62" s="31">
        <f t="shared" si="360"/>
        <v>421.49999999999994</v>
      </c>
      <c r="DA62" s="30">
        <f t="shared" ref="DA62:DF62" si="361">DA31+DA42+DA53</f>
        <v>477.6</v>
      </c>
      <c r="DB62" s="31">
        <f t="shared" si="361"/>
        <v>546.80000000000007</v>
      </c>
      <c r="DC62" s="31">
        <f t="shared" si="361"/>
        <v>546.9</v>
      </c>
      <c r="DD62" s="31">
        <f t="shared" si="361"/>
        <v>599.30000000000007</v>
      </c>
      <c r="DE62" s="31">
        <f t="shared" si="361"/>
        <v>624.69101901437216</v>
      </c>
      <c r="DF62" s="32">
        <f t="shared" si="361"/>
        <v>640.46796766006082</v>
      </c>
      <c r="DK62"/>
      <c r="DL62"/>
      <c r="DM62"/>
      <c r="DN62"/>
      <c r="DO62"/>
      <c r="DP62"/>
    </row>
    <row r="63" spans="1:122" s="7" customFormat="1" ht="14.25" hidden="1" outlineLevel="1">
      <c r="A63" s="505"/>
      <c r="B63" s="14" t="s">
        <v>29</v>
      </c>
      <c r="C63" s="24"/>
      <c r="D63" s="30">
        <f>D37+D48+D57</f>
        <v>56.596000000000004</v>
      </c>
      <c r="E63" s="31">
        <f t="shared" ref="E63:S63" si="362">E37+E48+E57</f>
        <v>56.2</v>
      </c>
      <c r="F63" s="31">
        <f t="shared" si="362"/>
        <v>55.842999999999996</v>
      </c>
      <c r="G63" s="32">
        <f t="shared" si="362"/>
        <v>68.141999999999996</v>
      </c>
      <c r="H63" s="30">
        <f t="shared" si="362"/>
        <v>58.426000000000002</v>
      </c>
      <c r="I63" s="31">
        <f t="shared" si="362"/>
        <v>60.045999999999999</v>
      </c>
      <c r="J63" s="31">
        <f t="shared" si="362"/>
        <v>65.204999999999998</v>
      </c>
      <c r="K63" s="32">
        <f t="shared" si="362"/>
        <v>66.478000000000023</v>
      </c>
      <c r="L63" s="31">
        <f t="shared" si="362"/>
        <v>64.337000000000003</v>
      </c>
      <c r="M63" s="31">
        <f t="shared" si="362"/>
        <v>62.847999999999999</v>
      </c>
      <c r="N63" s="31">
        <f t="shared" si="362"/>
        <v>65.567999999999998</v>
      </c>
      <c r="O63" s="32">
        <f t="shared" si="362"/>
        <v>61.378999999999984</v>
      </c>
      <c r="P63" s="31">
        <f>P37+P48+P57</f>
        <v>61.605999999999995</v>
      </c>
      <c r="Q63" s="31">
        <f t="shared" si="362"/>
        <v>63.239000000000004</v>
      </c>
      <c r="R63" s="31">
        <f t="shared" si="362"/>
        <v>63.885999999999996</v>
      </c>
      <c r="S63" s="32">
        <f t="shared" si="362"/>
        <v>62.637299999999989</v>
      </c>
      <c r="T63" s="31">
        <f t="shared" ref="T63:AI63" si="363">T37+T48+T57</f>
        <v>52.539000000000001</v>
      </c>
      <c r="U63" s="31">
        <f t="shared" si="363"/>
        <v>51.364000000000004</v>
      </c>
      <c r="V63" s="31">
        <f t="shared" si="363"/>
        <v>50.965999999999994</v>
      </c>
      <c r="W63" s="32">
        <f t="shared" si="363"/>
        <v>52.40600000000002</v>
      </c>
      <c r="X63" s="30">
        <f t="shared" si="363"/>
        <v>55.207999999999998</v>
      </c>
      <c r="Y63" s="31">
        <f t="shared" si="363"/>
        <v>55.463000000000001</v>
      </c>
      <c r="Z63" s="31">
        <f t="shared" si="363"/>
        <v>57.075000000000003</v>
      </c>
      <c r="AA63" s="32">
        <f t="shared" si="363"/>
        <v>58.912000000000006</v>
      </c>
      <c r="AB63" s="30">
        <f t="shared" si="363"/>
        <v>56.150999999999996</v>
      </c>
      <c r="AC63" s="31">
        <f t="shared" si="363"/>
        <v>47.941000000000003</v>
      </c>
      <c r="AD63" s="31">
        <f t="shared" si="363"/>
        <v>48.894999999999996</v>
      </c>
      <c r="AE63" s="32">
        <f t="shared" si="363"/>
        <v>50.884</v>
      </c>
      <c r="AF63" s="30">
        <f t="shared" si="363"/>
        <v>51.25</v>
      </c>
      <c r="AG63" s="31">
        <f t="shared" si="363"/>
        <v>51.993000000000002</v>
      </c>
      <c r="AH63" s="31">
        <f t="shared" si="363"/>
        <v>55.646000000000001</v>
      </c>
      <c r="AI63" s="32">
        <f t="shared" si="363"/>
        <v>55.466999999999963</v>
      </c>
      <c r="AJ63" s="30">
        <f t="shared" ref="AJ63:AO63" si="364">AJ37+AJ48+AJ57</f>
        <v>57.048000000000002</v>
      </c>
      <c r="AK63" s="31">
        <f t="shared" si="364"/>
        <v>57.997</v>
      </c>
      <c r="AL63" s="31">
        <f t="shared" si="364"/>
        <v>62.469999999999992</v>
      </c>
      <c r="AM63" s="32">
        <f t="shared" si="364"/>
        <v>70.292999999999992</v>
      </c>
      <c r="AN63" s="30">
        <f t="shared" si="364"/>
        <v>69.266999999999996</v>
      </c>
      <c r="AO63" s="31">
        <f t="shared" si="364"/>
        <v>73.663669279888737</v>
      </c>
      <c r="AP63" s="31">
        <f t="shared" ref="AP63:AU63" si="365">AP37+AP48+AP57</f>
        <v>76.342999999999989</v>
      </c>
      <c r="AQ63" s="32">
        <f t="shared" si="365"/>
        <v>77.121000000000009</v>
      </c>
      <c r="AR63" s="30">
        <f t="shared" si="365"/>
        <v>80.205000000000013</v>
      </c>
      <c r="AS63" s="31">
        <f t="shared" si="365"/>
        <v>79.7</v>
      </c>
      <c r="AT63" s="31">
        <f t="shared" si="365"/>
        <v>79.899999999999991</v>
      </c>
      <c r="AU63" s="32">
        <f t="shared" si="365"/>
        <v>81.5</v>
      </c>
      <c r="AV63" s="30">
        <f t="shared" ref="AV63:BB63" si="366">AV37+AV48+AV57</f>
        <v>82.9</v>
      </c>
      <c r="AW63" s="31">
        <f t="shared" si="366"/>
        <v>84.8</v>
      </c>
      <c r="AX63" s="31">
        <f t="shared" si="366"/>
        <v>87.5</v>
      </c>
      <c r="AY63" s="32">
        <f t="shared" si="366"/>
        <v>93.9</v>
      </c>
      <c r="AZ63" s="30">
        <f t="shared" si="366"/>
        <v>94.4</v>
      </c>
      <c r="BA63" s="31">
        <f t="shared" si="366"/>
        <v>97.100000000000009</v>
      </c>
      <c r="BB63" s="31">
        <f t="shared" si="366"/>
        <v>101.3</v>
      </c>
      <c r="BC63" s="32">
        <f t="shared" ref="BC63:BH63" si="367">BC37+BC48+BC57</f>
        <v>104.90000000000003</v>
      </c>
      <c r="BD63" s="30">
        <f t="shared" si="367"/>
        <v>109.5</v>
      </c>
      <c r="BE63" s="31">
        <f t="shared" si="367"/>
        <v>108.6</v>
      </c>
      <c r="BF63" s="31">
        <f t="shared" si="367"/>
        <v>107.60000000000001</v>
      </c>
      <c r="BG63" s="32">
        <f t="shared" si="367"/>
        <v>107.5</v>
      </c>
      <c r="BH63" s="30">
        <f t="shared" si="367"/>
        <v>113.4</v>
      </c>
      <c r="BI63" s="31">
        <f t="shared" ref="BI63:BS63" si="368">BI37+BI48+BI57</f>
        <v>116.3</v>
      </c>
      <c r="BJ63" s="31">
        <f t="shared" si="368"/>
        <v>123.4</v>
      </c>
      <c r="BK63" s="32">
        <f t="shared" si="368"/>
        <v>123.2</v>
      </c>
      <c r="BL63" s="30">
        <f t="shared" si="368"/>
        <v>126.89999999999999</v>
      </c>
      <c r="BM63" s="31">
        <f t="shared" si="368"/>
        <v>131.254147875</v>
      </c>
      <c r="BN63" s="31">
        <f t="shared" si="368"/>
        <v>128.32710170253026</v>
      </c>
      <c r="BO63" s="32">
        <f t="shared" si="368"/>
        <v>137.91371578492371</v>
      </c>
      <c r="BP63" s="30">
        <f t="shared" si="368"/>
        <v>141.19605365191825</v>
      </c>
      <c r="BQ63" s="31">
        <f t="shared" si="368"/>
        <v>133.9184531067844</v>
      </c>
      <c r="BR63" s="31">
        <f t="shared" si="368"/>
        <v>133.94151497436633</v>
      </c>
      <c r="BS63" s="32">
        <f t="shared" si="368"/>
        <v>141.58369141995945</v>
      </c>
      <c r="BT63" s="30">
        <f t="shared" ref="BT63:BW63" si="369">BT37+BT48+BT57</f>
        <v>145.02430815895076</v>
      </c>
      <c r="BU63" s="935">
        <f t="shared" si="369"/>
        <v>140.50151764141901</v>
      </c>
      <c r="BV63" s="935">
        <f t="shared" si="369"/>
        <v>141.83579323509716</v>
      </c>
      <c r="BW63" s="936">
        <f t="shared" si="369"/>
        <v>150.24673472363395</v>
      </c>
      <c r="BX63" s="106"/>
      <c r="BY63" s="937">
        <f>BY37+BY48+BY57</f>
        <v>236.78100000000001</v>
      </c>
      <c r="BZ63" s="935">
        <f>BZ37+BZ48+BZ57</f>
        <v>250.15500000000003</v>
      </c>
      <c r="CA63" s="935">
        <f>CA37+CA48+CA57</f>
        <v>255.01799999999997</v>
      </c>
      <c r="CB63" s="935">
        <f>CB37+CB48+CB57</f>
        <v>251.36829999999998</v>
      </c>
      <c r="CC63" s="935">
        <f>CC37+CC48+CC57</f>
        <v>207.27500000000003</v>
      </c>
      <c r="CD63" s="935">
        <f t="shared" ref="CD63:CJ63" si="370">CD37+CD48+CD57</f>
        <v>226.65800000000002</v>
      </c>
      <c r="CE63" s="935">
        <f t="shared" si="370"/>
        <v>203.87099999999998</v>
      </c>
      <c r="CF63" s="935">
        <f t="shared" si="370"/>
        <v>214.35599999999997</v>
      </c>
      <c r="CG63" s="935">
        <f t="shared" si="370"/>
        <v>247.80799999999999</v>
      </c>
      <c r="CH63" s="935">
        <f t="shared" si="370"/>
        <v>296.39466927988872</v>
      </c>
      <c r="CI63" s="936">
        <f t="shared" si="370"/>
        <v>321.30500000000006</v>
      </c>
      <c r="CJ63" s="937">
        <f t="shared" si="370"/>
        <v>349.1</v>
      </c>
      <c r="CK63" s="935">
        <f t="shared" ref="CK63:CP63" si="371">CK37+CK48+CK57</f>
        <v>397.70000000000005</v>
      </c>
      <c r="CL63" s="935">
        <f t="shared" si="371"/>
        <v>433.2</v>
      </c>
      <c r="CM63" s="935">
        <f t="shared" si="371"/>
        <v>476.30000000000007</v>
      </c>
      <c r="CN63" s="935">
        <f t="shared" si="371"/>
        <v>524.39496536245406</v>
      </c>
      <c r="CO63" s="935">
        <f t="shared" si="371"/>
        <v>550.63971315302842</v>
      </c>
      <c r="CP63" s="936">
        <f t="shared" si="371"/>
        <v>577.60835375910085</v>
      </c>
      <c r="CQ63" s="106"/>
      <c r="CR63" s="30">
        <f>CR37+CR48+CR57</f>
        <v>251.40099999999998</v>
      </c>
      <c r="CS63" s="31">
        <f>CS37+CS48+CS57</f>
        <v>242.30129999999997</v>
      </c>
      <c r="CT63" s="31">
        <f>CT37+CT48+CT57</f>
        <v>209.94400000000002</v>
      </c>
      <c r="CU63" s="31">
        <f t="shared" ref="CU63:CZ63" si="372">CU37+CU48+CU57</f>
        <v>227.601</v>
      </c>
      <c r="CV63" s="31">
        <f t="shared" si="372"/>
        <v>198.97000000000003</v>
      </c>
      <c r="CW63" s="31">
        <f t="shared" si="372"/>
        <v>220.15399999999994</v>
      </c>
      <c r="CX63" s="31">
        <f t="shared" si="372"/>
        <v>260.02699999999999</v>
      </c>
      <c r="CY63" s="31">
        <f t="shared" si="372"/>
        <v>307.33266927988871</v>
      </c>
      <c r="CZ63" s="31">
        <f t="shared" si="372"/>
        <v>324</v>
      </c>
      <c r="DA63" s="30">
        <f t="shared" ref="DA63:DF63" si="373">DA37+DA48+DA57</f>
        <v>360.6</v>
      </c>
      <c r="DB63" s="31">
        <f t="shared" si="373"/>
        <v>412.80000000000007</v>
      </c>
      <c r="DC63" s="31">
        <f t="shared" si="373"/>
        <v>437.09999999999991</v>
      </c>
      <c r="DD63" s="31">
        <f t="shared" si="373"/>
        <v>489.8</v>
      </c>
      <c r="DE63" s="31">
        <f t="shared" si="373"/>
        <v>538.69101901437216</v>
      </c>
      <c r="DF63" s="32">
        <f t="shared" si="373"/>
        <v>554.46796766006082</v>
      </c>
      <c r="DK63"/>
      <c r="DL63"/>
      <c r="DM63"/>
      <c r="DN63"/>
      <c r="DO63"/>
      <c r="DP63"/>
    </row>
    <row r="64" spans="1:122" s="7" customFormat="1" ht="14.25" hidden="1" outlineLevel="1">
      <c r="A64" s="505"/>
      <c r="B64" s="14" t="s">
        <v>30</v>
      </c>
      <c r="C64" s="24"/>
      <c r="D64" s="30">
        <f t="shared" ref="D64:S64" si="374">D39+D50+D59</f>
        <v>56.596000000000004</v>
      </c>
      <c r="E64" s="31">
        <f t="shared" si="374"/>
        <v>53.965000000000003</v>
      </c>
      <c r="F64" s="31">
        <f t="shared" si="374"/>
        <v>55.842999999999996</v>
      </c>
      <c r="G64" s="32">
        <f t="shared" si="374"/>
        <v>68.141999999999996</v>
      </c>
      <c r="H64" s="30">
        <f t="shared" si="374"/>
        <v>58.426000000000002</v>
      </c>
      <c r="I64" s="31">
        <f t="shared" si="374"/>
        <v>60.045999999999999</v>
      </c>
      <c r="J64" s="31">
        <f t="shared" si="374"/>
        <v>65.204999999999998</v>
      </c>
      <c r="K64" s="32">
        <f t="shared" si="374"/>
        <v>66.478000000000023</v>
      </c>
      <c r="L64" s="31">
        <f t="shared" si="374"/>
        <v>64.337000000000003</v>
      </c>
      <c r="M64" s="31">
        <f t="shared" si="374"/>
        <v>63.734000000000002</v>
      </c>
      <c r="N64" s="31">
        <f t="shared" si="374"/>
        <v>65.567999999999998</v>
      </c>
      <c r="O64" s="32">
        <f t="shared" si="374"/>
        <v>61.378999999999984</v>
      </c>
      <c r="P64" s="31">
        <f t="shared" si="374"/>
        <v>64.286999999999992</v>
      </c>
      <c r="Q64" s="31">
        <f t="shared" si="374"/>
        <v>66.266999999999996</v>
      </c>
      <c r="R64" s="31">
        <f t="shared" si="374"/>
        <v>66.951999999999998</v>
      </c>
      <c r="S64" s="32">
        <f t="shared" si="374"/>
        <v>65.867299999999986</v>
      </c>
      <c r="T64" s="31">
        <f t="shared" ref="T64:AJ64" si="375">T39+T50+T59</f>
        <v>54.44</v>
      </c>
      <c r="U64" s="31">
        <f t="shared" si="375"/>
        <v>55.132999999999996</v>
      </c>
      <c r="V64" s="31">
        <f t="shared" si="375"/>
        <v>54.135999999999996</v>
      </c>
      <c r="W64" s="32">
        <f t="shared" si="375"/>
        <v>56.029000000000025</v>
      </c>
      <c r="X64" s="30">
        <f t="shared" si="375"/>
        <v>59.381</v>
      </c>
      <c r="Y64" s="31">
        <f t="shared" si="375"/>
        <v>60.429000000000002</v>
      </c>
      <c r="Z64" s="31">
        <f t="shared" si="375"/>
        <v>62.536000000000001</v>
      </c>
      <c r="AA64" s="32">
        <f t="shared" si="375"/>
        <v>64.55</v>
      </c>
      <c r="AB64" s="30">
        <f t="shared" si="375"/>
        <v>61.830999999999996</v>
      </c>
      <c r="AC64" s="31">
        <f t="shared" si="375"/>
        <v>51.376999999999995</v>
      </c>
      <c r="AD64" s="31">
        <f t="shared" si="375"/>
        <v>53.841000000000001</v>
      </c>
      <c r="AE64" s="32">
        <f t="shared" si="375"/>
        <v>57.159000000000006</v>
      </c>
      <c r="AF64" s="30">
        <f t="shared" si="375"/>
        <v>58.347000000000008</v>
      </c>
      <c r="AG64" s="31">
        <f t="shared" si="375"/>
        <v>59.869</v>
      </c>
      <c r="AH64" s="31">
        <f t="shared" si="375"/>
        <v>64.16</v>
      </c>
      <c r="AI64" s="32">
        <f t="shared" si="375"/>
        <v>68.864999999999966</v>
      </c>
      <c r="AJ64" s="30">
        <f t="shared" si="375"/>
        <v>69.593999999999994</v>
      </c>
      <c r="AK64" s="31">
        <f t="shared" ref="AK64:AP64" si="376">AK39+AK50+AK59</f>
        <v>71.283000000000001</v>
      </c>
      <c r="AL64" s="31">
        <f t="shared" si="376"/>
        <v>78.518000000000001</v>
      </c>
      <c r="AM64" s="32">
        <f t="shared" si="376"/>
        <v>86.47999999999999</v>
      </c>
      <c r="AN64" s="30">
        <f t="shared" si="376"/>
        <v>89.85</v>
      </c>
      <c r="AO64" s="31">
        <f t="shared" si="376"/>
        <v>93.222999999999999</v>
      </c>
      <c r="AP64" s="31">
        <f t="shared" si="376"/>
        <v>93.513000000000005</v>
      </c>
      <c r="AQ64" s="32">
        <f t="shared" ref="AQ64:AV64" si="377">AQ39+AQ50+AQ59</f>
        <v>94.381</v>
      </c>
      <c r="AR64" s="30">
        <f t="shared" si="377"/>
        <v>96.182000000000002</v>
      </c>
      <c r="AS64" s="31">
        <f t="shared" si="377"/>
        <v>96</v>
      </c>
      <c r="AT64" s="31">
        <f t="shared" si="377"/>
        <v>96.8</v>
      </c>
      <c r="AU64" s="32">
        <f t="shared" si="377"/>
        <v>96.9</v>
      </c>
      <c r="AV64" s="30">
        <f t="shared" si="377"/>
        <v>99.5</v>
      </c>
      <c r="AW64" s="31">
        <f t="shared" ref="AW64:BB64" si="378">AW39+AW50+AW59</f>
        <v>103.5</v>
      </c>
      <c r="AX64" s="31">
        <f t="shared" si="378"/>
        <v>110</v>
      </c>
      <c r="AY64" s="32">
        <f t="shared" si="378"/>
        <v>115.80000000000001</v>
      </c>
      <c r="AZ64" s="30">
        <f t="shared" si="378"/>
        <v>113.1</v>
      </c>
      <c r="BA64" s="31">
        <f t="shared" si="378"/>
        <v>122.9</v>
      </c>
      <c r="BB64" s="31">
        <f t="shared" si="378"/>
        <v>125.4</v>
      </c>
      <c r="BC64" s="32">
        <f t="shared" ref="BC64:BH64" si="379">BC39+BC50+BC59</f>
        <v>127.50000000000003</v>
      </c>
      <c r="BD64" s="30">
        <f t="shared" si="379"/>
        <v>128.80000000000001</v>
      </c>
      <c r="BE64" s="31">
        <f t="shared" si="379"/>
        <v>123.8</v>
      </c>
      <c r="BF64" s="31">
        <f t="shared" si="379"/>
        <v>124.80000000000001</v>
      </c>
      <c r="BG64" s="32">
        <f t="shared" si="379"/>
        <v>125.8</v>
      </c>
      <c r="BH64" s="30">
        <f t="shared" si="379"/>
        <v>131.19999999999999</v>
      </c>
      <c r="BI64" s="31">
        <f t="shared" ref="BI64:BS64" si="380">BI39+BI50+BI59</f>
        <v>137.19999999999999</v>
      </c>
      <c r="BJ64" s="31">
        <f t="shared" si="380"/>
        <v>141.5</v>
      </c>
      <c r="BK64" s="32">
        <f t="shared" si="380"/>
        <v>148.19999999999999</v>
      </c>
      <c r="BL64" s="30">
        <f t="shared" si="380"/>
        <v>148.6</v>
      </c>
      <c r="BM64" s="31">
        <f t="shared" si="380"/>
        <v>152.754147875</v>
      </c>
      <c r="BN64" s="31">
        <f t="shared" si="380"/>
        <v>149.82710170253026</v>
      </c>
      <c r="BO64" s="32">
        <f t="shared" si="380"/>
        <v>159.41371578492371</v>
      </c>
      <c r="BP64" s="30">
        <f t="shared" si="380"/>
        <v>162.69605365191825</v>
      </c>
      <c r="BQ64" s="31">
        <f t="shared" si="380"/>
        <v>155.4184531067844</v>
      </c>
      <c r="BR64" s="31">
        <f t="shared" si="380"/>
        <v>155.44151497436633</v>
      </c>
      <c r="BS64" s="32">
        <f t="shared" si="380"/>
        <v>163.08369141995945</v>
      </c>
      <c r="BT64" s="30">
        <f t="shared" ref="BT64:BW64" si="381">BT39+BT50+BT59</f>
        <v>166.52430815895076</v>
      </c>
      <c r="BU64" s="935">
        <f t="shared" si="381"/>
        <v>162.00151764141901</v>
      </c>
      <c r="BV64" s="935">
        <f t="shared" si="381"/>
        <v>163.33579323509716</v>
      </c>
      <c r="BW64" s="936">
        <f t="shared" si="381"/>
        <v>171.74673472363395</v>
      </c>
      <c r="BX64" s="106"/>
      <c r="BY64" s="937">
        <f>BY39+BY50+BY59</f>
        <v>234.54599999999999</v>
      </c>
      <c r="BZ64" s="935">
        <f>BZ39+BZ50+BZ59</f>
        <v>250.15500000000003</v>
      </c>
      <c r="CA64" s="935">
        <f>CA39+CA50+CA59</f>
        <v>255.01799999999997</v>
      </c>
      <c r="CB64" s="935">
        <f>CB39+CB50+CB59</f>
        <v>263.37329999999997</v>
      </c>
      <c r="CC64" s="935">
        <f>CC39+CC50+CC59</f>
        <v>219.73800000000003</v>
      </c>
      <c r="CD64" s="935">
        <f t="shared" ref="CD64:CJ64" si="382">CD39+CD50+CD59</f>
        <v>246.89600000000002</v>
      </c>
      <c r="CE64" s="935">
        <f t="shared" si="382"/>
        <v>224.20799999999997</v>
      </c>
      <c r="CF64" s="935">
        <f t="shared" si="382"/>
        <v>251.24099999999999</v>
      </c>
      <c r="CG64" s="935">
        <f t="shared" si="382"/>
        <v>305.875</v>
      </c>
      <c r="CH64" s="935">
        <f t="shared" si="382"/>
        <v>370.96699999999998</v>
      </c>
      <c r="CI64" s="936">
        <f t="shared" si="382"/>
        <v>385.88200000000006</v>
      </c>
      <c r="CJ64" s="937">
        <f t="shared" si="382"/>
        <v>428.79999999999995</v>
      </c>
      <c r="CK64" s="935">
        <f t="shared" ref="CK64:CP64" si="383">CK39+CK50+CK59</f>
        <v>488.90000000000009</v>
      </c>
      <c r="CL64" s="935">
        <f t="shared" si="383"/>
        <v>503.20000000000005</v>
      </c>
      <c r="CM64" s="935">
        <f t="shared" si="383"/>
        <v>558.1</v>
      </c>
      <c r="CN64" s="935">
        <f t="shared" si="383"/>
        <v>610.59496536245399</v>
      </c>
      <c r="CO64" s="935">
        <f t="shared" si="383"/>
        <v>636.63971315302842</v>
      </c>
      <c r="CP64" s="936">
        <f t="shared" si="383"/>
        <v>663.60835375910085</v>
      </c>
      <c r="CQ64" s="106"/>
      <c r="CR64" s="30">
        <f>CR39+CR50+CR59</f>
        <v>254.96799999999999</v>
      </c>
      <c r="CS64" s="31">
        <f>CS39+CS50+CS59</f>
        <v>253.52629999999996</v>
      </c>
      <c r="CT64" s="31">
        <f>CT39+CT50+CT59</f>
        <v>224.679</v>
      </c>
      <c r="CU64" s="31">
        <f t="shared" ref="CU64:CZ64" si="384">CU39+CU50+CU59</f>
        <v>249.346</v>
      </c>
      <c r="CV64" s="31">
        <f t="shared" si="384"/>
        <v>220.72400000000002</v>
      </c>
      <c r="CW64" s="31">
        <f t="shared" si="384"/>
        <v>262.48799999999994</v>
      </c>
      <c r="CX64" s="31">
        <f t="shared" si="384"/>
        <v>326.13099999999997</v>
      </c>
      <c r="CY64" s="31">
        <f t="shared" si="384"/>
        <v>377.29899999999998</v>
      </c>
      <c r="CZ64" s="31">
        <f t="shared" si="384"/>
        <v>389.2</v>
      </c>
      <c r="DA64" s="30">
        <f t="shared" ref="DA64:DF64" si="385">DA39+DA50+DA59</f>
        <v>442.4</v>
      </c>
      <c r="DB64" s="31">
        <f t="shared" si="385"/>
        <v>504.60000000000008</v>
      </c>
      <c r="DC64" s="31">
        <f t="shared" si="385"/>
        <v>505.59999999999997</v>
      </c>
      <c r="DD64" s="31">
        <f t="shared" si="385"/>
        <v>575.5</v>
      </c>
      <c r="DE64" s="31">
        <f t="shared" si="385"/>
        <v>624.69101901437216</v>
      </c>
      <c r="DF64" s="32">
        <f t="shared" si="385"/>
        <v>640.46796766006082</v>
      </c>
      <c r="DK64"/>
      <c r="DL64"/>
      <c r="DM64"/>
      <c r="DN64"/>
      <c r="DO64"/>
      <c r="DP64"/>
    </row>
    <row r="65" spans="1:122" s="7" customFormat="1" ht="14.25" hidden="1" outlineLevel="1">
      <c r="A65" s="505"/>
      <c r="B65" s="14"/>
      <c r="C65" s="24"/>
      <c r="D65" s="31"/>
      <c r="E65" s="31"/>
      <c r="F65" s="31"/>
      <c r="G65" s="32"/>
      <c r="H65" s="31"/>
      <c r="I65" s="31"/>
      <c r="J65" s="31"/>
      <c r="K65" s="32"/>
      <c r="L65" s="31"/>
      <c r="M65" s="31"/>
      <c r="N65" s="31"/>
      <c r="O65" s="32"/>
      <c r="P65" s="31"/>
      <c r="Q65" s="31"/>
      <c r="R65" s="31"/>
      <c r="S65" s="32"/>
      <c r="T65" s="31"/>
      <c r="U65" s="31"/>
      <c r="V65" s="31"/>
      <c r="W65" s="32"/>
      <c r="X65" s="31"/>
      <c r="Y65" s="31"/>
      <c r="Z65" s="31"/>
      <c r="AA65" s="32"/>
      <c r="AB65" s="30"/>
      <c r="AC65" s="31"/>
      <c r="AD65" s="31"/>
      <c r="AE65" s="32"/>
      <c r="AF65" s="30"/>
      <c r="AG65" s="31"/>
      <c r="AH65" s="31"/>
      <c r="AI65" s="32"/>
      <c r="AJ65" s="30"/>
      <c r="AK65" s="31"/>
      <c r="AL65" s="31"/>
      <c r="AM65" s="32"/>
      <c r="AN65" s="30"/>
      <c r="AO65" s="31"/>
      <c r="AP65" s="31"/>
      <c r="AQ65" s="32"/>
      <c r="AR65" s="30"/>
      <c r="AS65" s="31"/>
      <c r="AT65" s="31"/>
      <c r="AU65" s="32"/>
      <c r="AV65" s="30"/>
      <c r="AW65" s="31"/>
      <c r="AX65" s="31"/>
      <c r="AY65" s="32"/>
      <c r="AZ65" s="30"/>
      <c r="BA65" s="31"/>
      <c r="BB65" s="31"/>
      <c r="BC65" s="32"/>
      <c r="BD65" s="30"/>
      <c r="BE65" s="31"/>
      <c r="BF65" s="31"/>
      <c r="BG65" s="32"/>
      <c r="BH65" s="30"/>
      <c r="BI65" s="31"/>
      <c r="BJ65" s="31"/>
      <c r="BK65" s="32"/>
      <c r="BL65" s="30"/>
      <c r="BM65" s="910"/>
      <c r="BN65" s="910"/>
      <c r="BO65" s="875"/>
      <c r="BP65" s="30"/>
      <c r="BQ65" s="31"/>
      <c r="BR65" s="31"/>
      <c r="BS65" s="32"/>
      <c r="BT65" s="30"/>
      <c r="BU65" s="31"/>
      <c r="BV65" s="31"/>
      <c r="BW65" s="32"/>
      <c r="BX65" s="106"/>
      <c r="BY65" s="30"/>
      <c r="BZ65" s="31"/>
      <c r="CA65" s="31"/>
      <c r="CB65" s="31"/>
      <c r="CC65" s="31"/>
      <c r="CD65" s="31"/>
      <c r="CE65" s="31"/>
      <c r="CF65" s="31"/>
      <c r="CG65" s="31"/>
      <c r="CH65" s="31"/>
      <c r="CI65" s="32"/>
      <c r="CJ65" s="30"/>
      <c r="CK65" s="31"/>
      <c r="CL65" s="31"/>
      <c r="CM65" s="31"/>
      <c r="CN65" s="31"/>
      <c r="CO65" s="31"/>
      <c r="CP65" s="32"/>
      <c r="CQ65" s="106"/>
      <c r="CR65" s="30"/>
      <c r="CS65" s="31"/>
      <c r="CT65" s="31"/>
      <c r="CU65" s="31"/>
      <c r="CV65" s="31"/>
      <c r="CW65" s="31"/>
      <c r="CX65" s="31"/>
      <c r="CY65" s="31"/>
      <c r="CZ65" s="31"/>
      <c r="DA65" s="30"/>
      <c r="DB65" s="31"/>
      <c r="DC65" s="31"/>
      <c r="DD65" s="31"/>
      <c r="DE65" s="31"/>
      <c r="DF65" s="32"/>
      <c r="DK65"/>
      <c r="DL65"/>
      <c r="DM65"/>
      <c r="DN65"/>
      <c r="DO65"/>
      <c r="DP65"/>
    </row>
    <row r="66" spans="1:122" s="45" customFormat="1" ht="15" collapsed="1">
      <c r="B66" s="46" t="s">
        <v>31</v>
      </c>
      <c r="C66" s="47"/>
      <c r="D66" s="48">
        <f t="shared" ref="D66:AI66" si="386">D24-D62</f>
        <v>6.4399999999999906</v>
      </c>
      <c r="E66" s="49">
        <f t="shared" si="386"/>
        <v>-0.93300000000000693</v>
      </c>
      <c r="F66" s="49">
        <f t="shared" si="386"/>
        <v>-1.1359999999999815</v>
      </c>
      <c r="G66" s="50">
        <f t="shared" si="386"/>
        <v>-37.910000000000011</v>
      </c>
      <c r="H66" s="48">
        <f t="shared" si="386"/>
        <v>10.372999999999998</v>
      </c>
      <c r="I66" s="49">
        <f t="shared" si="386"/>
        <v>-4.3699999999999903</v>
      </c>
      <c r="J66" s="49">
        <f t="shared" si="386"/>
        <v>17.811000000000007</v>
      </c>
      <c r="K66" s="50">
        <f t="shared" si="386"/>
        <v>18.837999999999951</v>
      </c>
      <c r="L66" s="49">
        <f t="shared" si="386"/>
        <v>22.945000000000007</v>
      </c>
      <c r="M66" s="49">
        <f t="shared" si="386"/>
        <v>-76.600000000000009</v>
      </c>
      <c r="N66" s="49">
        <f t="shared" si="386"/>
        <v>11.77000000000001</v>
      </c>
      <c r="O66" s="50">
        <f t="shared" si="386"/>
        <v>92.017999999999972</v>
      </c>
      <c r="P66" s="49">
        <f t="shared" si="386"/>
        <v>8.5039999999999907</v>
      </c>
      <c r="Q66" s="49">
        <f t="shared" si="386"/>
        <v>2.5470000000000113</v>
      </c>
      <c r="R66" s="49">
        <f t="shared" si="386"/>
        <v>5.8589999999999947</v>
      </c>
      <c r="S66" s="50">
        <f>S24-S62</f>
        <v>-83.237299999999976</v>
      </c>
      <c r="T66" s="49">
        <f t="shared" si="386"/>
        <v>14.867000000000004</v>
      </c>
      <c r="U66" s="49">
        <f t="shared" si="386"/>
        <v>13.033000000000015</v>
      </c>
      <c r="V66" s="49">
        <f t="shared" si="386"/>
        <v>12.416000000000004</v>
      </c>
      <c r="W66" s="50">
        <f t="shared" si="386"/>
        <v>18.169999999999902</v>
      </c>
      <c r="X66" s="48">
        <f t="shared" si="386"/>
        <v>21.024999999999991</v>
      </c>
      <c r="Y66" s="49">
        <f t="shared" si="386"/>
        <v>18.568999999999996</v>
      </c>
      <c r="Z66" s="49">
        <f t="shared" si="386"/>
        <v>22.796999999999997</v>
      </c>
      <c r="AA66" s="50">
        <f t="shared" si="386"/>
        <v>27.980000000000089</v>
      </c>
      <c r="AB66" s="48">
        <f t="shared" si="386"/>
        <v>20.973000000000006</v>
      </c>
      <c r="AC66" s="49">
        <f t="shared" si="386"/>
        <v>-3.7429999999999808</v>
      </c>
      <c r="AD66" s="49">
        <f t="shared" si="386"/>
        <v>21.520999999999987</v>
      </c>
      <c r="AE66" s="50">
        <f t="shared" si="386"/>
        <v>32.951999999999963</v>
      </c>
      <c r="AF66" s="48">
        <f t="shared" si="386"/>
        <v>42.533000000000001</v>
      </c>
      <c r="AG66" s="49">
        <f t="shared" si="386"/>
        <v>38.311999999999983</v>
      </c>
      <c r="AH66" s="49">
        <f t="shared" si="386"/>
        <v>53.471999999999994</v>
      </c>
      <c r="AI66" s="50">
        <f t="shared" si="386"/>
        <v>65.427000000000035</v>
      </c>
      <c r="AJ66" s="48">
        <f t="shared" ref="AJ66:BO66" si="387">AJ24-AJ62</f>
        <v>77.342000000000013</v>
      </c>
      <c r="AK66" s="49">
        <f t="shared" si="387"/>
        <v>68.059999999999988</v>
      </c>
      <c r="AL66" s="49">
        <f t="shared" si="387"/>
        <v>72.225999999999999</v>
      </c>
      <c r="AM66" s="50">
        <f t="shared" si="387"/>
        <v>77.695999999999984</v>
      </c>
      <c r="AN66" s="48">
        <f t="shared" si="387"/>
        <v>74.968000000000032</v>
      </c>
      <c r="AO66" s="49">
        <f t="shared" si="387"/>
        <v>43.813999999999993</v>
      </c>
      <c r="AP66" s="49">
        <f t="shared" si="387"/>
        <v>62.044000000000011</v>
      </c>
      <c r="AQ66" s="50">
        <f t="shared" si="387"/>
        <v>74.808000000000007</v>
      </c>
      <c r="AR66" s="48">
        <f t="shared" si="387"/>
        <v>86.582999999999998</v>
      </c>
      <c r="AS66" s="49">
        <f t="shared" si="387"/>
        <v>68.699999999999989</v>
      </c>
      <c r="AT66" s="49">
        <f t="shared" si="387"/>
        <v>84.300000000000011</v>
      </c>
      <c r="AU66" s="50">
        <f t="shared" si="387"/>
        <v>105.50000000000001</v>
      </c>
      <c r="AV66" s="48">
        <f t="shared" si="387"/>
        <v>116</v>
      </c>
      <c r="AW66" s="49">
        <f t="shared" si="387"/>
        <v>102.59999999999998</v>
      </c>
      <c r="AX66" s="49">
        <f t="shared" si="387"/>
        <v>148.5</v>
      </c>
      <c r="AY66" s="50">
        <f t="shared" si="387"/>
        <v>198.10000000000005</v>
      </c>
      <c r="AZ66" s="48">
        <f t="shared" si="387"/>
        <v>246.8</v>
      </c>
      <c r="BA66" s="49">
        <f t="shared" si="387"/>
        <v>219.90000000000003</v>
      </c>
      <c r="BB66" s="49">
        <f t="shared" si="387"/>
        <v>258.8</v>
      </c>
      <c r="BC66" s="50">
        <f t="shared" si="387"/>
        <v>297.59999999999991</v>
      </c>
      <c r="BD66" s="48">
        <f t="shared" si="387"/>
        <v>330.5</v>
      </c>
      <c r="BE66" s="49">
        <f t="shared" si="387"/>
        <v>257.70000000000005</v>
      </c>
      <c r="BF66" s="49">
        <f t="shared" ref="BF66:BK66" si="388">BF24-BF62</f>
        <v>238.60000000000005</v>
      </c>
      <c r="BG66" s="50">
        <f t="shared" si="388"/>
        <v>291.89999999999998</v>
      </c>
      <c r="BH66" s="48">
        <f t="shared" si="388"/>
        <v>321.89999999999998</v>
      </c>
      <c r="BI66" s="49">
        <f t="shared" si="388"/>
        <v>281.20000000000005</v>
      </c>
      <c r="BJ66" s="49">
        <f t="shared" si="388"/>
        <v>304.79999999999995</v>
      </c>
      <c r="BK66" s="50">
        <f t="shared" si="388"/>
        <v>345.90000000000003</v>
      </c>
      <c r="BL66" s="48">
        <f t="shared" ref="BL66" si="389">BL24-BL62</f>
        <v>383.50000000000006</v>
      </c>
      <c r="BM66" s="49">
        <f t="shared" si="387"/>
        <v>301.41862164000008</v>
      </c>
      <c r="BN66" s="49">
        <f t="shared" si="387"/>
        <v>288.12514260206979</v>
      </c>
      <c r="BO66" s="50">
        <f t="shared" si="387"/>
        <v>362.09591293334381</v>
      </c>
      <c r="BP66" s="48">
        <f t="shared" ref="BP66:BW66" si="390">BP24-BP62</f>
        <v>380.60012096013537</v>
      </c>
      <c r="BQ66" s="49">
        <f t="shared" si="390"/>
        <v>337.71603102624186</v>
      </c>
      <c r="BR66" s="49">
        <f t="shared" si="390"/>
        <v>338.36296207133626</v>
      </c>
      <c r="BS66" s="50">
        <f t="shared" si="390"/>
        <v>369.6206474993005</v>
      </c>
      <c r="BT66" s="48">
        <f t="shared" si="390"/>
        <v>388.51698738607223</v>
      </c>
      <c r="BU66" s="938">
        <f t="shared" si="390"/>
        <v>362.79361500308221</v>
      </c>
      <c r="BV66" s="938">
        <f t="shared" si="390"/>
        <v>368.82851396975445</v>
      </c>
      <c r="BW66" s="939">
        <f t="shared" si="390"/>
        <v>403.78005236213482</v>
      </c>
      <c r="BX66" s="106"/>
      <c r="BY66" s="940">
        <f t="shared" ref="BY66:CN66" si="391">BY24-BY62</f>
        <v>-33.539000000000044</v>
      </c>
      <c r="BZ66" s="938">
        <f t="shared" si="391"/>
        <v>42.651999999999873</v>
      </c>
      <c r="CA66" s="938">
        <f t="shared" si="391"/>
        <v>50.133000000000095</v>
      </c>
      <c r="CB66" s="938">
        <f t="shared" si="391"/>
        <v>-66.32729999999998</v>
      </c>
      <c r="CC66" s="938">
        <f t="shared" si="391"/>
        <v>58.485999999999905</v>
      </c>
      <c r="CD66" s="938">
        <f t="shared" si="391"/>
        <v>90.371000000000066</v>
      </c>
      <c r="CE66" s="938">
        <f t="shared" si="391"/>
        <v>71.702999999999946</v>
      </c>
      <c r="CF66" s="938">
        <f t="shared" si="391"/>
        <v>199.74400000000003</v>
      </c>
      <c r="CG66" s="938">
        <f t="shared" si="391"/>
        <v>295.32400000000007</v>
      </c>
      <c r="CH66" s="938">
        <f t="shared" si="391"/>
        <v>255.63400000000024</v>
      </c>
      <c r="CI66" s="939">
        <f t="shared" si="391"/>
        <v>345.08300000000003</v>
      </c>
      <c r="CJ66" s="940">
        <f t="shared" si="391"/>
        <v>565.20000000000016</v>
      </c>
      <c r="CK66" s="938">
        <f t="shared" si="391"/>
        <v>1023.0999999999995</v>
      </c>
      <c r="CL66" s="938">
        <f t="shared" si="391"/>
        <v>1118.7000000000005</v>
      </c>
      <c r="CM66" s="938">
        <f t="shared" si="391"/>
        <v>1253.8</v>
      </c>
      <c r="CN66" s="938">
        <f t="shared" si="391"/>
        <v>1335.1396771754139</v>
      </c>
      <c r="CO66" s="938">
        <f>CO24-CO62</f>
        <v>1426.2997615570139</v>
      </c>
      <c r="CP66" s="939">
        <f>CP24-CP62</f>
        <v>1523.9191687210446</v>
      </c>
      <c r="CQ66" s="106"/>
      <c r="CR66" s="48">
        <f t="shared" ref="CR66:DD66" si="392">CR24-CR62</f>
        <v>35.692000000000121</v>
      </c>
      <c r="CS66" s="49">
        <f t="shared" si="392"/>
        <v>-59.964300000000037</v>
      </c>
      <c r="CT66" s="49">
        <f t="shared" si="392"/>
        <v>64.643999999999977</v>
      </c>
      <c r="CU66" s="49">
        <f t="shared" si="392"/>
        <v>90.318999999999988</v>
      </c>
      <c r="CV66" s="49">
        <f t="shared" si="392"/>
        <v>93.26299999999992</v>
      </c>
      <c r="CW66" s="49">
        <f t="shared" si="392"/>
        <v>234.55300000000005</v>
      </c>
      <c r="CX66" s="49">
        <f t="shared" si="392"/>
        <v>292.95</v>
      </c>
      <c r="CY66" s="49">
        <f t="shared" si="392"/>
        <v>267.24900000000002</v>
      </c>
      <c r="CZ66" s="49">
        <f t="shared" si="392"/>
        <v>374.50000000000006</v>
      </c>
      <c r="DA66" s="48">
        <f t="shared" si="392"/>
        <v>695.99999999999966</v>
      </c>
      <c r="DB66" s="49">
        <f t="shared" si="392"/>
        <v>1106.7999999999997</v>
      </c>
      <c r="DC66" s="49">
        <f t="shared" si="392"/>
        <v>1110.0999999999999</v>
      </c>
      <c r="DD66" s="49">
        <f t="shared" si="392"/>
        <v>1315.3999999999996</v>
      </c>
      <c r="DE66" s="49">
        <f>DE24-DE62</f>
        <v>1332.2397981355489</v>
      </c>
      <c r="DF66" s="50">
        <f>DF24-DF62</f>
        <v>1434.2166279829507</v>
      </c>
      <c r="DG66" s="42"/>
      <c r="DH66" s="42"/>
      <c r="DI66" s="42"/>
      <c r="DJ66" s="42"/>
      <c r="DK66"/>
      <c r="DL66"/>
      <c r="DM66"/>
      <c r="DN66"/>
      <c r="DO66"/>
      <c r="DP66"/>
      <c r="DQ66" s="42"/>
      <c r="DR66" s="42"/>
    </row>
    <row r="67" spans="1:122" s="42" customFormat="1" ht="14.25">
      <c r="B67" s="19" t="s">
        <v>242</v>
      </c>
      <c r="C67" s="34"/>
      <c r="D67" s="20">
        <f t="shared" ref="D67:AI67" si="393">D66/D8</f>
        <v>4.0201255977127676E-2</v>
      </c>
      <c r="E67" s="21">
        <f t="shared" si="393"/>
        <v>-5.9289291070385025E-3</v>
      </c>
      <c r="F67" s="21">
        <f t="shared" si="393"/>
        <v>-7.5632993561873339E-3</v>
      </c>
      <c r="G67" s="37">
        <f t="shared" si="393"/>
        <v>-0.25267942838861046</v>
      </c>
      <c r="H67" s="21">
        <f t="shared" si="393"/>
        <v>5.9237727573840132E-2</v>
      </c>
      <c r="I67" s="21">
        <f t="shared" si="393"/>
        <v>-2.3818478124608196E-2</v>
      </c>
      <c r="J67" s="21">
        <f t="shared" si="393"/>
        <v>8.588705594159432E-2</v>
      </c>
      <c r="K67" s="37">
        <f t="shared" si="393"/>
        <v>8.6386294120614104E-2</v>
      </c>
      <c r="L67" s="21">
        <f t="shared" si="393"/>
        <v>0.10421965843023259</v>
      </c>
      <c r="M67" s="21">
        <f t="shared" si="393"/>
        <v>-0.72548183927641252</v>
      </c>
      <c r="N67" s="21">
        <f t="shared" si="393"/>
        <v>6.1451872271996374E-2</v>
      </c>
      <c r="O67" s="37">
        <f t="shared" si="393"/>
        <v>0.33449657208081601</v>
      </c>
      <c r="P67" s="21">
        <f t="shared" si="393"/>
        <v>4.2879112567754903E-2</v>
      </c>
      <c r="Q67" s="21">
        <f t="shared" si="393"/>
        <v>1.3750175453750452E-2</v>
      </c>
      <c r="R67" s="21">
        <f t="shared" si="393"/>
        <v>2.9732363060621721E-2</v>
      </c>
      <c r="S67" s="37">
        <f>S66/S8</f>
        <v>-0.43098434757395154</v>
      </c>
      <c r="T67" s="21">
        <f t="shared" si="393"/>
        <v>7.5840432586848971E-2</v>
      </c>
      <c r="U67" s="21">
        <f t="shared" si="393"/>
        <v>7.2321180844570301E-2</v>
      </c>
      <c r="V67" s="21">
        <f t="shared" si="393"/>
        <v>7.0928306198229096E-2</v>
      </c>
      <c r="W67" s="37">
        <f t="shared" si="393"/>
        <v>9.5403614521091237E-2</v>
      </c>
      <c r="X67" s="20">
        <f t="shared" si="393"/>
        <v>9.9865579267858218E-2</v>
      </c>
      <c r="Y67" s="21">
        <f t="shared" si="393"/>
        <v>9.2058817696868717E-2</v>
      </c>
      <c r="Z67" s="21">
        <f t="shared" si="393"/>
        <v>0.10592909251428835</v>
      </c>
      <c r="AA67" s="37">
        <f t="shared" si="393"/>
        <v>0.12030993352424724</v>
      </c>
      <c r="AB67" s="20">
        <f t="shared" si="393"/>
        <v>9.9763114333009897E-2</v>
      </c>
      <c r="AC67" s="21">
        <f t="shared" si="393"/>
        <v>-2.1637088849066309E-2</v>
      </c>
      <c r="AD67" s="21">
        <f t="shared" si="393"/>
        <v>0.11254987893082577</v>
      </c>
      <c r="AE67" s="37">
        <f t="shared" si="393"/>
        <v>0.1444338274613623</v>
      </c>
      <c r="AF67" s="20">
        <f t="shared" si="393"/>
        <v>0.17350635152444746</v>
      </c>
      <c r="AG67" s="21">
        <f t="shared" si="393"/>
        <v>0.1609355703231985</v>
      </c>
      <c r="AH67" s="21">
        <f t="shared" si="393"/>
        <v>0.19418237280749534</v>
      </c>
      <c r="AI67" s="37">
        <f t="shared" si="393"/>
        <v>0.20884312267183364</v>
      </c>
      <c r="AJ67" s="20">
        <f t="shared" ref="AJ67:BO67" si="394">AJ66/AJ8</f>
        <v>0.23078897111482458</v>
      </c>
      <c r="AK67" s="21">
        <f t="shared" si="394"/>
        <v>0.2091508891832175</v>
      </c>
      <c r="AL67" s="21">
        <f t="shared" si="394"/>
        <v>0.20283928947553184</v>
      </c>
      <c r="AM67" s="37">
        <f t="shared" si="394"/>
        <v>0.19312182463536123</v>
      </c>
      <c r="AN67" s="20">
        <f t="shared" si="394"/>
        <v>0.19039975618428412</v>
      </c>
      <c r="AO67" s="21">
        <f t="shared" si="394"/>
        <v>0.12014039321067206</v>
      </c>
      <c r="AP67" s="21">
        <f t="shared" si="394"/>
        <v>0.15948056488055154</v>
      </c>
      <c r="AQ67" s="37">
        <f t="shared" si="394"/>
        <v>0.17764353035883482</v>
      </c>
      <c r="AR67" s="20">
        <f t="shared" si="394"/>
        <v>0.1908278839732612</v>
      </c>
      <c r="AS67" s="21">
        <f t="shared" si="394"/>
        <v>0.16157102539981183</v>
      </c>
      <c r="AT67" s="21">
        <f t="shared" si="394"/>
        <v>0.19330428800733779</v>
      </c>
      <c r="AU67" s="37">
        <f t="shared" si="394"/>
        <v>0.22117400419287214</v>
      </c>
      <c r="AV67" s="20">
        <f t="shared" si="394"/>
        <v>0.22961203483768805</v>
      </c>
      <c r="AW67" s="21">
        <f t="shared" si="394"/>
        <v>0.21330561330561326</v>
      </c>
      <c r="AX67" s="21">
        <f t="shared" si="394"/>
        <v>0.25298126064735943</v>
      </c>
      <c r="AY67" s="37">
        <f t="shared" si="394"/>
        <v>0.27582846003898642</v>
      </c>
      <c r="AZ67" s="20">
        <f t="shared" si="394"/>
        <v>0.30639354438237121</v>
      </c>
      <c r="BA67" s="21">
        <f t="shared" si="394"/>
        <v>0.28854481039233698</v>
      </c>
      <c r="BB67" s="21">
        <f t="shared" si="394"/>
        <v>0.31950617283950616</v>
      </c>
      <c r="BC67" s="37">
        <f t="shared" si="394"/>
        <v>0.3378746594005449</v>
      </c>
      <c r="BD67" s="20">
        <f t="shared" si="394"/>
        <v>0.35660336642209756</v>
      </c>
      <c r="BE67" s="21">
        <f t="shared" si="394"/>
        <v>0.33247322926074058</v>
      </c>
      <c r="BF67" s="21">
        <f t="shared" ref="BF67:BK67" si="395">BF66/BF8</f>
        <v>0.31741386191299725</v>
      </c>
      <c r="BG67" s="37">
        <f t="shared" si="395"/>
        <v>0.34941345463251133</v>
      </c>
      <c r="BH67" s="20">
        <f t="shared" si="395"/>
        <v>0.35207262386525212</v>
      </c>
      <c r="BI67" s="859">
        <f t="shared" si="395"/>
        <v>0.33016320300575325</v>
      </c>
      <c r="BJ67" s="859">
        <f t="shared" si="395"/>
        <v>0.33836589698046177</v>
      </c>
      <c r="BK67" s="885">
        <f t="shared" si="395"/>
        <v>0.35131017672151132</v>
      </c>
      <c r="BL67" s="880">
        <f t="shared" ref="BL67" si="396">BL66/BL8</f>
        <v>0.36457838197547299</v>
      </c>
      <c r="BM67" s="881">
        <f t="shared" si="394"/>
        <v>0.33390257303256976</v>
      </c>
      <c r="BN67" s="881">
        <f t="shared" si="394"/>
        <v>0.33189590634936789</v>
      </c>
      <c r="BO67" s="885">
        <f t="shared" si="394"/>
        <v>0.35099423120433326</v>
      </c>
      <c r="BP67" s="20">
        <f t="shared" ref="BP67:BW67" si="397">BP66/BP8</f>
        <v>0.3543393719705476</v>
      </c>
      <c r="BQ67" s="21">
        <f t="shared" si="397"/>
        <v>0.3453061750776743</v>
      </c>
      <c r="BR67" s="21">
        <f t="shared" si="397"/>
        <v>0.34586500304862994</v>
      </c>
      <c r="BS67" s="37">
        <f t="shared" si="397"/>
        <v>0.35124821346232493</v>
      </c>
      <c r="BT67" s="880">
        <f t="shared" si="397"/>
        <v>0.35425757015920062</v>
      </c>
      <c r="BU67" s="881">
        <f t="shared" si="397"/>
        <v>0.34980378492142383</v>
      </c>
      <c r="BV67" s="881">
        <f t="shared" si="397"/>
        <v>0.35105426737298739</v>
      </c>
      <c r="BW67" s="885">
        <f t="shared" si="397"/>
        <v>0.355405358205376</v>
      </c>
      <c r="BX67" s="841"/>
      <c r="BY67" s="20">
        <f t="shared" ref="BY67:CN67" si="398">BY66/BY8</f>
        <v>-5.4288762020689982E-2</v>
      </c>
      <c r="BZ67" s="21">
        <f t="shared" si="398"/>
        <v>5.4401465263136259E-2</v>
      </c>
      <c r="CA67" s="21">
        <f t="shared" si="398"/>
        <v>6.3269604768473472E-2</v>
      </c>
      <c r="CB67" s="21">
        <f t="shared" si="398"/>
        <v>-8.5721873990306924E-2</v>
      </c>
      <c r="CC67" s="21">
        <f t="shared" si="398"/>
        <v>7.8849306499277252E-2</v>
      </c>
      <c r="CD67" s="21">
        <f t="shared" si="398"/>
        <v>0.10508048096723677</v>
      </c>
      <c r="CE67" s="21">
        <f t="shared" si="398"/>
        <v>8.9340960431210897E-2</v>
      </c>
      <c r="CF67" s="21">
        <f t="shared" si="398"/>
        <v>0.18635460778523844</v>
      </c>
      <c r="CG67" s="21">
        <f t="shared" si="398"/>
        <v>0.20813265281671584</v>
      </c>
      <c r="CH67" s="21">
        <f t="shared" si="398"/>
        <v>0.16297150099357333</v>
      </c>
      <c r="CI67" s="37">
        <f t="shared" si="398"/>
        <v>0.19256616684049255</v>
      </c>
      <c r="CJ67" s="880">
        <f t="shared" si="398"/>
        <v>0.24666142969363714</v>
      </c>
      <c r="CK67" s="881">
        <f t="shared" si="398"/>
        <v>0.31398846059415653</v>
      </c>
      <c r="CL67" s="881">
        <f t="shared" si="398"/>
        <v>0.34013377926421418</v>
      </c>
      <c r="CM67" s="881">
        <f t="shared" si="398"/>
        <v>0.34337514378046774</v>
      </c>
      <c r="CN67" s="881">
        <f t="shared" si="398"/>
        <v>0.34639701588841332</v>
      </c>
      <c r="CO67" s="881">
        <f>CO66/CO8</f>
        <v>0.34934811455938947</v>
      </c>
      <c r="CP67" s="885">
        <f>CP66/CP8</f>
        <v>0.35271133283757028</v>
      </c>
      <c r="CQ67" s="107"/>
      <c r="CR67" s="20">
        <f t="shared" ref="CR67:DD67" si="399">CR66/CR8</f>
        <v>4.6321002522919263E-2</v>
      </c>
      <c r="CS67" s="21">
        <f t="shared" si="399"/>
        <v>-7.772883706761903E-2</v>
      </c>
      <c r="CT67" s="21">
        <f t="shared" si="399"/>
        <v>8.5480008515736242E-2</v>
      </c>
      <c r="CU67" s="21">
        <f t="shared" si="399"/>
        <v>0.10505727499441672</v>
      </c>
      <c r="CV67" s="21">
        <f t="shared" si="399"/>
        <v>0.11136053455158101</v>
      </c>
      <c r="CW67" s="21">
        <f t="shared" si="399"/>
        <v>0.20188220145614988</v>
      </c>
      <c r="CX67" s="21">
        <f t="shared" si="399"/>
        <v>0.19826847561693678</v>
      </c>
      <c r="CY67" s="21">
        <f t="shared" si="399"/>
        <v>0.16410101168882527</v>
      </c>
      <c r="CZ67" s="21">
        <f t="shared" si="399"/>
        <v>0.20314618931380529</v>
      </c>
      <c r="DA67" s="880">
        <f t="shared" si="399"/>
        <v>0.26854960064822309</v>
      </c>
      <c r="DB67" s="881">
        <f t="shared" si="399"/>
        <v>0.3274846879900582</v>
      </c>
      <c r="DC67" s="881">
        <f t="shared" si="399"/>
        <v>0.33880665344117195</v>
      </c>
      <c r="DD67" s="881">
        <f t="shared" si="399"/>
        <v>0.34716283979941925</v>
      </c>
      <c r="DE67" s="881">
        <f>DE66/DE8</f>
        <v>0.34366419069377452</v>
      </c>
      <c r="DF67" s="885">
        <f>DF66/DF8</f>
        <v>0.34935373376133744</v>
      </c>
      <c r="DK67"/>
      <c r="DL67"/>
      <c r="DM67"/>
      <c r="DN67"/>
      <c r="DO67"/>
      <c r="DP67"/>
    </row>
    <row r="68" spans="1:122" s="45" customFormat="1" ht="15" hidden="1" outlineLevel="1">
      <c r="B68" s="46" t="s">
        <v>32</v>
      </c>
      <c r="C68" s="47"/>
      <c r="D68" s="48">
        <f t="shared" ref="D68:AI68" si="400">D26-D63</f>
        <v>3.7189999999999941</v>
      </c>
      <c r="E68" s="49">
        <f t="shared" si="400"/>
        <v>7.3190000000000026</v>
      </c>
      <c r="F68" s="49">
        <f t="shared" si="400"/>
        <v>0.23500000000002075</v>
      </c>
      <c r="G68" s="50">
        <f t="shared" si="400"/>
        <v>-6.0100000000000051</v>
      </c>
      <c r="H68" s="49">
        <f t="shared" si="400"/>
        <v>11.141999999999996</v>
      </c>
      <c r="I68" s="49">
        <f t="shared" si="400"/>
        <v>13.132000000000012</v>
      </c>
      <c r="J68" s="49">
        <f t="shared" si="400"/>
        <v>18.579000000000008</v>
      </c>
      <c r="K68" s="50">
        <f t="shared" si="400"/>
        <v>21.181999999999945</v>
      </c>
      <c r="L68" s="49">
        <f t="shared" si="400"/>
        <v>23.682000000000002</v>
      </c>
      <c r="M68" s="49">
        <f t="shared" si="400"/>
        <v>-75.169000000000011</v>
      </c>
      <c r="N68" s="49">
        <f t="shared" si="400"/>
        <v>12.306000000000012</v>
      </c>
      <c r="O68" s="50">
        <f t="shared" si="400"/>
        <v>93.818999999999988</v>
      </c>
      <c r="P68" s="49">
        <f t="shared" si="400"/>
        <v>13.86699999999999</v>
      </c>
      <c r="Q68" s="49">
        <f t="shared" si="400"/>
        <v>6.6710000000000065</v>
      </c>
      <c r="R68" s="49">
        <f t="shared" si="400"/>
        <v>10.064999999999998</v>
      </c>
      <c r="S68" s="50">
        <f>S26-S63</f>
        <v>11.615700000000011</v>
      </c>
      <c r="T68" s="49">
        <f t="shared" si="400"/>
        <v>22.902000000000001</v>
      </c>
      <c r="U68" s="49">
        <f t="shared" si="400"/>
        <v>17.614000000000004</v>
      </c>
      <c r="V68" s="49">
        <f t="shared" si="400"/>
        <v>16.997</v>
      </c>
      <c r="W68" s="50">
        <f t="shared" si="400"/>
        <v>22.726999999999904</v>
      </c>
      <c r="X68" s="48">
        <f t="shared" si="400"/>
        <v>28.578999999999994</v>
      </c>
      <c r="Y68" s="49">
        <f t="shared" si="400"/>
        <v>25.917000000000009</v>
      </c>
      <c r="Z68" s="49">
        <f t="shared" si="400"/>
        <v>30.340000000000003</v>
      </c>
      <c r="AA68" s="50">
        <f t="shared" si="400"/>
        <v>36.032000000000096</v>
      </c>
      <c r="AB68" s="48">
        <f t="shared" si="400"/>
        <v>28.625000000000014</v>
      </c>
      <c r="AC68" s="49">
        <f t="shared" si="400"/>
        <v>21.220000000000013</v>
      </c>
      <c r="AD68" s="49">
        <f t="shared" si="400"/>
        <v>28.576999999999998</v>
      </c>
      <c r="AE68" s="50">
        <f t="shared" si="400"/>
        <v>42.513999999999967</v>
      </c>
      <c r="AF68" s="48">
        <f t="shared" si="400"/>
        <v>52.290999999999997</v>
      </c>
      <c r="AG68" s="49">
        <f t="shared" si="400"/>
        <v>48.704999999999977</v>
      </c>
      <c r="AH68" s="49">
        <f t="shared" si="400"/>
        <v>63.540999999999983</v>
      </c>
      <c r="AI68" s="50">
        <f t="shared" si="400"/>
        <v>81.797000000000025</v>
      </c>
      <c r="AJ68" s="48">
        <f t="shared" ref="AJ68:BO68" si="401">AJ26-AJ63</f>
        <v>92.835000000000008</v>
      </c>
      <c r="AK68" s="49">
        <f t="shared" si="401"/>
        <v>84.85799999999999</v>
      </c>
      <c r="AL68" s="49">
        <f t="shared" si="401"/>
        <v>97.549999999999983</v>
      </c>
      <c r="AM68" s="50">
        <f t="shared" si="401"/>
        <v>109.38199999999999</v>
      </c>
      <c r="AN68" s="48">
        <f t="shared" si="401"/>
        <v>105.17600000000002</v>
      </c>
      <c r="AO68" s="49">
        <f t="shared" si="401"/>
        <v>83.856330720111245</v>
      </c>
      <c r="AP68" s="49">
        <f t="shared" si="401"/>
        <v>91.722000000000008</v>
      </c>
      <c r="AQ68" s="50">
        <f t="shared" si="401"/>
        <v>103.59399999999999</v>
      </c>
      <c r="AR68" s="48">
        <f t="shared" si="401"/>
        <v>114.77700000000002</v>
      </c>
      <c r="AS68" s="49">
        <f t="shared" si="401"/>
        <v>99.699999999999974</v>
      </c>
      <c r="AT68" s="49">
        <f t="shared" si="401"/>
        <v>111.90000000000002</v>
      </c>
      <c r="AU68" s="50">
        <f t="shared" si="401"/>
        <v>130.30000000000001</v>
      </c>
      <c r="AV68" s="48">
        <f t="shared" si="401"/>
        <v>141.79999999999998</v>
      </c>
      <c r="AW68" s="49">
        <f t="shared" si="401"/>
        <v>130.39999999999998</v>
      </c>
      <c r="AX68" s="49">
        <f t="shared" si="401"/>
        <v>179.09999999999997</v>
      </c>
      <c r="AY68" s="50">
        <f t="shared" si="401"/>
        <v>235.70000000000007</v>
      </c>
      <c r="AZ68" s="48">
        <f t="shared" si="401"/>
        <v>282</v>
      </c>
      <c r="BA68" s="49">
        <f t="shared" si="401"/>
        <v>258.90000000000003</v>
      </c>
      <c r="BB68" s="49">
        <f t="shared" si="401"/>
        <v>295.40000000000003</v>
      </c>
      <c r="BC68" s="50">
        <f t="shared" si="401"/>
        <v>335.19999999999987</v>
      </c>
      <c r="BD68" s="48">
        <f t="shared" si="401"/>
        <v>366.59999999999997</v>
      </c>
      <c r="BE68" s="49">
        <f t="shared" si="401"/>
        <v>285</v>
      </c>
      <c r="BF68" s="49">
        <f t="shared" ref="BF68:BK68" si="402">BF26-BF63</f>
        <v>274.70000000000005</v>
      </c>
      <c r="BG68" s="50">
        <f t="shared" si="402"/>
        <v>318.39999999999998</v>
      </c>
      <c r="BH68" s="48">
        <f t="shared" si="402"/>
        <v>354.29999999999995</v>
      </c>
      <c r="BI68" s="49">
        <f t="shared" si="402"/>
        <v>312.5</v>
      </c>
      <c r="BJ68" s="49">
        <f t="shared" si="402"/>
        <v>333.09999999999991</v>
      </c>
      <c r="BK68" s="50">
        <f t="shared" si="402"/>
        <v>379.20000000000005</v>
      </c>
      <c r="BL68" s="48">
        <f t="shared" ref="BL68" si="403">BL26-BL63</f>
        <v>414.00000000000011</v>
      </c>
      <c r="BM68" s="49">
        <f t="shared" si="401"/>
        <v>326.91862164000008</v>
      </c>
      <c r="BN68" s="49">
        <f t="shared" si="401"/>
        <v>313.62514260206979</v>
      </c>
      <c r="BO68" s="50">
        <f t="shared" si="401"/>
        <v>387.59591293334381</v>
      </c>
      <c r="BP68" s="48">
        <f t="shared" ref="BP68:BW68" si="404">BP26-BP63</f>
        <v>406.10012096013537</v>
      </c>
      <c r="BQ68" s="49">
        <f t="shared" si="404"/>
        <v>363.21603102624186</v>
      </c>
      <c r="BR68" s="49">
        <f t="shared" si="404"/>
        <v>363.86296207133626</v>
      </c>
      <c r="BS68" s="50">
        <f t="shared" si="404"/>
        <v>395.1206474993005</v>
      </c>
      <c r="BT68" s="48">
        <f t="shared" si="404"/>
        <v>414.01698738607223</v>
      </c>
      <c r="BU68" s="938">
        <f t="shared" si="404"/>
        <v>388.29361500308221</v>
      </c>
      <c r="BV68" s="938">
        <f t="shared" si="404"/>
        <v>394.32851396975445</v>
      </c>
      <c r="BW68" s="939">
        <f t="shared" si="404"/>
        <v>429.28005236213482</v>
      </c>
      <c r="BX68" s="106"/>
      <c r="BY68" s="940">
        <f t="shared" ref="BY68:CN68" si="405">BY26-BY63</f>
        <v>5.2629999999999768</v>
      </c>
      <c r="BZ68" s="938">
        <f t="shared" si="405"/>
        <v>64.034999999999854</v>
      </c>
      <c r="CA68" s="938">
        <f t="shared" si="405"/>
        <v>53.752000000000066</v>
      </c>
      <c r="CB68" s="938">
        <f t="shared" si="405"/>
        <v>42.218700000000013</v>
      </c>
      <c r="CC68" s="938">
        <f t="shared" si="405"/>
        <v>80.239999999999895</v>
      </c>
      <c r="CD68" s="938">
        <f t="shared" si="405"/>
        <v>120.86800000000017</v>
      </c>
      <c r="CE68" s="938">
        <f t="shared" si="405"/>
        <v>120.93599999999998</v>
      </c>
      <c r="CF68" s="938">
        <f t="shared" si="405"/>
        <v>246.33399999999997</v>
      </c>
      <c r="CG68" s="938">
        <f t="shared" si="405"/>
        <v>384.62500000000011</v>
      </c>
      <c r="CH68" s="938">
        <f t="shared" si="405"/>
        <v>384.34833072011145</v>
      </c>
      <c r="CI68" s="939">
        <f t="shared" si="405"/>
        <v>456.67700000000002</v>
      </c>
      <c r="CJ68" s="48">
        <f t="shared" si="405"/>
        <v>687.00000000000011</v>
      </c>
      <c r="CK68" s="938">
        <f t="shared" si="405"/>
        <v>1171.4999999999995</v>
      </c>
      <c r="CL68" s="938">
        <f t="shared" si="405"/>
        <v>1244.7000000000005</v>
      </c>
      <c r="CM68" s="938">
        <f t="shared" si="405"/>
        <v>1379.1</v>
      </c>
      <c r="CN68" s="938">
        <f t="shared" si="405"/>
        <v>1442.1396771754137</v>
      </c>
      <c r="CO68" s="938">
        <f>CO26-CO63</f>
        <v>1528.2997615570139</v>
      </c>
      <c r="CP68" s="939">
        <f>CP26-CP63</f>
        <v>1625.9191687210446</v>
      </c>
      <c r="CQ68" s="106"/>
      <c r="CR68" s="48">
        <f t="shared" ref="CR68:DD68" si="406">CR26-CR63</f>
        <v>44.823000000000178</v>
      </c>
      <c r="CS68" s="49">
        <f t="shared" si="406"/>
        <v>51.253699999999924</v>
      </c>
      <c r="CT68" s="49">
        <f t="shared" si="406"/>
        <v>85.916999999999973</v>
      </c>
      <c r="CU68" s="49">
        <f t="shared" si="406"/>
        <v>120.91399999999999</v>
      </c>
      <c r="CV68" s="49">
        <f t="shared" si="406"/>
        <v>144.60199999999992</v>
      </c>
      <c r="CW68" s="49">
        <f t="shared" si="406"/>
        <v>286.8780000000001</v>
      </c>
      <c r="CX68" s="49">
        <f t="shared" si="406"/>
        <v>396.96600000000007</v>
      </c>
      <c r="CY68" s="49">
        <f t="shared" si="406"/>
        <v>393.94933072011133</v>
      </c>
      <c r="CZ68" s="49">
        <f t="shared" si="406"/>
        <v>483.70000000000005</v>
      </c>
      <c r="DA68" s="48">
        <f t="shared" si="406"/>
        <v>827.1999999999997</v>
      </c>
      <c r="DB68" s="49">
        <f t="shared" si="406"/>
        <v>1256.0999999999995</v>
      </c>
      <c r="DC68" s="49">
        <f t="shared" si="406"/>
        <v>1232.4000000000001</v>
      </c>
      <c r="DD68" s="49">
        <f t="shared" si="406"/>
        <v>1438.8</v>
      </c>
      <c r="DE68" s="49">
        <f>DE26-DE63</f>
        <v>1434.2397981355489</v>
      </c>
      <c r="DF68" s="50">
        <f>DF26-DF63</f>
        <v>1536.2166279829507</v>
      </c>
      <c r="DG68" s="42"/>
      <c r="DH68" s="42"/>
      <c r="DI68" s="42"/>
      <c r="DJ68" s="42"/>
      <c r="DK68"/>
      <c r="DL68"/>
      <c r="DM68"/>
      <c r="DN68"/>
      <c r="DO68"/>
      <c r="DP68"/>
      <c r="DQ68" s="42"/>
      <c r="DR68" s="42"/>
    </row>
    <row r="69" spans="1:122" s="42" customFormat="1" ht="14.25" hidden="1" outlineLevel="1">
      <c r="B69" s="19" t="s">
        <v>243</v>
      </c>
      <c r="C69" s="34"/>
      <c r="D69" s="20">
        <f t="shared" ref="D69:AI69" si="407">D68/D10</f>
        <v>2.3215601083685995E-2</v>
      </c>
      <c r="E69" s="21">
        <f t="shared" si="407"/>
        <v>4.65100022876897E-2</v>
      </c>
      <c r="F69" s="21">
        <f t="shared" si="407"/>
        <v>1.5645909759720153E-3</v>
      </c>
      <c r="G69" s="37">
        <f t="shared" si="407"/>
        <v>-4.0058120934200733E-2</v>
      </c>
      <c r="H69" s="21">
        <f t="shared" si="407"/>
        <v>6.3629303058683764E-2</v>
      </c>
      <c r="I69" s="21">
        <f t="shared" si="407"/>
        <v>7.1575344332346871E-2</v>
      </c>
      <c r="J69" s="21">
        <f t="shared" si="407"/>
        <v>8.9590456029357196E-2</v>
      </c>
      <c r="K69" s="37">
        <f t="shared" si="407"/>
        <v>9.713528410992929E-2</v>
      </c>
      <c r="L69" s="21">
        <f t="shared" si="407"/>
        <v>0.10756722383720932</v>
      </c>
      <c r="M69" s="21">
        <f t="shared" si="407"/>
        <v>-0.71192877776199281</v>
      </c>
      <c r="N69" s="21">
        <f t="shared" si="407"/>
        <v>6.4250360253117034E-2</v>
      </c>
      <c r="O69" s="37">
        <f t="shared" si="407"/>
        <v>0.341043425156492</v>
      </c>
      <c r="P69" s="21">
        <f t="shared" si="407"/>
        <v>6.9920584898525109E-2</v>
      </c>
      <c r="Q69" s="21">
        <f t="shared" si="407"/>
        <v>3.6013906734184899E-2</v>
      </c>
      <c r="R69" s="21">
        <f t="shared" si="407"/>
        <v>5.1076332856316402E-2</v>
      </c>
      <c r="S69" s="37">
        <f>S68/S10</f>
        <v>5.8614529875713459E-2</v>
      </c>
      <c r="T69" s="21">
        <f t="shared" si="407"/>
        <v>0.11682905677702393</v>
      </c>
      <c r="U69" s="21">
        <f t="shared" si="407"/>
        <v>9.7741523777814796E-2</v>
      </c>
      <c r="V69" s="21">
        <f t="shared" si="407"/>
        <v>9.7039764779766488E-2</v>
      </c>
      <c r="W69" s="37">
        <f t="shared" si="407"/>
        <v>0.11933065202095999</v>
      </c>
      <c r="X69" s="20">
        <f t="shared" si="407"/>
        <v>0.13574594006640286</v>
      </c>
      <c r="Y69" s="21">
        <f t="shared" si="407"/>
        <v>0.12848771491462913</v>
      </c>
      <c r="Z69" s="21">
        <f t="shared" si="407"/>
        <v>0.14097857906231123</v>
      </c>
      <c r="AA69" s="37">
        <f t="shared" si="407"/>
        <v>0.15493236328612131</v>
      </c>
      <c r="AB69" s="20">
        <f t="shared" si="407"/>
        <v>0.13616169111631188</v>
      </c>
      <c r="AC69" s="21">
        <f t="shared" si="407"/>
        <v>0.12266605006069722</v>
      </c>
      <c r="AD69" s="21">
        <f t="shared" si="407"/>
        <v>0.14945113564454299</v>
      </c>
      <c r="AE69" s="37">
        <f t="shared" si="407"/>
        <v>0.18634558572142385</v>
      </c>
      <c r="AF69" s="20">
        <f t="shared" si="407"/>
        <v>0.21331250152975056</v>
      </c>
      <c r="AG69" s="21">
        <f t="shared" si="407"/>
        <v>0.20459299834494105</v>
      </c>
      <c r="AH69" s="21">
        <f t="shared" si="407"/>
        <v>0.23074772124777565</v>
      </c>
      <c r="AI69" s="37">
        <f t="shared" si="407"/>
        <v>0.2610961973678752</v>
      </c>
      <c r="AJ69" s="20">
        <f t="shared" ref="AJ69:BO69" si="408">AJ68/AJ10</f>
        <v>0.27702017187873001</v>
      </c>
      <c r="AK69" s="21">
        <f t="shared" si="408"/>
        <v>0.26077176247883443</v>
      </c>
      <c r="AL69" s="21">
        <f t="shared" si="408"/>
        <v>0.27395913782208803</v>
      </c>
      <c r="AM69" s="37">
        <f t="shared" si="408"/>
        <v>0.27188081010946619</v>
      </c>
      <c r="AN69" s="20">
        <f t="shared" si="408"/>
        <v>0.2671204348046935</v>
      </c>
      <c r="AO69" s="21">
        <f t="shared" si="408"/>
        <v>0.22993866220656242</v>
      </c>
      <c r="AP69" s="21">
        <f t="shared" si="408"/>
        <v>0.2357661719420725</v>
      </c>
      <c r="AQ69" s="37">
        <f t="shared" si="408"/>
        <v>0.24600047968122568</v>
      </c>
      <c r="AR69" s="20">
        <f t="shared" si="408"/>
        <v>0.2529671187045841</v>
      </c>
      <c r="AS69" s="21">
        <f t="shared" si="408"/>
        <v>0.23447789275634989</v>
      </c>
      <c r="AT69" s="21">
        <f t="shared" si="408"/>
        <v>0.25659252465030957</v>
      </c>
      <c r="AU69" s="37">
        <f t="shared" si="408"/>
        <v>0.27316561844863735</v>
      </c>
      <c r="AV69" s="20">
        <f t="shared" si="408"/>
        <v>0.2806809184481393</v>
      </c>
      <c r="AW69" s="21">
        <f t="shared" si="408"/>
        <v>0.27110187110187106</v>
      </c>
      <c r="AX69" s="21">
        <f t="shared" si="408"/>
        <v>0.30511073253833043</v>
      </c>
      <c r="AY69" s="37">
        <f t="shared" si="408"/>
        <v>0.32818156502367035</v>
      </c>
      <c r="AZ69" s="20">
        <f t="shared" si="408"/>
        <v>0.3500931098696462</v>
      </c>
      <c r="BA69" s="21">
        <f t="shared" si="408"/>
        <v>0.33971919695578012</v>
      </c>
      <c r="BB69" s="21">
        <f t="shared" si="408"/>
        <v>0.36469135802469138</v>
      </c>
      <c r="BC69" s="37">
        <f t="shared" si="408"/>
        <v>0.38056312443233414</v>
      </c>
      <c r="BD69" s="20">
        <f t="shared" si="408"/>
        <v>0.39555459646094088</v>
      </c>
      <c r="BE69" s="21">
        <f t="shared" si="408"/>
        <v>0.36769449103341501</v>
      </c>
      <c r="BF69" s="21">
        <f t="shared" ref="BF69:BK69" si="409">BF68/BF10</f>
        <v>0.36543833976320345</v>
      </c>
      <c r="BG69" s="37">
        <f t="shared" si="409"/>
        <v>0.38113478573138615</v>
      </c>
      <c r="BH69" s="20">
        <f t="shared" si="409"/>
        <v>0.38750957016296617</v>
      </c>
      <c r="BI69" s="859">
        <f t="shared" si="409"/>
        <v>0.36691323235881179</v>
      </c>
      <c r="BJ69" s="859">
        <f t="shared" si="409"/>
        <v>0.36978241563055053</v>
      </c>
      <c r="BK69" s="885">
        <f t="shared" si="409"/>
        <v>0.38513101767215119</v>
      </c>
      <c r="BL69" s="880">
        <f t="shared" ref="BL69" si="410">BL68/BL10</f>
        <v>0.39357353360585612</v>
      </c>
      <c r="BM69" s="881">
        <f t="shared" si="408"/>
        <v>0.36215071366171725</v>
      </c>
      <c r="BN69" s="881">
        <f t="shared" si="408"/>
        <v>0.36126975944485296</v>
      </c>
      <c r="BO69" s="885">
        <f t="shared" si="408"/>
        <v>0.37571241380739984</v>
      </c>
      <c r="BP69" s="20">
        <f t="shared" ref="BP69:BW69" si="411">BP68/BP10</f>
        <v>0.37807991614708342</v>
      </c>
      <c r="BQ69" s="21">
        <f t="shared" si="411"/>
        <v>0.37137928578468865</v>
      </c>
      <c r="BR69" s="21">
        <f t="shared" si="411"/>
        <v>0.37193037830054848</v>
      </c>
      <c r="BS69" s="37">
        <f t="shared" si="411"/>
        <v>0.37548070562391672</v>
      </c>
      <c r="BT69" s="880">
        <f t="shared" si="411"/>
        <v>0.37750898086285384</v>
      </c>
      <c r="BU69" s="881">
        <f t="shared" si="411"/>
        <v>0.37439075709131864</v>
      </c>
      <c r="BV69" s="881">
        <f t="shared" si="411"/>
        <v>0.37532539468269771</v>
      </c>
      <c r="BW69" s="885">
        <f t="shared" si="411"/>
        <v>0.37785034175822613</v>
      </c>
      <c r="BX69" s="841"/>
      <c r="BY69" s="20">
        <f t="shared" ref="BY69:CN69" si="412">BY68/BY10</f>
        <v>8.5190898510656178E-3</v>
      </c>
      <c r="BZ69" s="21">
        <f t="shared" si="412"/>
        <v>8.1674899843499307E-2</v>
      </c>
      <c r="CA69" s="21">
        <f t="shared" si="412"/>
        <v>6.783690973041677E-2</v>
      </c>
      <c r="CB69" s="21">
        <f t="shared" si="412"/>
        <v>5.4210773663692834E-2</v>
      </c>
      <c r="CC69" s="21">
        <f t="shared" si="412"/>
        <v>0.10816217316461962</v>
      </c>
      <c r="CD69" s="21">
        <f t="shared" si="412"/>
        <v>0.1405414079024021</v>
      </c>
      <c r="CE69" s="21">
        <f t="shared" si="412"/>
        <v>0.1506846072090279</v>
      </c>
      <c r="CF69" s="21">
        <f t="shared" si="412"/>
        <v>0.229821551356581</v>
      </c>
      <c r="CG69" s="21">
        <f t="shared" si="412"/>
        <v>0.271068459013251</v>
      </c>
      <c r="CH69" s="21">
        <f t="shared" si="412"/>
        <v>0.24502931676471373</v>
      </c>
      <c r="CI69" s="37">
        <f t="shared" si="412"/>
        <v>0.25483880508230083</v>
      </c>
      <c r="CJ69" s="880">
        <f t="shared" si="412"/>
        <v>0.29981670594396442</v>
      </c>
      <c r="CK69" s="881">
        <f t="shared" si="412"/>
        <v>0.35953228578443397</v>
      </c>
      <c r="CL69" s="881">
        <f t="shared" si="412"/>
        <v>0.37844329583460029</v>
      </c>
      <c r="CM69" s="881">
        <f t="shared" si="412"/>
        <v>0.37769074875390257</v>
      </c>
      <c r="CN69" s="881">
        <f t="shared" si="412"/>
        <v>0.37415776731666295</v>
      </c>
      <c r="CO69" s="881">
        <f>CO68/CO10</f>
        <v>0.37433129736954329</v>
      </c>
      <c r="CP69" s="885">
        <f>CP68/CP10</f>
        <v>0.37631924898421582</v>
      </c>
      <c r="CQ69" s="107"/>
      <c r="CR69" s="20">
        <f t="shared" ref="CR69:DD69" si="413">CR68/CR10</f>
        <v>5.8171195116127179E-2</v>
      </c>
      <c r="CS69" s="21">
        <f t="shared" si="413"/>
        <v>6.6006647838422153E-2</v>
      </c>
      <c r="CT69" s="21">
        <f t="shared" si="413"/>
        <v>0.11359393509900149</v>
      </c>
      <c r="CU69" s="21">
        <f t="shared" si="413"/>
        <v>0.14064477406387255</v>
      </c>
      <c r="CV69" s="21">
        <f t="shared" si="413"/>
        <v>0.17266178460083551</v>
      </c>
      <c r="CW69" s="21">
        <f t="shared" si="413"/>
        <v>0.2469188720218346</v>
      </c>
      <c r="CX69" s="21">
        <f t="shared" si="413"/>
        <v>0.26866647445554853</v>
      </c>
      <c r="CY69" s="21">
        <f t="shared" si="413"/>
        <v>0.24189981524834844</v>
      </c>
      <c r="CZ69" s="21">
        <f t="shared" si="413"/>
        <v>0.26238133984269058</v>
      </c>
      <c r="DA69" s="880">
        <f t="shared" si="413"/>
        <v>0.31917274375892263</v>
      </c>
      <c r="DB69" s="881">
        <f t="shared" si="413"/>
        <v>0.37166020652720644</v>
      </c>
      <c r="DC69" s="881">
        <f t="shared" si="413"/>
        <v>0.37613306882343966</v>
      </c>
      <c r="DD69" s="881">
        <f t="shared" si="413"/>
        <v>0.37973079968329371</v>
      </c>
      <c r="DE69" s="881">
        <f>DE68/DE10</f>
        <v>0.36997608101548857</v>
      </c>
      <c r="DF69" s="885">
        <f>DF68/DF10</f>
        <v>0.37419940919725214</v>
      </c>
      <c r="DH69" s="42">
        <f>176/2*3.75</f>
        <v>330</v>
      </c>
      <c r="DK69"/>
      <c r="DL69"/>
      <c r="DM69"/>
      <c r="DN69"/>
      <c r="DO69"/>
      <c r="DP69"/>
    </row>
    <row r="70" spans="1:122" s="45" customFormat="1" ht="15" hidden="1" outlineLevel="1">
      <c r="B70" s="46" t="s">
        <v>33</v>
      </c>
      <c r="C70" s="47"/>
      <c r="D70" s="48">
        <f t="shared" ref="D70:AI70" si="414">D28-D64</f>
        <v>3.7189999999999941</v>
      </c>
      <c r="E70" s="49">
        <f t="shared" si="414"/>
        <v>9.554000000000002</v>
      </c>
      <c r="F70" s="49">
        <f t="shared" si="414"/>
        <v>0.23500000000002075</v>
      </c>
      <c r="G70" s="50">
        <f t="shared" si="414"/>
        <v>-6.0100000000000051</v>
      </c>
      <c r="H70" s="49">
        <f t="shared" si="414"/>
        <v>11.141999999999996</v>
      </c>
      <c r="I70" s="49">
        <f t="shared" si="414"/>
        <v>13.132000000000012</v>
      </c>
      <c r="J70" s="49">
        <f t="shared" si="414"/>
        <v>18.579000000000008</v>
      </c>
      <c r="K70" s="50">
        <f t="shared" si="414"/>
        <v>21.181999999999945</v>
      </c>
      <c r="L70" s="49">
        <f t="shared" si="414"/>
        <v>23.682000000000002</v>
      </c>
      <c r="M70" s="49">
        <f>M28-M64</f>
        <v>-76.055000000000007</v>
      </c>
      <c r="N70" s="49">
        <f t="shared" si="414"/>
        <v>12.306000000000012</v>
      </c>
      <c r="O70" s="50">
        <f t="shared" si="414"/>
        <v>93.818999999999988</v>
      </c>
      <c r="P70" s="49">
        <f t="shared" si="414"/>
        <v>10.835999999999999</v>
      </c>
      <c r="Q70" s="49">
        <f t="shared" si="414"/>
        <v>3.0830000000000126</v>
      </c>
      <c r="R70" s="49">
        <f t="shared" si="414"/>
        <v>6.394999999999996</v>
      </c>
      <c r="S70" s="50">
        <f>S28-S64</f>
        <v>12.723700000000008</v>
      </c>
      <c r="T70" s="49">
        <f t="shared" si="414"/>
        <v>20.876000000000005</v>
      </c>
      <c r="U70" s="49">
        <f t="shared" si="414"/>
        <v>13.569000000000017</v>
      </c>
      <c r="V70" s="49">
        <f t="shared" si="414"/>
        <v>13.352000000000004</v>
      </c>
      <c r="W70" s="50">
        <f t="shared" si="414"/>
        <v>18.705999999999904</v>
      </c>
      <c r="X70" s="48">
        <f t="shared" si="414"/>
        <v>23.571999999999989</v>
      </c>
      <c r="Y70" s="49">
        <f t="shared" si="414"/>
        <v>20.274000000000001</v>
      </c>
      <c r="Z70" s="49">
        <f t="shared" si="414"/>
        <v>24.228000000000009</v>
      </c>
      <c r="AA70" s="50">
        <f t="shared" si="414"/>
        <v>29.582000000000093</v>
      </c>
      <c r="AB70" s="48">
        <f t="shared" si="414"/>
        <v>22.036000000000008</v>
      </c>
      <c r="AC70" s="49">
        <f t="shared" si="414"/>
        <v>16.956000000000017</v>
      </c>
      <c r="AD70" s="49">
        <f t="shared" si="414"/>
        <v>23.108999999999988</v>
      </c>
      <c r="AE70" s="50">
        <f t="shared" si="414"/>
        <v>35.368999999999957</v>
      </c>
      <c r="AF70" s="48">
        <f t="shared" si="414"/>
        <v>44.206999999999994</v>
      </c>
      <c r="AG70" s="49">
        <f t="shared" si="414"/>
        <v>39.984999999999985</v>
      </c>
      <c r="AH70" s="49">
        <f t="shared" si="414"/>
        <v>54.105999999999995</v>
      </c>
      <c r="AI70" s="50">
        <f t="shared" si="414"/>
        <v>67.294000000000025</v>
      </c>
      <c r="AJ70" s="48">
        <f t="shared" ref="AJ70:BO70" si="415">AJ28-AJ64</f>
        <v>78.944000000000017</v>
      </c>
      <c r="AK70" s="49">
        <f t="shared" si="415"/>
        <v>69.697999999999993</v>
      </c>
      <c r="AL70" s="49">
        <f t="shared" si="415"/>
        <v>79.323999999999984</v>
      </c>
      <c r="AM70" s="50">
        <f t="shared" si="415"/>
        <v>91.034999999999997</v>
      </c>
      <c r="AN70" s="48">
        <f t="shared" si="415"/>
        <v>82.076000000000022</v>
      </c>
      <c r="AO70" s="49">
        <f t="shared" si="415"/>
        <v>61.894999999999996</v>
      </c>
      <c r="AP70" s="49">
        <f t="shared" si="415"/>
        <v>72.441000000000003</v>
      </c>
      <c r="AQ70" s="50">
        <f t="shared" si="415"/>
        <v>83.944999999999993</v>
      </c>
      <c r="AR70" s="48">
        <f t="shared" si="415"/>
        <v>96.39400000000002</v>
      </c>
      <c r="AS70" s="49">
        <f t="shared" si="415"/>
        <v>80.699999999999989</v>
      </c>
      <c r="AT70" s="49">
        <f t="shared" si="415"/>
        <v>92.600000000000009</v>
      </c>
      <c r="AU70" s="50">
        <f t="shared" si="415"/>
        <v>112.20000000000002</v>
      </c>
      <c r="AV70" s="48">
        <f t="shared" si="415"/>
        <v>122.5</v>
      </c>
      <c r="AW70" s="49">
        <f t="shared" si="415"/>
        <v>108.89999999999998</v>
      </c>
      <c r="AX70" s="49">
        <f t="shared" si="415"/>
        <v>154.19999999999999</v>
      </c>
      <c r="AY70" s="50">
        <f t="shared" si="415"/>
        <v>210.50000000000006</v>
      </c>
      <c r="AZ70" s="48">
        <f t="shared" si="415"/>
        <v>260.10000000000002</v>
      </c>
      <c r="BA70" s="49">
        <f t="shared" si="415"/>
        <v>229.30000000000004</v>
      </c>
      <c r="BB70" s="49">
        <f t="shared" si="415"/>
        <v>267.70000000000005</v>
      </c>
      <c r="BC70" s="50">
        <f t="shared" si="415"/>
        <v>308.69999999999993</v>
      </c>
      <c r="BD70" s="48">
        <f t="shared" si="415"/>
        <v>343.29999999999995</v>
      </c>
      <c r="BE70" s="49">
        <f t="shared" si="415"/>
        <v>266.60000000000002</v>
      </c>
      <c r="BF70" s="49">
        <f t="shared" ref="BF70:BK70" si="416">BF28-BF64</f>
        <v>255.30000000000007</v>
      </c>
      <c r="BG70" s="50">
        <f t="shared" si="416"/>
        <v>298.2</v>
      </c>
      <c r="BH70" s="48">
        <f t="shared" si="416"/>
        <v>332.7</v>
      </c>
      <c r="BI70" s="49">
        <f t="shared" si="416"/>
        <v>288.20000000000005</v>
      </c>
      <c r="BJ70" s="49">
        <f t="shared" si="416"/>
        <v>312.09999999999997</v>
      </c>
      <c r="BK70" s="50">
        <f t="shared" si="416"/>
        <v>350.70000000000005</v>
      </c>
      <c r="BL70" s="48">
        <f t="shared" ref="BL70" si="417">BL28-BL64</f>
        <v>388.20000000000005</v>
      </c>
      <c r="BM70" s="49">
        <f t="shared" si="415"/>
        <v>301.41862164000008</v>
      </c>
      <c r="BN70" s="49">
        <f t="shared" si="415"/>
        <v>288.12514260206979</v>
      </c>
      <c r="BO70" s="50">
        <f t="shared" si="415"/>
        <v>362.09591293334381</v>
      </c>
      <c r="BP70" s="48">
        <f t="shared" ref="BP70:BW70" si="418">BP28-BP64</f>
        <v>380.60012096013537</v>
      </c>
      <c r="BQ70" s="49">
        <f t="shared" si="418"/>
        <v>337.71603102624186</v>
      </c>
      <c r="BR70" s="49">
        <f t="shared" si="418"/>
        <v>338.36296207133626</v>
      </c>
      <c r="BS70" s="50">
        <f t="shared" si="418"/>
        <v>369.6206474993005</v>
      </c>
      <c r="BT70" s="48">
        <f t="shared" si="418"/>
        <v>388.51698738607223</v>
      </c>
      <c r="BU70" s="938">
        <f t="shared" si="418"/>
        <v>362.79361500308221</v>
      </c>
      <c r="BV70" s="938">
        <f t="shared" si="418"/>
        <v>368.82851396975445</v>
      </c>
      <c r="BW70" s="939">
        <f t="shared" si="418"/>
        <v>403.78005236213482</v>
      </c>
      <c r="BX70" s="106"/>
      <c r="BY70" s="940">
        <f t="shared" ref="BY70:CN70" si="419">BY28-BY64</f>
        <v>7.4979999999999905</v>
      </c>
      <c r="BZ70" s="938">
        <f t="shared" si="419"/>
        <v>64.034999999999854</v>
      </c>
      <c r="CA70" s="938">
        <f>CA28-CA64</f>
        <v>53.752000000000066</v>
      </c>
      <c r="CB70" s="938">
        <f t="shared" si="419"/>
        <v>33.037700000000029</v>
      </c>
      <c r="CC70" s="938">
        <f t="shared" si="419"/>
        <v>66.502999999999901</v>
      </c>
      <c r="CD70" s="938">
        <f t="shared" si="419"/>
        <v>97.65600000000012</v>
      </c>
      <c r="CE70" s="938">
        <f t="shared" si="419"/>
        <v>97.46999999999997</v>
      </c>
      <c r="CF70" s="938">
        <f t="shared" si="419"/>
        <v>205.59199999999998</v>
      </c>
      <c r="CG70" s="938">
        <f t="shared" si="419"/>
        <v>319.00100000000009</v>
      </c>
      <c r="CH70" s="938">
        <f t="shared" si="419"/>
        <v>300.3570000000002</v>
      </c>
      <c r="CI70" s="939">
        <f t="shared" si="419"/>
        <v>381.89400000000001</v>
      </c>
      <c r="CJ70" s="940">
        <f t="shared" si="419"/>
        <v>596.10000000000014</v>
      </c>
      <c r="CK70" s="938">
        <f t="shared" si="419"/>
        <v>1065.7999999999995</v>
      </c>
      <c r="CL70" s="938">
        <f t="shared" si="419"/>
        <v>1163.4000000000005</v>
      </c>
      <c r="CM70" s="938">
        <f t="shared" si="419"/>
        <v>1283.6999999999998</v>
      </c>
      <c r="CN70" s="938">
        <f t="shared" si="419"/>
        <v>1339.8396771754137</v>
      </c>
      <c r="CO70" s="938">
        <f>CO28-CO64</f>
        <v>1426.2997615570139</v>
      </c>
      <c r="CP70" s="939">
        <f>CP28-CP64</f>
        <v>1523.9191687210446</v>
      </c>
      <c r="CQ70" s="106"/>
      <c r="CR70" s="48">
        <f t="shared" ref="CR70:DD70" si="420">CR28-CR64</f>
        <v>40.906000000000148</v>
      </c>
      <c r="CS70" s="49">
        <f t="shared" si="420"/>
        <v>38.039699999999954</v>
      </c>
      <c r="CT70" s="49">
        <f t="shared" si="420"/>
        <v>69.198999999999984</v>
      </c>
      <c r="CU70" s="49">
        <f t="shared" si="420"/>
        <v>96.12</v>
      </c>
      <c r="CV70" s="49">
        <f t="shared" si="420"/>
        <v>119.64099999999993</v>
      </c>
      <c r="CW70" s="49">
        <f t="shared" si="420"/>
        <v>240.32900000000006</v>
      </c>
      <c r="CX70" s="49">
        <f t="shared" si="420"/>
        <v>322.13300000000004</v>
      </c>
      <c r="CY70" s="49">
        <f t="shared" si="420"/>
        <v>314.67500000000007</v>
      </c>
      <c r="CZ70" s="49">
        <f t="shared" si="420"/>
        <v>408.00000000000006</v>
      </c>
      <c r="DA70" s="48">
        <f t="shared" si="420"/>
        <v>733.6999999999997</v>
      </c>
      <c r="DB70" s="49">
        <f t="shared" si="420"/>
        <v>1148.9999999999995</v>
      </c>
      <c r="DC70" s="49">
        <f t="shared" si="420"/>
        <v>1152.8000000000002</v>
      </c>
      <c r="DD70" s="49">
        <f t="shared" si="420"/>
        <v>1339.1999999999998</v>
      </c>
      <c r="DE70" s="49">
        <f>DE28-DE64</f>
        <v>1332.2397981355489</v>
      </c>
      <c r="DF70" s="50">
        <f>DF28-DF64</f>
        <v>1434.2166279829507</v>
      </c>
      <c r="DG70" s="42"/>
      <c r="DH70" s="42">
        <f>DH69*0.38</f>
        <v>125.4</v>
      </c>
      <c r="DI70" s="42"/>
      <c r="DJ70" s="42"/>
      <c r="DK70"/>
      <c r="DL70"/>
      <c r="DM70"/>
      <c r="DN70"/>
      <c r="DO70"/>
      <c r="DP70"/>
      <c r="DQ70" s="42"/>
      <c r="DR70" s="42"/>
    </row>
    <row r="71" spans="1:122" s="42" customFormat="1" ht="14.25" hidden="1" outlineLevel="1">
      <c r="B71" s="19" t="s">
        <v>244</v>
      </c>
      <c r="C71" s="34"/>
      <c r="D71" s="20">
        <f t="shared" ref="D71:AI71" si="421">D70/D10</f>
        <v>2.3215601083685995E-2</v>
      </c>
      <c r="E71" s="21">
        <f t="shared" si="421"/>
        <v>6.0712742431559961E-2</v>
      </c>
      <c r="F71" s="21">
        <f t="shared" si="421"/>
        <v>1.5645909759720153E-3</v>
      </c>
      <c r="G71" s="37">
        <f t="shared" si="421"/>
        <v>-4.0058120934200733E-2</v>
      </c>
      <c r="H71" s="21">
        <f t="shared" si="421"/>
        <v>6.3629303058683764E-2</v>
      </c>
      <c r="I71" s="21">
        <f t="shared" si="421"/>
        <v>7.1575344332346871E-2</v>
      </c>
      <c r="J71" s="21">
        <f t="shared" si="421"/>
        <v>8.9590456029357196E-2</v>
      </c>
      <c r="K71" s="37">
        <f t="shared" si="421"/>
        <v>9.713528410992929E-2</v>
      </c>
      <c r="L71" s="21">
        <f t="shared" si="421"/>
        <v>0.10756722383720932</v>
      </c>
      <c r="M71" s="21">
        <f t="shared" si="421"/>
        <v>-0.72032012122934141</v>
      </c>
      <c r="N71" s="21">
        <f t="shared" si="421"/>
        <v>6.4250360253117034E-2</v>
      </c>
      <c r="O71" s="37">
        <f t="shared" si="421"/>
        <v>0.341043425156492</v>
      </c>
      <c r="P71" s="21">
        <f t="shared" si="421"/>
        <v>5.4637589814698094E-2</v>
      </c>
      <c r="Q71" s="21">
        <f t="shared" si="421"/>
        <v>1.6643812690974726E-2</v>
      </c>
      <c r="R71" s="21">
        <f t="shared" si="421"/>
        <v>3.2452374427833414E-2</v>
      </c>
      <c r="S71" s="37">
        <f>S70/S10</f>
        <v>6.4205660767720843E-2</v>
      </c>
      <c r="T71" s="21">
        <f t="shared" si="421"/>
        <v>0.10649390399428661</v>
      </c>
      <c r="U71" s="21">
        <f t="shared" si="421"/>
        <v>7.5295488596637344E-2</v>
      </c>
      <c r="V71" s="21">
        <f t="shared" si="421"/>
        <v>7.622962518911823E-2</v>
      </c>
      <c r="W71" s="37">
        <f t="shared" si="421"/>
        <v>9.8217942390287999E-2</v>
      </c>
      <c r="X71" s="20">
        <f t="shared" si="421"/>
        <v>0.1119634451606161</v>
      </c>
      <c r="Y71" s="21">
        <f t="shared" si="421"/>
        <v>0.10051163067404367</v>
      </c>
      <c r="Z71" s="21">
        <f t="shared" si="421"/>
        <v>0.11257841178383908</v>
      </c>
      <c r="AA71" s="37">
        <f t="shared" si="421"/>
        <v>0.12719830069743679</v>
      </c>
      <c r="AB71" s="20">
        <f t="shared" si="421"/>
        <v>0.10481952927297984</v>
      </c>
      <c r="AC71" s="21">
        <f t="shared" si="421"/>
        <v>9.8017226429273463E-2</v>
      </c>
      <c r="AD71" s="21">
        <f t="shared" si="421"/>
        <v>0.1208547535993891</v>
      </c>
      <c r="AE71" s="37">
        <f t="shared" si="421"/>
        <v>0.15502792071743512</v>
      </c>
      <c r="AF71" s="20">
        <f t="shared" si="421"/>
        <v>0.18033515815581425</v>
      </c>
      <c r="AG71" s="21">
        <f t="shared" si="421"/>
        <v>0.16796326945534276</v>
      </c>
      <c r="AH71" s="21">
        <f t="shared" si="421"/>
        <v>0.19648472963648905</v>
      </c>
      <c r="AI71" s="37">
        <f t="shared" si="421"/>
        <v>0.21480259062892032</v>
      </c>
      <c r="AJ71" s="20">
        <f t="shared" ref="AJ71:BO71" si="422">AJ70/AJ10</f>
        <v>0.23556934829314877</v>
      </c>
      <c r="AK71" s="21">
        <f t="shared" si="422"/>
        <v>0.21418452357172926</v>
      </c>
      <c r="AL71" s="21">
        <f t="shared" si="422"/>
        <v>0.22277329214350905</v>
      </c>
      <c r="AM71" s="37">
        <f t="shared" si="422"/>
        <v>0.22627735411964725</v>
      </c>
      <c r="AN71" s="20">
        <f t="shared" si="422"/>
        <v>0.208452278153096</v>
      </c>
      <c r="AO71" s="21">
        <f t="shared" si="422"/>
        <v>0.16971948778414542</v>
      </c>
      <c r="AP71" s="21">
        <f t="shared" si="422"/>
        <v>0.18620546064908827</v>
      </c>
      <c r="AQ71" s="37">
        <f t="shared" si="422"/>
        <v>0.19934079451358661</v>
      </c>
      <c r="AR71" s="20">
        <f t="shared" si="422"/>
        <v>0.21245120921795901</v>
      </c>
      <c r="AS71" s="21">
        <f t="shared" si="422"/>
        <v>0.18979303857008464</v>
      </c>
      <c r="AT71" s="21">
        <f t="shared" si="422"/>
        <v>0.21233662004127493</v>
      </c>
      <c r="AU71" s="37">
        <f t="shared" si="422"/>
        <v>0.23522012578616355</v>
      </c>
      <c r="AV71" s="20">
        <f t="shared" si="422"/>
        <v>0.2424782264449723</v>
      </c>
      <c r="AW71" s="21">
        <f t="shared" si="422"/>
        <v>0.22640332640332636</v>
      </c>
      <c r="AX71" s="21">
        <f t="shared" si="422"/>
        <v>0.26269165247018739</v>
      </c>
      <c r="AY71" s="37">
        <f t="shared" si="422"/>
        <v>0.29309384572542474</v>
      </c>
      <c r="AZ71" s="20">
        <f t="shared" si="422"/>
        <v>0.32290502793296094</v>
      </c>
      <c r="BA71" s="21">
        <f t="shared" si="422"/>
        <v>0.30087914971788482</v>
      </c>
      <c r="BB71" s="21">
        <f t="shared" si="422"/>
        <v>0.33049382716049386</v>
      </c>
      <c r="BC71" s="37">
        <f t="shared" si="422"/>
        <v>0.35047683923705714</v>
      </c>
      <c r="BD71" s="20">
        <f t="shared" si="422"/>
        <v>0.37041432887354336</v>
      </c>
      <c r="BE71" s="21">
        <f t="shared" si="422"/>
        <v>0.34395561862985424</v>
      </c>
      <c r="BF71" s="21">
        <f t="shared" ref="BF71:BK71" si="423">BF70/BF10</f>
        <v>0.33963017161101511</v>
      </c>
      <c r="BG71" s="37">
        <f t="shared" si="423"/>
        <v>0.35695475221450801</v>
      </c>
      <c r="BH71" s="20">
        <f t="shared" si="423"/>
        <v>0.36388493929782345</v>
      </c>
      <c r="BI71" s="859">
        <f t="shared" si="423"/>
        <v>0.33838205941059063</v>
      </c>
      <c r="BJ71" s="859">
        <f t="shared" si="423"/>
        <v>0.34646980461811722</v>
      </c>
      <c r="BK71" s="885">
        <f t="shared" si="423"/>
        <v>0.35618525289457653</v>
      </c>
      <c r="BL71" s="880">
        <f t="shared" ref="BL71" si="424">BL70/BL10</f>
        <v>0.36904648730867956</v>
      </c>
      <c r="BM71" s="881">
        <f t="shared" si="422"/>
        <v>0.33390257303256976</v>
      </c>
      <c r="BN71" s="881">
        <f t="shared" si="422"/>
        <v>0.33189590634936789</v>
      </c>
      <c r="BO71" s="885">
        <f t="shared" si="422"/>
        <v>0.35099423120433326</v>
      </c>
      <c r="BP71" s="20">
        <f t="shared" ref="BP71:BW71" si="425">BP70/BP10</f>
        <v>0.3543393719705476</v>
      </c>
      <c r="BQ71" s="21">
        <f t="shared" si="425"/>
        <v>0.3453061750776743</v>
      </c>
      <c r="BR71" s="21">
        <f t="shared" si="425"/>
        <v>0.34586500304862994</v>
      </c>
      <c r="BS71" s="37">
        <f t="shared" si="425"/>
        <v>0.35124821346232493</v>
      </c>
      <c r="BT71" s="880">
        <f t="shared" si="425"/>
        <v>0.35425757015920062</v>
      </c>
      <c r="BU71" s="881">
        <f t="shared" si="425"/>
        <v>0.34980378492142383</v>
      </c>
      <c r="BV71" s="881">
        <f t="shared" si="425"/>
        <v>0.35105426737298739</v>
      </c>
      <c r="BW71" s="885">
        <f t="shared" si="425"/>
        <v>0.355405358205376</v>
      </c>
      <c r="BX71" s="841"/>
      <c r="BY71" s="20">
        <f t="shared" ref="BY71:CN71" si="426">BY70/BY10</f>
        <v>1.2136829888521794E-2</v>
      </c>
      <c r="BZ71" s="21">
        <f t="shared" si="426"/>
        <v>8.1674899843499307E-2</v>
      </c>
      <c r="CA71" s="21">
        <f t="shared" si="426"/>
        <v>6.783690973041677E-2</v>
      </c>
      <c r="CB71" s="21">
        <f t="shared" si="426"/>
        <v>4.2421942813705434E-2</v>
      </c>
      <c r="CC71" s="21">
        <f t="shared" si="426"/>
        <v>8.964492774135964E-2</v>
      </c>
      <c r="CD71" s="21">
        <f t="shared" si="426"/>
        <v>0.11355124375448405</v>
      </c>
      <c r="CE71" s="21">
        <f t="shared" si="426"/>
        <v>0.12144629113468237</v>
      </c>
      <c r="CF71" s="21">
        <f t="shared" si="426"/>
        <v>0.19181060018715324</v>
      </c>
      <c r="CG71" s="21">
        <f t="shared" si="426"/>
        <v>0.22481926420197876</v>
      </c>
      <c r="CH71" s="21">
        <f t="shared" si="426"/>
        <v>0.19148325779797165</v>
      </c>
      <c r="CI71" s="37">
        <f t="shared" si="426"/>
        <v>0.2131077558714369</v>
      </c>
      <c r="CJ71" s="880">
        <f t="shared" si="426"/>
        <v>0.26014663524482856</v>
      </c>
      <c r="CK71" s="881">
        <f t="shared" si="426"/>
        <v>0.32709305180456655</v>
      </c>
      <c r="CL71" s="881">
        <f t="shared" si="426"/>
        <v>0.35372453633323209</v>
      </c>
      <c r="CM71" s="881">
        <f t="shared" si="426"/>
        <v>0.35156378375417641</v>
      </c>
      <c r="CN71" s="881">
        <f t="shared" si="426"/>
        <v>0.34761641338105598</v>
      </c>
      <c r="CO71" s="881">
        <f>CO70/CO10</f>
        <v>0.34934811455938947</v>
      </c>
      <c r="CP71" s="885">
        <f>CP70/CP10</f>
        <v>0.35271133283757028</v>
      </c>
      <c r="CQ71" s="107"/>
      <c r="CR71" s="20">
        <f t="shared" ref="CR71:DD71" si="427">CR70/CR10</f>
        <v>5.3087720755422389E-2</v>
      </c>
      <c r="CS71" s="21">
        <f t="shared" si="427"/>
        <v>4.8989108723452697E-2</v>
      </c>
      <c r="CT71" s="21">
        <f t="shared" si="427"/>
        <v>9.1490470045692995E-2</v>
      </c>
      <c r="CU71" s="21">
        <f t="shared" si="427"/>
        <v>0.1118048834958684</v>
      </c>
      <c r="CV71" s="21">
        <f t="shared" si="427"/>
        <v>0.14285714285714279</v>
      </c>
      <c r="CW71" s="21">
        <f t="shared" si="427"/>
        <v>0.20685366460354396</v>
      </c>
      <c r="CX71" s="21">
        <f t="shared" si="427"/>
        <v>0.21801952161089164</v>
      </c>
      <c r="CY71" s="21">
        <f t="shared" si="427"/>
        <v>0.19322237259327854</v>
      </c>
      <c r="CZ71" s="21">
        <f t="shared" si="427"/>
        <v>0.22131814483319776</v>
      </c>
      <c r="DA71" s="880">
        <f t="shared" si="427"/>
        <v>0.28309603735000183</v>
      </c>
      <c r="DB71" s="881">
        <f t="shared" si="427"/>
        <v>0.3399710033434919</v>
      </c>
      <c r="DC71" s="881">
        <f t="shared" si="427"/>
        <v>0.35183885243399976</v>
      </c>
      <c r="DD71" s="881">
        <f t="shared" si="427"/>
        <v>0.35344418052256527</v>
      </c>
      <c r="DE71" s="881">
        <f>DE70/DE10</f>
        <v>0.34366419069377452</v>
      </c>
      <c r="DF71" s="885">
        <f>DF70/DF10</f>
        <v>0.34935373376133744</v>
      </c>
      <c r="DH71" s="42">
        <f>DH70*0.85</f>
        <v>106.59</v>
      </c>
      <c r="DK71"/>
      <c r="DL71"/>
      <c r="DM71"/>
      <c r="DN71"/>
      <c r="DO71"/>
      <c r="DP71"/>
    </row>
    <row r="72" spans="1:122" s="7" customFormat="1" ht="14.25" collapsed="1">
      <c r="A72" s="505"/>
      <c r="B72" s="14"/>
      <c r="C72" s="24"/>
      <c r="D72" s="39"/>
      <c r="E72" s="39"/>
      <c r="F72" s="39"/>
      <c r="G72" s="40"/>
      <c r="H72" s="39"/>
      <c r="I72" s="39"/>
      <c r="J72" s="39"/>
      <c r="K72" s="40"/>
      <c r="L72" s="39"/>
      <c r="M72" s="39"/>
      <c r="N72" s="39"/>
      <c r="O72" s="40"/>
      <c r="P72" s="39"/>
      <c r="Q72" s="39"/>
      <c r="R72" s="39"/>
      <c r="S72" s="40"/>
      <c r="T72" s="39"/>
      <c r="U72" s="39"/>
      <c r="V72" s="39"/>
      <c r="W72" s="40"/>
      <c r="X72" s="39"/>
      <c r="Y72" s="39"/>
      <c r="Z72" s="39"/>
      <c r="AA72" s="40"/>
      <c r="AB72" s="38"/>
      <c r="AC72" s="39"/>
      <c r="AD72" s="39"/>
      <c r="AE72" s="40"/>
      <c r="AF72" s="39"/>
      <c r="AG72" s="39"/>
      <c r="AH72" s="44"/>
      <c r="AI72" s="40"/>
      <c r="AJ72" s="39"/>
      <c r="AK72" s="39"/>
      <c r="AL72" s="44"/>
      <c r="AM72" s="40"/>
      <c r="AN72" s="39"/>
      <c r="AO72" s="39"/>
      <c r="AP72" s="44"/>
      <c r="AQ72" s="40"/>
      <c r="AR72" s="39"/>
      <c r="AS72" s="39"/>
      <c r="AT72" s="44"/>
      <c r="AU72" s="40"/>
      <c r="AV72" s="39"/>
      <c r="AW72" s="39"/>
      <c r="AX72" s="44"/>
      <c r="AY72" s="40"/>
      <c r="AZ72" s="39"/>
      <c r="BA72" s="39"/>
      <c r="BB72" s="44"/>
      <c r="BC72" s="40"/>
      <c r="BD72" s="39"/>
      <c r="BE72" s="39"/>
      <c r="BF72" s="44"/>
      <c r="BG72" s="40"/>
      <c r="BH72" s="39"/>
      <c r="BI72" s="39"/>
      <c r="BJ72" s="44"/>
      <c r="BK72" s="40"/>
      <c r="BL72" s="39"/>
      <c r="BM72" s="39"/>
      <c r="BN72" s="39"/>
      <c r="BO72" s="40"/>
      <c r="BP72" s="38"/>
      <c r="BQ72" s="39"/>
      <c r="BR72" s="39"/>
      <c r="BS72" s="40"/>
      <c r="BT72" s="38"/>
      <c r="BU72" s="39"/>
      <c r="BV72" s="39"/>
      <c r="BW72" s="40"/>
      <c r="BX72" s="108"/>
      <c r="BY72" s="38"/>
      <c r="BZ72" s="39"/>
      <c r="CA72" s="39"/>
      <c r="CB72" s="39"/>
      <c r="CC72" s="39"/>
      <c r="CD72" s="39"/>
      <c r="CE72" s="39"/>
      <c r="CF72" s="39"/>
      <c r="CG72" s="39"/>
      <c r="CH72" s="39"/>
      <c r="CI72" s="40"/>
      <c r="CJ72" s="38"/>
      <c r="CK72" s="39"/>
      <c r="CL72" s="39"/>
      <c r="CM72" s="39"/>
      <c r="CN72" s="39"/>
      <c r="CO72" s="39"/>
      <c r="CP72" s="40"/>
      <c r="CQ72" s="108"/>
      <c r="CR72" s="56"/>
      <c r="CS72" s="57"/>
      <c r="CT72" s="57"/>
      <c r="CU72" s="57"/>
      <c r="CV72" s="57"/>
      <c r="CW72" s="57"/>
      <c r="CX72" s="57"/>
      <c r="CY72" s="57"/>
      <c r="CZ72" s="57"/>
      <c r="DA72" s="56"/>
      <c r="DB72" s="57"/>
      <c r="DC72" s="57"/>
      <c r="DD72" s="57"/>
      <c r="DE72" s="57"/>
      <c r="DF72" s="58"/>
      <c r="DH72" s="943"/>
      <c r="DK72"/>
      <c r="DL72"/>
      <c r="DM72"/>
      <c r="DN72"/>
      <c r="DO72"/>
      <c r="DP72"/>
    </row>
    <row r="73" spans="1:122" s="7" customFormat="1" ht="14.25">
      <c r="A73" s="505"/>
      <c r="B73" s="14" t="s">
        <v>246</v>
      </c>
      <c r="C73" s="24"/>
      <c r="D73" s="30">
        <f t="shared" ref="D73:S73" si="428">D74+D75+D76</f>
        <v>-4.9109999999999996</v>
      </c>
      <c r="E73" s="31">
        <f t="shared" si="428"/>
        <v>-4.4209999999999994</v>
      </c>
      <c r="F73" s="31">
        <f t="shared" si="428"/>
        <v>-4.7869999999999999</v>
      </c>
      <c r="G73" s="32">
        <f t="shared" si="428"/>
        <v>-5.9669999999999987</v>
      </c>
      <c r="H73" s="31">
        <f t="shared" si="428"/>
        <v>-4.9209999999999994</v>
      </c>
      <c r="I73" s="31">
        <f t="shared" si="428"/>
        <v>-5.0999999999999996</v>
      </c>
      <c r="J73" s="31">
        <f t="shared" si="428"/>
        <v>-3.214</v>
      </c>
      <c r="K73" s="32">
        <f t="shared" si="428"/>
        <v>-3.0210000000000017</v>
      </c>
      <c r="L73" s="31">
        <f t="shared" si="428"/>
        <v>-2.4119999999999999</v>
      </c>
      <c r="M73" s="31">
        <f t="shared" si="428"/>
        <v>-2.5679999999999996</v>
      </c>
      <c r="N73" s="31">
        <f t="shared" si="428"/>
        <v>-2.1469999999999998</v>
      </c>
      <c r="O73" s="32">
        <f t="shared" si="428"/>
        <v>-2.0169999999999995</v>
      </c>
      <c r="P73" s="31">
        <f t="shared" si="428"/>
        <v>-1.4929999999999999</v>
      </c>
      <c r="Q73" s="31">
        <f t="shared" si="428"/>
        <v>-2.0159999999999996</v>
      </c>
      <c r="R73" s="31">
        <f t="shared" si="428"/>
        <v>-1.4089999999999998</v>
      </c>
      <c r="S73" s="32">
        <f t="shared" si="428"/>
        <v>-1.5290000000000021</v>
      </c>
      <c r="T73" s="31">
        <f t="shared" ref="T73:AJ73" si="429">T74+T75+T76</f>
        <v>-1.0940000000000003</v>
      </c>
      <c r="U73" s="31">
        <f t="shared" si="429"/>
        <v>-1.2109999999999999</v>
      </c>
      <c r="V73" s="31">
        <f t="shared" si="429"/>
        <v>0.20100000000000007</v>
      </c>
      <c r="W73" s="31">
        <f t="shared" si="429"/>
        <v>0.3879999999999999</v>
      </c>
      <c r="X73" s="30">
        <f t="shared" si="429"/>
        <v>-0.15800000000000036</v>
      </c>
      <c r="Y73" s="31">
        <f t="shared" si="429"/>
        <v>0.1140000000000001</v>
      </c>
      <c r="Z73" s="31">
        <f t="shared" si="429"/>
        <v>-0.59399999999999986</v>
      </c>
      <c r="AA73" s="31">
        <f t="shared" si="429"/>
        <v>-7.5450000000000008</v>
      </c>
      <c r="AB73" s="30">
        <f t="shared" si="429"/>
        <v>3.859</v>
      </c>
      <c r="AC73" s="31">
        <f t="shared" si="429"/>
        <v>-1.91</v>
      </c>
      <c r="AD73" s="31">
        <f t="shared" si="429"/>
        <v>-2.0310000000000001</v>
      </c>
      <c r="AE73" s="31">
        <f t="shared" si="429"/>
        <v>-1.8639999999999994</v>
      </c>
      <c r="AF73" s="30">
        <f t="shared" si="429"/>
        <v>-1.7309999999999999</v>
      </c>
      <c r="AG73" s="31">
        <f t="shared" si="429"/>
        <v>-1.464</v>
      </c>
      <c r="AH73" s="31">
        <f t="shared" si="429"/>
        <v>-0.80299999999999994</v>
      </c>
      <c r="AI73" s="31">
        <f t="shared" si="429"/>
        <v>-0.67200000000000071</v>
      </c>
      <c r="AJ73" s="30">
        <f t="shared" si="429"/>
        <v>-0.60600000000000009</v>
      </c>
      <c r="AK73" s="31">
        <f t="shared" ref="AK73:AP73" si="430">AK74+AK75+AK76</f>
        <v>-0.57500000000000007</v>
      </c>
      <c r="AL73" s="31">
        <f t="shared" si="430"/>
        <v>-0.46700000000000003</v>
      </c>
      <c r="AM73" s="32">
        <f t="shared" si="430"/>
        <v>0.21000000000000008</v>
      </c>
      <c r="AN73" s="30">
        <f t="shared" si="430"/>
        <v>-0.30599999999999999</v>
      </c>
      <c r="AO73" s="31">
        <f t="shared" si="430"/>
        <v>-0.35399999999999998</v>
      </c>
      <c r="AP73" s="31">
        <f t="shared" si="430"/>
        <v>8.6000000000000007E-2</v>
      </c>
      <c r="AQ73" s="32">
        <f t="shared" ref="AQ73:AW73" si="431">AQ74+AQ75+AQ76</f>
        <v>-8.4000000000000005E-2</v>
      </c>
      <c r="AR73" s="30">
        <f t="shared" si="431"/>
        <v>0.25900000000000001</v>
      </c>
      <c r="AS73" s="31">
        <f t="shared" si="431"/>
        <v>-1.4</v>
      </c>
      <c r="AT73" s="31">
        <f t="shared" si="431"/>
        <v>0.2</v>
      </c>
      <c r="AU73" s="32">
        <f t="shared" si="431"/>
        <v>0.3</v>
      </c>
      <c r="AV73" s="30">
        <f t="shared" si="431"/>
        <v>0</v>
      </c>
      <c r="AW73" s="31">
        <f t="shared" si="431"/>
        <v>-0.1</v>
      </c>
      <c r="AX73" s="31">
        <f t="shared" ref="AX73:BC73" si="432">AX74+AX75+AX76</f>
        <v>0</v>
      </c>
      <c r="AY73" s="32">
        <f t="shared" si="432"/>
        <v>0.1</v>
      </c>
      <c r="AZ73" s="30">
        <f t="shared" si="432"/>
        <v>0.7</v>
      </c>
      <c r="BA73" s="31">
        <f t="shared" si="432"/>
        <v>0.6</v>
      </c>
      <c r="BB73" s="31">
        <f t="shared" si="432"/>
        <v>0.6</v>
      </c>
      <c r="BC73" s="32">
        <f t="shared" si="432"/>
        <v>-1.4</v>
      </c>
      <c r="BD73" s="30">
        <f t="shared" ref="BD73:BI73" si="433">BD74+BD75+BD76</f>
        <v>87.7</v>
      </c>
      <c r="BE73" s="31">
        <f t="shared" si="433"/>
        <v>-2.6</v>
      </c>
      <c r="BF73" s="31">
        <f t="shared" si="433"/>
        <v>-2.4</v>
      </c>
      <c r="BG73" s="32">
        <f t="shared" si="433"/>
        <v>-0.8</v>
      </c>
      <c r="BH73" s="30">
        <f t="shared" si="433"/>
        <v>-0.8</v>
      </c>
      <c r="BI73" s="31">
        <f t="shared" si="433"/>
        <v>0.2</v>
      </c>
      <c r="BJ73" s="31">
        <f t="shared" ref="BJ73:BS73" si="434">BJ74+BJ75+BJ76</f>
        <v>2</v>
      </c>
      <c r="BK73" s="32">
        <f t="shared" si="434"/>
        <v>1.8</v>
      </c>
      <c r="BL73" s="30">
        <f t="shared" si="434"/>
        <v>2.1</v>
      </c>
      <c r="BM73" s="31">
        <f t="shared" si="434"/>
        <v>2</v>
      </c>
      <c r="BN73" s="31">
        <f t="shared" si="434"/>
        <v>2</v>
      </c>
      <c r="BO73" s="32">
        <f t="shared" si="434"/>
        <v>2</v>
      </c>
      <c r="BP73" s="30">
        <f t="shared" si="434"/>
        <v>2</v>
      </c>
      <c r="BQ73" s="31">
        <f t="shared" si="434"/>
        <v>2</v>
      </c>
      <c r="BR73" s="31">
        <f t="shared" si="434"/>
        <v>2</v>
      </c>
      <c r="BS73" s="32">
        <f t="shared" si="434"/>
        <v>2</v>
      </c>
      <c r="BT73" s="30">
        <f t="shared" ref="BT73:BW73" si="435">BT74+BT75+BT76</f>
        <v>2</v>
      </c>
      <c r="BU73" s="935">
        <f t="shared" si="435"/>
        <v>2</v>
      </c>
      <c r="BV73" s="935">
        <f t="shared" si="435"/>
        <v>2</v>
      </c>
      <c r="BW73" s="936">
        <f t="shared" si="435"/>
        <v>2</v>
      </c>
      <c r="BX73" s="108"/>
      <c r="BY73" s="937">
        <f>BY74+BY75+BY76</f>
        <v>-20.085999999999999</v>
      </c>
      <c r="BZ73" s="935">
        <f>BZ74+BZ75+BZ76</f>
        <v>-16.256</v>
      </c>
      <c r="CA73" s="935">
        <f>CA74+CA75+CA76</f>
        <v>-9.1439999999999984</v>
      </c>
      <c r="CB73" s="935">
        <f>CB74+CB75+CB76</f>
        <v>-6.447000000000001</v>
      </c>
      <c r="CC73" s="935">
        <f>CC74+CC75+CC76</f>
        <v>-1.7159999999999993</v>
      </c>
      <c r="CD73" s="935">
        <f t="shared" ref="CD73:CJ73" si="436">CD74+CD75+CD76</f>
        <v>-8.1829999999999998</v>
      </c>
      <c r="CE73" s="935">
        <f t="shared" si="436"/>
        <v>-1.946</v>
      </c>
      <c r="CF73" s="935">
        <f t="shared" si="436"/>
        <v>-4.67</v>
      </c>
      <c r="CG73" s="935">
        <f t="shared" si="436"/>
        <v>-1.4379999999999999</v>
      </c>
      <c r="CH73" s="935">
        <f t="shared" si="436"/>
        <v>-0.65800000000000003</v>
      </c>
      <c r="CI73" s="936">
        <f t="shared" si="436"/>
        <v>-0.64099999999999979</v>
      </c>
      <c r="CJ73" s="30">
        <f t="shared" si="436"/>
        <v>0</v>
      </c>
      <c r="CK73" s="935">
        <f t="shared" ref="CK73:CP73" si="437">CK74+CK75+CK76</f>
        <v>0.5</v>
      </c>
      <c r="CL73" s="935">
        <f t="shared" si="437"/>
        <v>81.900000000000006</v>
      </c>
      <c r="CM73" s="935">
        <f t="shared" si="437"/>
        <v>3.2</v>
      </c>
      <c r="CN73" s="935">
        <f t="shared" si="437"/>
        <v>8.1</v>
      </c>
      <c r="CO73" s="935">
        <f t="shared" si="437"/>
        <v>8</v>
      </c>
      <c r="CP73" s="936">
        <f t="shared" si="437"/>
        <v>8</v>
      </c>
      <c r="CQ73" s="106"/>
      <c r="CR73" s="30">
        <f>CR74+CR75+CR76</f>
        <v>-8.2249999999999979</v>
      </c>
      <c r="CS73" s="31">
        <f>CS74+CS75+CS76</f>
        <v>-6.0480000000000018</v>
      </c>
      <c r="CT73" s="31">
        <f>CT74+CT75+CT76</f>
        <v>-0.77999999999999936</v>
      </c>
      <c r="CU73" s="31">
        <f t="shared" ref="CU73:CZ73" si="438">CU74+CU75+CU76</f>
        <v>-4.1659999999999995</v>
      </c>
      <c r="CV73" s="31">
        <f t="shared" si="438"/>
        <v>-7.5359999999999987</v>
      </c>
      <c r="CW73" s="31">
        <f t="shared" si="438"/>
        <v>-3.5450000000000004</v>
      </c>
      <c r="CX73" s="31">
        <f t="shared" si="438"/>
        <v>-1.1379999999999999</v>
      </c>
      <c r="CY73" s="31">
        <f t="shared" si="438"/>
        <v>-9.2999999999999972E-2</v>
      </c>
      <c r="CZ73" s="31">
        <f t="shared" si="438"/>
        <v>-0.89999999999999991</v>
      </c>
      <c r="DA73" s="30">
        <f t="shared" ref="DA73:DF73" si="439">DA74+DA75+DA76</f>
        <v>0.7</v>
      </c>
      <c r="DB73" s="31">
        <f t="shared" si="439"/>
        <v>87.5</v>
      </c>
      <c r="DC73" s="31">
        <f t="shared" si="439"/>
        <v>-6.6</v>
      </c>
      <c r="DD73" s="31">
        <f t="shared" si="439"/>
        <v>6.1</v>
      </c>
      <c r="DE73" s="31">
        <f t="shared" si="439"/>
        <v>8</v>
      </c>
      <c r="DF73" s="32">
        <f t="shared" si="439"/>
        <v>8</v>
      </c>
      <c r="DK73"/>
      <c r="DL73"/>
      <c r="DM73"/>
      <c r="DN73"/>
      <c r="DO73"/>
      <c r="DP73"/>
    </row>
    <row r="74" spans="1:122" s="7" customFormat="1" ht="14.25" hidden="1" outlineLevel="1">
      <c r="A74" s="505"/>
      <c r="B74" s="25" t="s">
        <v>34</v>
      </c>
      <c r="C74" s="24"/>
      <c r="D74" s="28">
        <v>-5.734</v>
      </c>
      <c r="E74" s="28">
        <v>-5.0469999999999997</v>
      </c>
      <c r="F74" s="28">
        <v>-5.069</v>
      </c>
      <c r="G74" s="54">
        <f>-21.403-F74-E74-D74</f>
        <v>-5.552999999999999</v>
      </c>
      <c r="H74" s="28">
        <v>-5.3739999999999997</v>
      </c>
      <c r="I74" s="28">
        <v>-5.4029999999999996</v>
      </c>
      <c r="J74" s="28">
        <v>-3.61</v>
      </c>
      <c r="K74" s="54">
        <f>-17.947-J74-I74-H74</f>
        <v>-3.5600000000000014</v>
      </c>
      <c r="L74" s="28">
        <v>-3.5329999999999999</v>
      </c>
      <c r="M74" s="28">
        <v>-3.6349999999999998</v>
      </c>
      <c r="N74" s="28">
        <v>-3.6829999999999998</v>
      </c>
      <c r="O74" s="54">
        <f>-14.597-N74-M74-L74</f>
        <v>-3.746</v>
      </c>
      <c r="P74" s="28">
        <v>-3.8119999999999998</v>
      </c>
      <c r="Q74" s="28">
        <v>-4.4459999999999997</v>
      </c>
      <c r="R74" s="28">
        <v>-3.2309999999999999</v>
      </c>
      <c r="S74" s="54">
        <f>-14.797-R74-Q74-P74</f>
        <v>-3.3080000000000012</v>
      </c>
      <c r="T74" s="28">
        <v>-3.2490000000000001</v>
      </c>
      <c r="U74" s="28">
        <v>-4.1139999999999999</v>
      </c>
      <c r="V74" s="28">
        <v>-2.5649999999999999</v>
      </c>
      <c r="W74" s="54">
        <f>-12.026-V74-U74-T74</f>
        <v>-2.0980000000000003</v>
      </c>
      <c r="X74" s="28">
        <v>-2.2080000000000002</v>
      </c>
      <c r="Y74" s="28">
        <v>-1.7689999999999999</v>
      </c>
      <c r="Z74" s="28">
        <v>-1.6579999999999999</v>
      </c>
      <c r="AA74" s="41">
        <f>-7.33-Z74-Y74-X74</f>
        <v>-1.6950000000000003</v>
      </c>
      <c r="AB74" s="27">
        <v>-2.456</v>
      </c>
      <c r="AC74" s="28">
        <v>-1.897</v>
      </c>
      <c r="AD74" s="28">
        <v>-1.9990000000000001</v>
      </c>
      <c r="AE74" s="41">
        <f>-8.289-AD74-AC74-AB74</f>
        <v>-1.9369999999999989</v>
      </c>
      <c r="AF74" s="27">
        <v>-1.569</v>
      </c>
      <c r="AG74" s="28">
        <v>-1.1830000000000001</v>
      </c>
      <c r="AH74" s="28">
        <v>-0.86699999999999999</v>
      </c>
      <c r="AI74" s="438">
        <f>-4.246-AH74-AG74-AF74</f>
        <v>-0.62700000000000067</v>
      </c>
      <c r="AJ74" s="27">
        <v>-0.53700000000000003</v>
      </c>
      <c r="AK74" s="28">
        <v>-0.46100000000000002</v>
      </c>
      <c r="AL74" s="28">
        <v>-0.46500000000000002</v>
      </c>
      <c r="AM74" s="53">
        <v>-0.47299999999999998</v>
      </c>
      <c r="AN74" s="27">
        <v>-0.48099999999999998</v>
      </c>
      <c r="AO74" s="28">
        <v>-0.107</v>
      </c>
      <c r="AP74" s="28">
        <v>-0.01</v>
      </c>
      <c r="AQ74" s="53">
        <v>-6.9000000000000006E-2</v>
      </c>
      <c r="AR74" s="27">
        <v>-1.0999999999999999E-2</v>
      </c>
      <c r="AS74" s="28">
        <v>0</v>
      </c>
      <c r="AT74" s="28">
        <v>0.2</v>
      </c>
      <c r="AU74" s="53">
        <v>0</v>
      </c>
      <c r="AV74" s="27">
        <v>0</v>
      </c>
      <c r="AW74" s="28">
        <v>0</v>
      </c>
      <c r="AX74" s="28">
        <v>0</v>
      </c>
      <c r="AY74" s="53">
        <v>0</v>
      </c>
      <c r="AZ74" s="27">
        <v>0</v>
      </c>
      <c r="BA74" s="28">
        <v>0</v>
      </c>
      <c r="BB74" s="28">
        <v>0</v>
      </c>
      <c r="BC74" s="53">
        <v>0</v>
      </c>
      <c r="BD74" s="27">
        <v>0</v>
      </c>
      <c r="BE74" s="28">
        <v>0</v>
      </c>
      <c r="BF74" s="28">
        <v>0</v>
      </c>
      <c r="BG74" s="53">
        <v>0</v>
      </c>
      <c r="BH74" s="27">
        <v>0</v>
      </c>
      <c r="BI74" s="28">
        <v>0</v>
      </c>
      <c r="BJ74" s="28">
        <v>0</v>
      </c>
      <c r="BK74" s="53">
        <v>0</v>
      </c>
      <c r="BL74" s="27">
        <v>0</v>
      </c>
      <c r="BM74" s="43">
        <f t="shared" ref="BM74:BO76" si="440">BL74</f>
        <v>0</v>
      </c>
      <c r="BN74" s="43">
        <f t="shared" si="440"/>
        <v>0</v>
      </c>
      <c r="BO74" s="389">
        <f t="shared" si="440"/>
        <v>0</v>
      </c>
      <c r="BP74" s="832">
        <f t="shared" ref="BP74:BS76" si="441">BO74</f>
        <v>0</v>
      </c>
      <c r="BQ74" s="43">
        <f t="shared" si="441"/>
        <v>0</v>
      </c>
      <c r="BR74" s="43">
        <f t="shared" si="441"/>
        <v>0</v>
      </c>
      <c r="BS74" s="389">
        <f t="shared" si="441"/>
        <v>0</v>
      </c>
      <c r="BT74" s="832">
        <f t="shared" ref="BT74:BT76" si="442">BS74</f>
        <v>0</v>
      </c>
      <c r="BU74" s="43">
        <f t="shared" ref="BU74:BU76" si="443">BT74</f>
        <v>0</v>
      </c>
      <c r="BV74" s="43">
        <f t="shared" ref="BV74:BV76" si="444">BU74</f>
        <v>0</v>
      </c>
      <c r="BW74" s="389">
        <f t="shared" ref="BW74:BW76" si="445">BV74</f>
        <v>0</v>
      </c>
      <c r="BX74" s="108"/>
      <c r="BY74" s="937">
        <f>SUM(D74:G74)</f>
        <v>-21.402999999999999</v>
      </c>
      <c r="BZ74" s="935">
        <f>SUM(H74:K74)</f>
        <v>-17.946999999999999</v>
      </c>
      <c r="CA74" s="935">
        <f>SUM(L74:O74)</f>
        <v>-14.597</v>
      </c>
      <c r="CB74" s="935">
        <f>SUM(P74:S74)</f>
        <v>-14.797000000000001</v>
      </c>
      <c r="CC74" s="935">
        <f>SUM(T74:W74)</f>
        <v>-12.026</v>
      </c>
      <c r="CD74" s="935">
        <f>SUM(X74:AA74)</f>
        <v>-7.33</v>
      </c>
      <c r="CE74" s="935">
        <f>SUM(AB74:AE74)</f>
        <v>-8.2889999999999997</v>
      </c>
      <c r="CF74" s="935">
        <f>SUM(AF74:AI74)</f>
        <v>-4.2460000000000004</v>
      </c>
      <c r="CG74" s="935">
        <f>SUM(AJ74:AM74)</f>
        <v>-1.9359999999999999</v>
      </c>
      <c r="CH74" s="935">
        <f>SUM(AN74:AQ74)</f>
        <v>-0.66700000000000004</v>
      </c>
      <c r="CI74" s="936">
        <f>SUM(AR74:AU74)</f>
        <v>0.189</v>
      </c>
      <c r="CJ74" s="30">
        <f>SUM(AV74:AY74)</f>
        <v>0</v>
      </c>
      <c r="CK74" s="31">
        <f>SUM(AZ74:BC74)</f>
        <v>0</v>
      </c>
      <c r="CL74" s="31">
        <f>SUM(BD74:BG74)</f>
        <v>0</v>
      </c>
      <c r="CM74" s="31">
        <f>SUM(BH74:BK74)</f>
        <v>0</v>
      </c>
      <c r="CN74" s="31">
        <f>SUM(BL74:BO74)</f>
        <v>0</v>
      </c>
      <c r="CO74" s="31">
        <f>SUM(BP74:BS74)</f>
        <v>0</v>
      </c>
      <c r="CP74" s="32">
        <f>SUM(BT74:BW74)</f>
        <v>0</v>
      </c>
      <c r="CQ74" s="106"/>
      <c r="CR74" s="193">
        <f>SUM(M74:P74)</f>
        <v>-14.875999999999999</v>
      </c>
      <c r="CS74" s="75">
        <f>SUM(Q74:T74)</f>
        <v>-14.234000000000002</v>
      </c>
      <c r="CT74" s="75">
        <f>SUM(U74:X74)</f>
        <v>-10.985000000000001</v>
      </c>
      <c r="CU74" s="75">
        <f>SUM(Y74:AB74)</f>
        <v>-7.5779999999999994</v>
      </c>
      <c r="CV74" s="75">
        <f>SUM(AC74:AF74)</f>
        <v>-7.4019999999999984</v>
      </c>
      <c r="CW74" s="75">
        <f>SUM(AG74:AJ74)</f>
        <v>-3.2140000000000004</v>
      </c>
      <c r="CX74" s="75">
        <f>SUM(AK74:AN74)</f>
        <v>-1.88</v>
      </c>
      <c r="CY74" s="75">
        <f>SUM(AO74:AR74)</f>
        <v>-0.19700000000000001</v>
      </c>
      <c r="CZ74" s="75">
        <f>SUM(AS74:AV74)</f>
        <v>0.2</v>
      </c>
      <c r="DA74" s="193">
        <f>SUM(AW74:AZ74)</f>
        <v>0</v>
      </c>
      <c r="DB74" s="75">
        <f>SUM(BA74:BD74)</f>
        <v>0</v>
      </c>
      <c r="DC74" s="75">
        <f>SUM(BE74:BH74)</f>
        <v>0</v>
      </c>
      <c r="DD74" s="75">
        <f>SUM(BI74:BL74)</f>
        <v>0</v>
      </c>
      <c r="DE74" s="75">
        <f>SUM(BM74:BP74)</f>
        <v>0</v>
      </c>
      <c r="DF74" s="76">
        <f>SUM(BQ74:BT74)</f>
        <v>0</v>
      </c>
      <c r="DK74"/>
      <c r="DL74"/>
      <c r="DM74"/>
      <c r="DN74"/>
      <c r="DO74"/>
      <c r="DP74"/>
    </row>
    <row r="75" spans="1:122" s="7" customFormat="1" ht="14.25" hidden="1" outlineLevel="1">
      <c r="A75" s="505"/>
      <c r="B75" s="25" t="s">
        <v>116</v>
      </c>
      <c r="C75" s="24"/>
      <c r="D75" s="28">
        <v>0</v>
      </c>
      <c r="E75" s="28">
        <v>0</v>
      </c>
      <c r="F75" s="28">
        <v>0</v>
      </c>
      <c r="G75" s="54">
        <f>0-F75-E75-D75</f>
        <v>0</v>
      </c>
      <c r="H75" s="28">
        <v>0</v>
      </c>
      <c r="I75" s="28">
        <v>0</v>
      </c>
      <c r="J75" s="28">
        <v>0</v>
      </c>
      <c r="K75" s="54">
        <f>0-J75-I75-H75</f>
        <v>0</v>
      </c>
      <c r="L75" s="28">
        <v>0</v>
      </c>
      <c r="M75" s="28">
        <v>0</v>
      </c>
      <c r="N75" s="28">
        <v>0</v>
      </c>
      <c r="O75" s="54">
        <f>0-N75-M75-L75</f>
        <v>0</v>
      </c>
      <c r="P75" s="28">
        <v>0</v>
      </c>
      <c r="Q75" s="28">
        <v>0</v>
      </c>
      <c r="R75" s="28">
        <v>0</v>
      </c>
      <c r="S75" s="54">
        <f>0-R75-Q75-P75</f>
        <v>0</v>
      </c>
      <c r="T75" s="28">
        <v>0</v>
      </c>
      <c r="U75" s="28">
        <v>0</v>
      </c>
      <c r="V75" s="28"/>
      <c r="W75" s="54">
        <f>-0.564-V75-U75-T75</f>
        <v>-0.56399999999999995</v>
      </c>
      <c r="X75" s="28">
        <v>0</v>
      </c>
      <c r="Y75" s="28">
        <v>0</v>
      </c>
      <c r="Z75" s="28">
        <v>0</v>
      </c>
      <c r="AA75" s="41">
        <f>-6.836-Z75-Y75-X75</f>
        <v>-6.8360000000000003</v>
      </c>
      <c r="AB75" s="27">
        <v>4.9130000000000003</v>
      </c>
      <c r="AC75" s="28">
        <v>0</v>
      </c>
      <c r="AD75" s="28">
        <v>0</v>
      </c>
      <c r="AE75" s="41">
        <f>4.59-AD75-AC75-AB75</f>
        <v>-0.3230000000000004</v>
      </c>
      <c r="AF75" s="27">
        <v>-5.0999999999999997E-2</v>
      </c>
      <c r="AG75" s="28">
        <v>-7.2999999999999995E-2</v>
      </c>
      <c r="AH75" s="28">
        <v>4.4999999999999998E-2</v>
      </c>
      <c r="AI75" s="41">
        <f>-0.079-AH75-AG75-AF75</f>
        <v>0</v>
      </c>
      <c r="AJ75" s="27">
        <v>0</v>
      </c>
      <c r="AK75" s="28">
        <v>0</v>
      </c>
      <c r="AL75" s="28">
        <v>0</v>
      </c>
      <c r="AM75" s="54">
        <v>0</v>
      </c>
      <c r="AN75" s="27">
        <v>0</v>
      </c>
      <c r="AO75" s="28">
        <v>0</v>
      </c>
      <c r="AP75" s="28">
        <v>0</v>
      </c>
      <c r="AQ75" s="54">
        <v>0</v>
      </c>
      <c r="AR75" s="27">
        <v>0</v>
      </c>
      <c r="AS75" s="28">
        <v>0</v>
      </c>
      <c r="AT75" s="28">
        <v>0</v>
      </c>
      <c r="AU75" s="54">
        <v>0</v>
      </c>
      <c r="AV75" s="27">
        <v>0</v>
      </c>
      <c r="AW75" s="28">
        <v>0</v>
      </c>
      <c r="AX75" s="28">
        <v>0</v>
      </c>
      <c r="AY75" s="54">
        <v>0</v>
      </c>
      <c r="AZ75" s="27">
        <v>0</v>
      </c>
      <c r="BA75" s="28">
        <v>0</v>
      </c>
      <c r="BB75" s="28">
        <v>0</v>
      </c>
      <c r="BC75" s="54">
        <v>0</v>
      </c>
      <c r="BD75" s="27">
        <v>0</v>
      </c>
      <c r="BE75" s="28">
        <v>0</v>
      </c>
      <c r="BF75" s="28">
        <v>0</v>
      </c>
      <c r="BG75" s="54">
        <v>0</v>
      </c>
      <c r="BH75" s="27">
        <v>0</v>
      </c>
      <c r="BI75" s="28">
        <v>0</v>
      </c>
      <c r="BJ75" s="28">
        <v>0</v>
      </c>
      <c r="BK75" s="54">
        <v>0</v>
      </c>
      <c r="BL75" s="27">
        <v>0</v>
      </c>
      <c r="BM75" s="29">
        <f t="shared" si="440"/>
        <v>0</v>
      </c>
      <c r="BN75" s="29">
        <f t="shared" si="440"/>
        <v>0</v>
      </c>
      <c r="BO75" s="388">
        <f t="shared" si="440"/>
        <v>0</v>
      </c>
      <c r="BP75" s="833">
        <f t="shared" si="441"/>
        <v>0</v>
      </c>
      <c r="BQ75" s="29">
        <f t="shared" si="441"/>
        <v>0</v>
      </c>
      <c r="BR75" s="29">
        <f t="shared" si="441"/>
        <v>0</v>
      </c>
      <c r="BS75" s="388">
        <f t="shared" si="441"/>
        <v>0</v>
      </c>
      <c r="BT75" s="833">
        <f t="shared" si="442"/>
        <v>0</v>
      </c>
      <c r="BU75" s="29">
        <f t="shared" si="443"/>
        <v>0</v>
      </c>
      <c r="BV75" s="29">
        <f t="shared" si="444"/>
        <v>0</v>
      </c>
      <c r="BW75" s="388">
        <f t="shared" si="445"/>
        <v>0</v>
      </c>
      <c r="BX75" s="108"/>
      <c r="BY75" s="30">
        <f>SUM(D75:G75)</f>
        <v>0</v>
      </c>
      <c r="BZ75" s="31">
        <f>SUM(H75:K75)</f>
        <v>0</v>
      </c>
      <c r="CA75" s="31">
        <f>SUM(L75:O75)</f>
        <v>0</v>
      </c>
      <c r="CB75" s="31">
        <f>SUM(P75:S75)</f>
        <v>0</v>
      </c>
      <c r="CC75" s="935">
        <f>SUM(T75:W75)</f>
        <v>-0.56399999999999995</v>
      </c>
      <c r="CD75" s="935">
        <f>SUM(X75:AA75)</f>
        <v>-6.8360000000000003</v>
      </c>
      <c r="CE75" s="935">
        <f>SUM(AB75:AE75)</f>
        <v>4.59</v>
      </c>
      <c r="CF75" s="935">
        <f>SUM(AF75:AI75)</f>
        <v>-7.9000000000000001E-2</v>
      </c>
      <c r="CG75" s="31">
        <f>SUM(AJ75:AM75)</f>
        <v>0</v>
      </c>
      <c r="CH75" s="31">
        <f>SUM(AN75:AQ75)</f>
        <v>0</v>
      </c>
      <c r="CI75" s="32">
        <f>SUM(AR75:AU75)</f>
        <v>0</v>
      </c>
      <c r="CJ75" s="30">
        <f>SUM(AV75:AY75)</f>
        <v>0</v>
      </c>
      <c r="CK75" s="31">
        <f>SUM(AZ75:BC75)</f>
        <v>0</v>
      </c>
      <c r="CL75" s="31">
        <f>SUM(BD75:BG75)</f>
        <v>0</v>
      </c>
      <c r="CM75" s="31">
        <f>SUM(BH75:BK75)</f>
        <v>0</v>
      </c>
      <c r="CN75" s="31">
        <f>SUM(BL75:BO75)</f>
        <v>0</v>
      </c>
      <c r="CO75" s="31">
        <f>SUM(BP75:BS75)</f>
        <v>0</v>
      </c>
      <c r="CP75" s="32">
        <f>SUM(BT75:BW75)</f>
        <v>0</v>
      </c>
      <c r="CQ75" s="106"/>
      <c r="CR75" s="193">
        <f>SUM(M75:P75)</f>
        <v>0</v>
      </c>
      <c r="CS75" s="75">
        <f>SUM(Q75:T75)</f>
        <v>0</v>
      </c>
      <c r="CT75" s="75">
        <f>SUM(U75:X75)</f>
        <v>-0.56399999999999995</v>
      </c>
      <c r="CU75" s="75">
        <f>SUM(Y75:AB75)</f>
        <v>-1.923</v>
      </c>
      <c r="CV75" s="75">
        <f>SUM(AC75:AF75)</f>
        <v>-0.37400000000000039</v>
      </c>
      <c r="CW75" s="75">
        <f>SUM(AG75:AJ75)</f>
        <v>-2.7999999999999997E-2</v>
      </c>
      <c r="CX75" s="75">
        <f>SUM(AK75:AN75)</f>
        <v>0</v>
      </c>
      <c r="CY75" s="75">
        <f>SUM(AO75:AR75)</f>
        <v>0</v>
      </c>
      <c r="CZ75" s="75">
        <f>SUM(AS75:AV75)</f>
        <v>0</v>
      </c>
      <c r="DA75" s="193">
        <f>SUM(AW75:AZ75)</f>
        <v>0</v>
      </c>
      <c r="DB75" s="75">
        <f>SUM(BA75:BD75)</f>
        <v>0</v>
      </c>
      <c r="DC75" s="75">
        <f>SUM(BE75:BH75)</f>
        <v>0</v>
      </c>
      <c r="DD75" s="75">
        <f>SUM(BI75:BL75)</f>
        <v>0</v>
      </c>
      <c r="DE75" s="75">
        <f>SUM(BM75:BP75)</f>
        <v>0</v>
      </c>
      <c r="DF75" s="76">
        <f>SUM(BQ75:BT75)</f>
        <v>0</v>
      </c>
      <c r="DK75"/>
      <c r="DL75"/>
      <c r="DM75"/>
      <c r="DN75"/>
      <c r="DO75"/>
      <c r="DP75"/>
    </row>
    <row r="76" spans="1:122" s="7" customFormat="1" ht="14.25" hidden="1" outlineLevel="1">
      <c r="A76" s="505"/>
      <c r="B76" s="25" t="s">
        <v>35</v>
      </c>
      <c r="C76" s="24"/>
      <c r="D76" s="28">
        <v>0.82299999999999995</v>
      </c>
      <c r="E76" s="28">
        <v>0.626</v>
      </c>
      <c r="F76" s="28">
        <v>0.28199999999999997</v>
      </c>
      <c r="G76" s="54">
        <f>1.317-F76-E76-D76</f>
        <v>-0.41400000000000003</v>
      </c>
      <c r="H76" s="28">
        <v>0.45300000000000001</v>
      </c>
      <c r="I76" s="28">
        <v>0.30299999999999999</v>
      </c>
      <c r="J76" s="28">
        <v>0.39600000000000002</v>
      </c>
      <c r="K76" s="54">
        <f>1.691-J76-I76-H76</f>
        <v>0.53899999999999992</v>
      </c>
      <c r="L76" s="28">
        <v>1.121</v>
      </c>
      <c r="M76" s="28">
        <v>1.0669999999999999</v>
      </c>
      <c r="N76" s="28">
        <v>1.536</v>
      </c>
      <c r="O76" s="54">
        <f>5.453-N76-M76-L76</f>
        <v>1.7290000000000005</v>
      </c>
      <c r="P76" s="28">
        <v>2.319</v>
      </c>
      <c r="Q76" s="28">
        <v>2.4300000000000002</v>
      </c>
      <c r="R76" s="28">
        <v>1.8220000000000001</v>
      </c>
      <c r="S76" s="54">
        <f>8.35-R76-Q76-P76</f>
        <v>1.778999999999999</v>
      </c>
      <c r="T76" s="28">
        <v>2.1549999999999998</v>
      </c>
      <c r="U76" s="28">
        <v>2.903</v>
      </c>
      <c r="V76" s="28">
        <v>2.766</v>
      </c>
      <c r="W76" s="54">
        <f>10.874-V76-U76-T76</f>
        <v>3.0500000000000003</v>
      </c>
      <c r="X76" s="28">
        <v>2.0499999999999998</v>
      </c>
      <c r="Y76" s="28">
        <v>1.883</v>
      </c>
      <c r="Z76" s="28">
        <v>1.0640000000000001</v>
      </c>
      <c r="AA76" s="41">
        <f>5.983-Z76-Y76-X76</f>
        <v>0.98599999999999977</v>
      </c>
      <c r="AB76" s="27">
        <v>1.4019999999999999</v>
      </c>
      <c r="AC76" s="28">
        <v>-1.2999999999999999E-2</v>
      </c>
      <c r="AD76" s="28">
        <v>-3.2000000000000001E-2</v>
      </c>
      <c r="AE76" s="41">
        <f>1.753-AD76-AC76-AB76</f>
        <v>0.39599999999999991</v>
      </c>
      <c r="AF76" s="27">
        <v>-0.111</v>
      </c>
      <c r="AG76" s="28">
        <v>-0.20799999999999999</v>
      </c>
      <c r="AH76" s="28">
        <v>1.9E-2</v>
      </c>
      <c r="AI76" s="438">
        <f>-0.345-AH76-AG76-AF76</f>
        <v>-4.4999999999999998E-2</v>
      </c>
      <c r="AJ76" s="27">
        <v>-6.9000000000000006E-2</v>
      </c>
      <c r="AK76" s="28">
        <v>-0.114</v>
      </c>
      <c r="AL76" s="28">
        <v>-2E-3</v>
      </c>
      <c r="AM76" s="53">
        <v>0.68300000000000005</v>
      </c>
      <c r="AN76" s="27">
        <f>0.076+0.099</f>
        <v>0.17499999999999999</v>
      </c>
      <c r="AO76" s="28">
        <f>0.063-0.31</f>
        <v>-0.247</v>
      </c>
      <c r="AP76" s="28">
        <v>9.6000000000000002E-2</v>
      </c>
      <c r="AQ76" s="53">
        <v>-1.4999999999999999E-2</v>
      </c>
      <c r="AR76" s="27">
        <v>0.27</v>
      </c>
      <c r="AS76" s="28">
        <v>-1.4</v>
      </c>
      <c r="AT76" s="28">
        <v>0</v>
      </c>
      <c r="AU76" s="53">
        <v>0.3</v>
      </c>
      <c r="AV76" s="27">
        <v>0</v>
      </c>
      <c r="AW76" s="28">
        <v>-0.1</v>
      </c>
      <c r="AX76" s="28">
        <v>0</v>
      </c>
      <c r="AY76" s="53">
        <v>0.1</v>
      </c>
      <c r="AZ76" s="27">
        <v>0.7</v>
      </c>
      <c r="BA76" s="28">
        <v>0.6</v>
      </c>
      <c r="BB76" s="28">
        <v>0.6</v>
      </c>
      <c r="BC76" s="53">
        <v>-1.4</v>
      </c>
      <c r="BD76" s="27">
        <f>-0.8+88.5</f>
        <v>87.7</v>
      </c>
      <c r="BE76" s="28">
        <v>-2.6</v>
      </c>
      <c r="BF76" s="28">
        <v>-2.4</v>
      </c>
      <c r="BG76" s="53">
        <v>-0.8</v>
      </c>
      <c r="BH76" s="27">
        <f>-0.8</f>
        <v>-0.8</v>
      </c>
      <c r="BI76" s="28">
        <v>0.2</v>
      </c>
      <c r="BJ76" s="28">
        <v>2</v>
      </c>
      <c r="BK76" s="53">
        <v>1.8</v>
      </c>
      <c r="BL76" s="27">
        <v>2.1</v>
      </c>
      <c r="BM76" s="43">
        <v>2</v>
      </c>
      <c r="BN76" s="43">
        <f t="shared" si="440"/>
        <v>2</v>
      </c>
      <c r="BO76" s="389">
        <f t="shared" si="440"/>
        <v>2</v>
      </c>
      <c r="BP76" s="832">
        <f t="shared" si="441"/>
        <v>2</v>
      </c>
      <c r="BQ76" s="43">
        <f t="shared" si="441"/>
        <v>2</v>
      </c>
      <c r="BR76" s="43">
        <f t="shared" si="441"/>
        <v>2</v>
      </c>
      <c r="BS76" s="389">
        <f t="shared" si="441"/>
        <v>2</v>
      </c>
      <c r="BT76" s="832">
        <f t="shared" si="442"/>
        <v>2</v>
      </c>
      <c r="BU76" s="941">
        <f t="shared" si="443"/>
        <v>2</v>
      </c>
      <c r="BV76" s="941">
        <f t="shared" si="444"/>
        <v>2</v>
      </c>
      <c r="BW76" s="942">
        <f t="shared" si="445"/>
        <v>2</v>
      </c>
      <c r="BX76" s="108"/>
      <c r="BY76" s="937">
        <f>SUM(D76:G76)</f>
        <v>1.3169999999999997</v>
      </c>
      <c r="BZ76" s="935">
        <f>SUM(H76:K76)</f>
        <v>1.6910000000000001</v>
      </c>
      <c r="CA76" s="935">
        <f>SUM(L76:O76)</f>
        <v>5.4530000000000003</v>
      </c>
      <c r="CB76" s="935">
        <f>SUM(P76:S76)</f>
        <v>8.35</v>
      </c>
      <c r="CC76" s="935">
        <f>SUM(T76:W76)</f>
        <v>10.874000000000001</v>
      </c>
      <c r="CD76" s="935">
        <f>SUM(X76:AA76)</f>
        <v>5.9829999999999997</v>
      </c>
      <c r="CE76" s="935">
        <f>SUM(AB76:AE76)</f>
        <v>1.7529999999999999</v>
      </c>
      <c r="CF76" s="935">
        <f>SUM(AF76:AI76)</f>
        <v>-0.34499999999999997</v>
      </c>
      <c r="CG76" s="935">
        <f>SUM(AJ76:AM76)</f>
        <v>0.49800000000000005</v>
      </c>
      <c r="CH76" s="935">
        <f>SUM(AN76:AQ76)</f>
        <v>8.9999999999999941E-3</v>
      </c>
      <c r="CI76" s="936">
        <f>SUM(AR76:AU76)</f>
        <v>-0.82999999999999985</v>
      </c>
      <c r="CJ76" s="30">
        <f>SUM(AV76:AY76)</f>
        <v>0</v>
      </c>
      <c r="CK76" s="935">
        <f>SUM(AZ76:BC76)</f>
        <v>0.5</v>
      </c>
      <c r="CL76" s="935">
        <f>SUM(BD76:BG76)</f>
        <v>81.900000000000006</v>
      </c>
      <c r="CM76" s="935">
        <f>SUM(BH76:BK76)</f>
        <v>3.2</v>
      </c>
      <c r="CN76" s="935">
        <f>SUM(BL76:BO76)</f>
        <v>8.1</v>
      </c>
      <c r="CO76" s="935">
        <f>SUM(BP76:BS76)</f>
        <v>8</v>
      </c>
      <c r="CP76" s="936">
        <f>SUM(BT76:BW76)</f>
        <v>8</v>
      </c>
      <c r="CQ76" s="106"/>
      <c r="CR76" s="193">
        <f>SUM(M76:P76)</f>
        <v>6.6510000000000007</v>
      </c>
      <c r="CS76" s="75">
        <f>SUM(Q76:T76)</f>
        <v>8.1859999999999999</v>
      </c>
      <c r="CT76" s="75">
        <f>SUM(U76:X76)</f>
        <v>10.769000000000002</v>
      </c>
      <c r="CU76" s="75">
        <f>SUM(Y76:AB76)</f>
        <v>5.335</v>
      </c>
      <c r="CV76" s="75">
        <f>SUM(AC76:AF76)</f>
        <v>0.23999999999999994</v>
      </c>
      <c r="CW76" s="75">
        <f>SUM(AG76:AJ76)</f>
        <v>-0.30299999999999999</v>
      </c>
      <c r="CX76" s="75">
        <f>SUM(AK76:AN76)</f>
        <v>0.74199999999999999</v>
      </c>
      <c r="CY76" s="75">
        <f>SUM(AO76:AR76)</f>
        <v>0.10400000000000004</v>
      </c>
      <c r="CZ76" s="75">
        <f>SUM(AS76:AV76)</f>
        <v>-1.0999999999999999</v>
      </c>
      <c r="DA76" s="193">
        <f>SUM(AW76:AZ76)</f>
        <v>0.7</v>
      </c>
      <c r="DB76" s="75">
        <f>SUM(BA76:BD76)</f>
        <v>87.5</v>
      </c>
      <c r="DC76" s="75">
        <f>SUM(BE76:BH76)</f>
        <v>-6.6</v>
      </c>
      <c r="DD76" s="75">
        <f>SUM(BI76:BL76)</f>
        <v>6.1</v>
      </c>
      <c r="DE76" s="75">
        <f>SUM(BM76:BP76)</f>
        <v>8</v>
      </c>
      <c r="DF76" s="76">
        <f>SUM(BQ76:BT76)</f>
        <v>8</v>
      </c>
      <c r="DK76"/>
      <c r="DL76"/>
      <c r="DM76"/>
      <c r="DN76"/>
      <c r="DO76"/>
      <c r="DP76"/>
    </row>
    <row r="77" spans="1:122" s="7" customFormat="1" ht="14.25" hidden="1" outlineLevel="1">
      <c r="A77" s="505"/>
      <c r="B77" s="14" t="s">
        <v>247</v>
      </c>
      <c r="C77" s="24"/>
      <c r="D77" s="30">
        <f t="shared" ref="D77:S77" si="446">D73+D78</f>
        <v>-4.9109999999999996</v>
      </c>
      <c r="E77" s="31">
        <f t="shared" si="446"/>
        <v>-4.4209999999999994</v>
      </c>
      <c r="F77" s="31">
        <f t="shared" si="446"/>
        <v>-4.7869999999999999</v>
      </c>
      <c r="G77" s="32">
        <f t="shared" si="446"/>
        <v>-5.9669999999999987</v>
      </c>
      <c r="H77" s="31">
        <f t="shared" si="446"/>
        <v>-4.9209999999999994</v>
      </c>
      <c r="I77" s="31">
        <f t="shared" si="446"/>
        <v>-5.0999999999999996</v>
      </c>
      <c r="J77" s="31">
        <f t="shared" si="446"/>
        <v>-3.214</v>
      </c>
      <c r="K77" s="32">
        <f t="shared" si="446"/>
        <v>-3.0210000000000017</v>
      </c>
      <c r="L77" s="31">
        <f t="shared" si="446"/>
        <v>-2.4119999999999999</v>
      </c>
      <c r="M77" s="31">
        <f t="shared" si="446"/>
        <v>-2.5679999999999996</v>
      </c>
      <c r="N77" s="31">
        <f t="shared" si="446"/>
        <v>-2.1469999999999998</v>
      </c>
      <c r="O77" s="32">
        <f t="shared" si="446"/>
        <v>-2.0169999999999995</v>
      </c>
      <c r="P77" s="31">
        <f t="shared" si="446"/>
        <v>-1.4929999999999999</v>
      </c>
      <c r="Q77" s="31">
        <f t="shared" si="446"/>
        <v>-1.4439999999999995</v>
      </c>
      <c r="R77" s="31">
        <f t="shared" si="446"/>
        <v>-1.4089999999999998</v>
      </c>
      <c r="S77" s="32">
        <f t="shared" si="446"/>
        <v>-1.5290000000000021</v>
      </c>
      <c r="T77" s="31">
        <f t="shared" ref="T77:AJ77" si="447">T73+T78</f>
        <v>-1.0940000000000003</v>
      </c>
      <c r="U77" s="31">
        <f t="shared" si="447"/>
        <v>-0.64699999999999991</v>
      </c>
      <c r="V77" s="31">
        <f t="shared" si="447"/>
        <v>0.20100000000000007</v>
      </c>
      <c r="W77" s="32">
        <f t="shared" si="447"/>
        <v>0.3879999999999999</v>
      </c>
      <c r="X77" s="31">
        <f t="shared" si="447"/>
        <v>-0.15800000000000036</v>
      </c>
      <c r="Y77" s="31">
        <f t="shared" si="447"/>
        <v>0.1140000000000001</v>
      </c>
      <c r="Z77" s="31">
        <f t="shared" si="447"/>
        <v>-0.59399999999999986</v>
      </c>
      <c r="AA77" s="31">
        <f t="shared" si="447"/>
        <v>-0.70900000000000052</v>
      </c>
      <c r="AB77" s="30">
        <f t="shared" si="447"/>
        <v>0.2629999999999999</v>
      </c>
      <c r="AC77" s="31">
        <f t="shared" si="447"/>
        <v>-0.82099999999999995</v>
      </c>
      <c r="AD77" s="31">
        <f t="shared" si="447"/>
        <v>-0.92200000000000015</v>
      </c>
      <c r="AE77" s="31">
        <f t="shared" si="447"/>
        <v>-0.41099999999999959</v>
      </c>
      <c r="AF77" s="30">
        <f t="shared" si="447"/>
        <v>-0.69099999999999984</v>
      </c>
      <c r="AG77" s="31">
        <f t="shared" si="447"/>
        <v>-0.67800000000000005</v>
      </c>
      <c r="AH77" s="31">
        <f t="shared" si="447"/>
        <v>-0.36999999999999994</v>
      </c>
      <c r="AI77" s="31">
        <f t="shared" si="447"/>
        <v>-0.3500000000000007</v>
      </c>
      <c r="AJ77" s="30">
        <f t="shared" si="447"/>
        <v>-0.27800000000000008</v>
      </c>
      <c r="AK77" s="31">
        <f t="shared" ref="AK77:AP77" si="448">AK73+AK78</f>
        <v>-0.19200000000000006</v>
      </c>
      <c r="AL77" s="31">
        <f t="shared" si="448"/>
        <v>-0.128</v>
      </c>
      <c r="AM77" s="32">
        <f t="shared" si="448"/>
        <v>0.55500000000000005</v>
      </c>
      <c r="AN77" s="30">
        <f t="shared" si="448"/>
        <v>-3.1000000000000028E-2</v>
      </c>
      <c r="AO77" s="31">
        <f t="shared" si="448"/>
        <v>-0.33999999999999997</v>
      </c>
      <c r="AP77" s="31">
        <f t="shared" si="448"/>
        <v>8.6000000000000007E-2</v>
      </c>
      <c r="AQ77" s="32">
        <f t="shared" ref="AQ77:AW77" si="449">AQ73+AQ78</f>
        <v>-8.4000000000000005E-2</v>
      </c>
      <c r="AR77" s="30">
        <f t="shared" si="449"/>
        <v>0.25900000000000001</v>
      </c>
      <c r="AS77" s="31">
        <f t="shared" si="449"/>
        <v>-1.4</v>
      </c>
      <c r="AT77" s="31">
        <f t="shared" si="449"/>
        <v>0.2</v>
      </c>
      <c r="AU77" s="32">
        <f t="shared" si="449"/>
        <v>0.3</v>
      </c>
      <c r="AV77" s="30">
        <f t="shared" si="449"/>
        <v>0</v>
      </c>
      <c r="AW77" s="31">
        <f t="shared" si="449"/>
        <v>-0.1</v>
      </c>
      <c r="AX77" s="31">
        <f t="shared" ref="AX77:BC77" si="450">AX73+AX78</f>
        <v>0</v>
      </c>
      <c r="AY77" s="32">
        <f t="shared" si="450"/>
        <v>0.30000000000000004</v>
      </c>
      <c r="AZ77" s="30">
        <f t="shared" si="450"/>
        <v>1</v>
      </c>
      <c r="BA77" s="31">
        <f t="shared" si="450"/>
        <v>0.89999999999999991</v>
      </c>
      <c r="BB77" s="31">
        <f t="shared" si="450"/>
        <v>1</v>
      </c>
      <c r="BC77" s="32">
        <f t="shared" si="450"/>
        <v>-1.0999999999999999</v>
      </c>
      <c r="BD77" s="30">
        <f t="shared" ref="BD77:BI77" si="451">BD73+BD78</f>
        <v>-0.5</v>
      </c>
      <c r="BE77" s="31">
        <f t="shared" si="451"/>
        <v>-2.2000000000000002</v>
      </c>
      <c r="BF77" s="31">
        <f t="shared" si="451"/>
        <v>-2.1</v>
      </c>
      <c r="BG77" s="32">
        <f t="shared" si="451"/>
        <v>-0.70000000000000007</v>
      </c>
      <c r="BH77" s="30">
        <f t="shared" si="451"/>
        <v>-0.8</v>
      </c>
      <c r="BI77" s="31">
        <f t="shared" si="451"/>
        <v>0.2</v>
      </c>
      <c r="BJ77" s="31">
        <f t="shared" ref="BJ77:BS77" si="452">BJ73+BJ78</f>
        <v>2</v>
      </c>
      <c r="BK77" s="32">
        <f t="shared" si="452"/>
        <v>1.8</v>
      </c>
      <c r="BL77" s="30">
        <f t="shared" si="452"/>
        <v>2.1</v>
      </c>
      <c r="BM77" s="31">
        <f t="shared" si="452"/>
        <v>2</v>
      </c>
      <c r="BN77" s="31">
        <f t="shared" si="452"/>
        <v>2</v>
      </c>
      <c r="BO77" s="32">
        <f t="shared" si="452"/>
        <v>2</v>
      </c>
      <c r="BP77" s="30">
        <f t="shared" si="452"/>
        <v>2</v>
      </c>
      <c r="BQ77" s="31">
        <f t="shared" si="452"/>
        <v>2</v>
      </c>
      <c r="BR77" s="31">
        <f t="shared" si="452"/>
        <v>2</v>
      </c>
      <c r="BS77" s="32">
        <f t="shared" si="452"/>
        <v>2</v>
      </c>
      <c r="BT77" s="30">
        <f t="shared" ref="BT77:BW77" si="453">BT73+BT78</f>
        <v>2</v>
      </c>
      <c r="BU77" s="935">
        <f t="shared" si="453"/>
        <v>2</v>
      </c>
      <c r="BV77" s="935">
        <f t="shared" si="453"/>
        <v>2</v>
      </c>
      <c r="BW77" s="936">
        <f t="shared" si="453"/>
        <v>2</v>
      </c>
      <c r="BX77" s="108"/>
      <c r="BY77" s="937">
        <f>BY73+BY78</f>
        <v>-20.085999999999999</v>
      </c>
      <c r="BZ77" s="935">
        <f>BZ73+BZ78</f>
        <v>-16.256</v>
      </c>
      <c r="CA77" s="935">
        <f>CA73+CA78</f>
        <v>-9.1439999999999984</v>
      </c>
      <c r="CB77" s="935">
        <f>CB73+CB78</f>
        <v>-5.8750000000000009</v>
      </c>
      <c r="CC77" s="935">
        <f>CC73+CC78</f>
        <v>-1.1519999999999992</v>
      </c>
      <c r="CD77" s="935">
        <f t="shared" ref="CD77:CJ77" si="454">CD73+CD78</f>
        <v>-1.3469999999999995</v>
      </c>
      <c r="CE77" s="935">
        <f t="shared" si="454"/>
        <v>-1.8910000000000002</v>
      </c>
      <c r="CF77" s="935">
        <f t="shared" si="454"/>
        <v>-2.089</v>
      </c>
      <c r="CG77" s="935">
        <f t="shared" si="454"/>
        <v>-4.2999999999999927E-2</v>
      </c>
      <c r="CH77" s="935">
        <f t="shared" si="454"/>
        <v>-0.36900000000000005</v>
      </c>
      <c r="CI77" s="936">
        <f t="shared" si="454"/>
        <v>-0.64099999999999979</v>
      </c>
      <c r="CJ77" s="937">
        <f t="shared" si="454"/>
        <v>0.2</v>
      </c>
      <c r="CK77" s="935">
        <f t="shared" ref="CK77:CP77" si="455">CK73+CK78</f>
        <v>1.8</v>
      </c>
      <c r="CL77" s="935">
        <f t="shared" si="455"/>
        <v>-5.5</v>
      </c>
      <c r="CM77" s="935">
        <f t="shared" si="455"/>
        <v>3.2</v>
      </c>
      <c r="CN77" s="935">
        <f t="shared" si="455"/>
        <v>8.1</v>
      </c>
      <c r="CO77" s="935">
        <f t="shared" si="455"/>
        <v>8</v>
      </c>
      <c r="CP77" s="936">
        <f t="shared" si="455"/>
        <v>8</v>
      </c>
      <c r="CQ77" s="106"/>
      <c r="CR77" s="30">
        <f>CR73+CR78</f>
        <v>-8.2249999999999979</v>
      </c>
      <c r="CS77" s="31">
        <f>CS73+CS78</f>
        <v>-5.4760000000000018</v>
      </c>
      <c r="CT77" s="31">
        <f>CT73+CT78</f>
        <v>-0.21599999999999941</v>
      </c>
      <c r="CU77" s="31">
        <f t="shared" ref="CU77:CZ77" si="456">CU73+CU78</f>
        <v>-0.92599999999999927</v>
      </c>
      <c r="CV77" s="31">
        <f t="shared" si="456"/>
        <v>-2.8449999999999989</v>
      </c>
      <c r="CW77" s="31">
        <f t="shared" si="456"/>
        <v>-1.6760000000000004</v>
      </c>
      <c r="CX77" s="31">
        <f t="shared" si="456"/>
        <v>0.20399999999999996</v>
      </c>
      <c r="CY77" s="31">
        <f t="shared" si="456"/>
        <v>-7.8999999999999973E-2</v>
      </c>
      <c r="CZ77" s="31">
        <f t="shared" si="456"/>
        <v>-0.89999999999999991</v>
      </c>
      <c r="DA77" s="30">
        <f t="shared" ref="DA77:DF77" si="457">DA73+DA78</f>
        <v>1.2</v>
      </c>
      <c r="DB77" s="31">
        <f t="shared" si="457"/>
        <v>0.29999999999999716</v>
      </c>
      <c r="DC77" s="31">
        <f t="shared" si="457"/>
        <v>-5.8</v>
      </c>
      <c r="DD77" s="31">
        <f t="shared" si="457"/>
        <v>6.1</v>
      </c>
      <c r="DE77" s="31">
        <f t="shared" si="457"/>
        <v>8</v>
      </c>
      <c r="DF77" s="32">
        <f t="shared" si="457"/>
        <v>8</v>
      </c>
      <c r="DK77"/>
      <c r="DL77"/>
      <c r="DM77"/>
      <c r="DN77"/>
      <c r="DO77"/>
      <c r="DP77"/>
    </row>
    <row r="78" spans="1:122" s="7" customFormat="1" ht="14.25" hidden="1" outlineLevel="1">
      <c r="A78" s="505"/>
      <c r="B78" s="25" t="s">
        <v>245</v>
      </c>
      <c r="C78" s="26"/>
      <c r="D78" s="27"/>
      <c r="E78" s="28"/>
      <c r="F78" s="28"/>
      <c r="G78" s="53"/>
      <c r="H78" s="28"/>
      <c r="I78" s="28"/>
      <c r="J78" s="28"/>
      <c r="K78" s="53"/>
      <c r="L78" s="28"/>
      <c r="M78" s="28"/>
      <c r="N78" s="28"/>
      <c r="O78" s="53"/>
      <c r="P78" s="28"/>
      <c r="Q78" s="28">
        <v>0.57199999999999995</v>
      </c>
      <c r="R78" s="28"/>
      <c r="S78" s="53"/>
      <c r="T78" s="28"/>
      <c r="U78" s="28">
        <v>0.56399999999999995</v>
      </c>
      <c r="V78" s="28"/>
      <c r="W78" s="53"/>
      <c r="X78" s="28">
        <v>0</v>
      </c>
      <c r="Y78" s="28">
        <v>0</v>
      </c>
      <c r="Z78" s="28">
        <v>0</v>
      </c>
      <c r="AA78" s="28">
        <v>6.8360000000000003</v>
      </c>
      <c r="AB78" s="27">
        <f>1.317+-4.913</f>
        <v>-3.5960000000000001</v>
      </c>
      <c r="AC78" s="28">
        <v>1.089</v>
      </c>
      <c r="AD78" s="28">
        <v>1.109</v>
      </c>
      <c r="AE78" s="28">
        <f>0.323+1.13</f>
        <v>1.4529999999999998</v>
      </c>
      <c r="AF78" s="27">
        <f>0.051+0.989</f>
        <v>1.04</v>
      </c>
      <c r="AG78" s="28">
        <f>0.073+0.713</f>
        <v>0.78599999999999992</v>
      </c>
      <c r="AH78" s="28">
        <f>-0.045+0.478</f>
        <v>0.433</v>
      </c>
      <c r="AI78" s="28">
        <f>0.322</f>
        <v>0.32200000000000001</v>
      </c>
      <c r="AJ78" s="27">
        <v>0.32800000000000001</v>
      </c>
      <c r="AK78" s="28">
        <v>0.38300000000000001</v>
      </c>
      <c r="AL78" s="28">
        <f>0.339</f>
        <v>0.33900000000000002</v>
      </c>
      <c r="AM78" s="53">
        <v>0.34499999999999997</v>
      </c>
      <c r="AN78" s="27">
        <f>-0.076+0.351</f>
        <v>0.27499999999999997</v>
      </c>
      <c r="AO78" s="28">
        <f>-0.063+0.077</f>
        <v>1.3999999999999999E-2</v>
      </c>
      <c r="AP78" s="28">
        <v>0</v>
      </c>
      <c r="AQ78" s="53">
        <v>0</v>
      </c>
      <c r="AR78" s="27">
        <v>0</v>
      </c>
      <c r="AS78" s="28">
        <v>0</v>
      </c>
      <c r="AT78" s="28">
        <v>0</v>
      </c>
      <c r="AU78" s="53">
        <v>0</v>
      </c>
      <c r="AV78" s="27">
        <v>0</v>
      </c>
      <c r="AW78" s="28">
        <v>0</v>
      </c>
      <c r="AX78" s="28">
        <v>0</v>
      </c>
      <c r="AY78" s="53">
        <v>0.2</v>
      </c>
      <c r="AZ78" s="27">
        <v>0.3</v>
      </c>
      <c r="BA78" s="28">
        <v>0.3</v>
      </c>
      <c r="BB78" s="28">
        <v>0.4</v>
      </c>
      <c r="BC78" s="53">
        <v>0.3</v>
      </c>
      <c r="BD78" s="27">
        <f>0.3-88.5</f>
        <v>-88.2</v>
      </c>
      <c r="BE78" s="28">
        <v>0.4</v>
      </c>
      <c r="BF78" s="28">
        <v>0.3</v>
      </c>
      <c r="BG78" s="53">
        <v>0.1</v>
      </c>
      <c r="BH78" s="27">
        <f>0</f>
        <v>0</v>
      </c>
      <c r="BI78" s="28">
        <v>0</v>
      </c>
      <c r="BJ78" s="28">
        <v>0</v>
      </c>
      <c r="BK78" s="53">
        <v>0</v>
      </c>
      <c r="BL78" s="27">
        <f>0</f>
        <v>0</v>
      </c>
      <c r="BM78" s="29">
        <f t="shared" ref="BM78:BS78" si="458">BL78</f>
        <v>0</v>
      </c>
      <c r="BN78" s="29">
        <f t="shared" si="458"/>
        <v>0</v>
      </c>
      <c r="BO78" s="388">
        <f t="shared" si="458"/>
        <v>0</v>
      </c>
      <c r="BP78" s="833">
        <f t="shared" si="458"/>
        <v>0</v>
      </c>
      <c r="BQ78" s="29">
        <f t="shared" si="458"/>
        <v>0</v>
      </c>
      <c r="BR78" s="29">
        <f t="shared" si="458"/>
        <v>0</v>
      </c>
      <c r="BS78" s="388">
        <f t="shared" si="458"/>
        <v>0</v>
      </c>
      <c r="BT78" s="833">
        <f t="shared" ref="BT78" si="459">BS78</f>
        <v>0</v>
      </c>
      <c r="BU78" s="29">
        <f t="shared" ref="BU78" si="460">BT78</f>
        <v>0</v>
      </c>
      <c r="BV78" s="29">
        <f t="shared" ref="BV78" si="461">BU78</f>
        <v>0</v>
      </c>
      <c r="BW78" s="388">
        <f t="shared" ref="BW78" si="462">BV78</f>
        <v>0</v>
      </c>
      <c r="BX78" s="108"/>
      <c r="BY78" s="30">
        <f>SUM(D78:G78)</f>
        <v>0</v>
      </c>
      <c r="BZ78" s="31">
        <f>SUM(H78:K78)</f>
        <v>0</v>
      </c>
      <c r="CA78" s="31">
        <f>SUM(L78:O78)</f>
        <v>0</v>
      </c>
      <c r="CB78" s="935">
        <f>SUM(P78:S78)</f>
        <v>0.57199999999999995</v>
      </c>
      <c r="CC78" s="935">
        <f>SUM(T78:W78)</f>
        <v>0.56399999999999995</v>
      </c>
      <c r="CD78" s="935">
        <f>SUM(X78:AA78)</f>
        <v>6.8360000000000003</v>
      </c>
      <c r="CE78" s="935">
        <f>SUM(AB78:AE78)</f>
        <v>5.4999999999999716E-2</v>
      </c>
      <c r="CF78" s="935">
        <f>SUM(AF78:AI78)</f>
        <v>2.581</v>
      </c>
      <c r="CG78" s="935">
        <f>SUM(AJ78:AM78)</f>
        <v>1.395</v>
      </c>
      <c r="CH78" s="935">
        <f>SUM(AN78:AQ78)</f>
        <v>0.28899999999999998</v>
      </c>
      <c r="CI78" s="32">
        <f>SUM(AR78:AU78)</f>
        <v>0</v>
      </c>
      <c r="CJ78" s="937">
        <f>SUM(AV78:AY78)</f>
        <v>0.2</v>
      </c>
      <c r="CK78" s="935">
        <f>SUM(AZ78:BC78)</f>
        <v>1.3</v>
      </c>
      <c r="CL78" s="935">
        <f>SUM(BD78:BG78)</f>
        <v>-87.4</v>
      </c>
      <c r="CM78" s="31">
        <f>SUM(BH78:BK78)</f>
        <v>0</v>
      </c>
      <c r="CN78" s="31">
        <f>SUM(BL78:BO78)</f>
        <v>0</v>
      </c>
      <c r="CO78" s="31">
        <f>SUM(BP78:BS78)</f>
        <v>0</v>
      </c>
      <c r="CP78" s="32">
        <f>SUM(BT78:BW78)</f>
        <v>0</v>
      </c>
      <c r="CQ78" s="106"/>
      <c r="CR78" s="193">
        <f>SUM(M78:P78)</f>
        <v>0</v>
      </c>
      <c r="CS78" s="75">
        <f>SUM(Q78:T78)</f>
        <v>0.57199999999999995</v>
      </c>
      <c r="CT78" s="75">
        <f>SUM(U78:X78)</f>
        <v>0.56399999999999995</v>
      </c>
      <c r="CU78" s="75">
        <f>SUM(Y78:AB78)</f>
        <v>3.24</v>
      </c>
      <c r="CV78" s="75">
        <f>SUM(AC78:AF78)</f>
        <v>4.6909999999999998</v>
      </c>
      <c r="CW78" s="75">
        <f>SUM(AG78:AJ78)</f>
        <v>1.869</v>
      </c>
      <c r="CX78" s="75">
        <f>SUM(AK78:AN78)</f>
        <v>1.3419999999999999</v>
      </c>
      <c r="CY78" s="75">
        <f>SUM(AO78:AR78)</f>
        <v>1.3999999999999999E-2</v>
      </c>
      <c r="CZ78" s="75">
        <f>SUM(AS78:AV78)</f>
        <v>0</v>
      </c>
      <c r="DA78" s="193">
        <f>SUM(AW78:AZ78)</f>
        <v>0.5</v>
      </c>
      <c r="DB78" s="75">
        <f>SUM(BA78:BD78)</f>
        <v>-87.2</v>
      </c>
      <c r="DC78" s="75">
        <f>SUM(BE78:BH78)</f>
        <v>0.79999999999999993</v>
      </c>
      <c r="DD78" s="75">
        <f>SUM(BI78:BL78)</f>
        <v>0</v>
      </c>
      <c r="DE78" s="75">
        <f>SUM(BM78:BP78)</f>
        <v>0</v>
      </c>
      <c r="DF78" s="76">
        <f>SUM(BQ78:BT78)</f>
        <v>0</v>
      </c>
      <c r="DK78"/>
      <c r="DL78"/>
      <c r="DM78"/>
      <c r="DN78"/>
      <c r="DO78"/>
      <c r="DP78"/>
    </row>
    <row r="79" spans="1:122" s="7" customFormat="1" ht="14.25" hidden="1" outlineLevel="1">
      <c r="A79" s="505"/>
      <c r="B79" s="14" t="s">
        <v>248</v>
      </c>
      <c r="C79" s="26"/>
      <c r="D79" s="30">
        <f t="shared" ref="D79:X79" si="463">D73+D78</f>
        <v>-4.9109999999999996</v>
      </c>
      <c r="E79" s="31">
        <f t="shared" si="463"/>
        <v>-4.4209999999999994</v>
      </c>
      <c r="F79" s="31">
        <f t="shared" si="463"/>
        <v>-4.7869999999999999</v>
      </c>
      <c r="G79" s="32">
        <f t="shared" si="463"/>
        <v>-5.9669999999999987</v>
      </c>
      <c r="H79" s="31">
        <f t="shared" si="463"/>
        <v>-4.9209999999999994</v>
      </c>
      <c r="I79" s="31">
        <f t="shared" si="463"/>
        <v>-5.0999999999999996</v>
      </c>
      <c r="J79" s="31">
        <f t="shared" si="463"/>
        <v>-3.214</v>
      </c>
      <c r="K79" s="32">
        <f t="shared" si="463"/>
        <v>-3.0210000000000017</v>
      </c>
      <c r="L79" s="31">
        <f t="shared" si="463"/>
        <v>-2.4119999999999999</v>
      </c>
      <c r="M79" s="31">
        <f t="shared" si="463"/>
        <v>-2.5679999999999996</v>
      </c>
      <c r="N79" s="31">
        <f t="shared" si="463"/>
        <v>-2.1469999999999998</v>
      </c>
      <c r="O79" s="32">
        <f t="shared" si="463"/>
        <v>-2.0169999999999995</v>
      </c>
      <c r="P79" s="31">
        <f t="shared" si="463"/>
        <v>-1.4929999999999999</v>
      </c>
      <c r="Q79" s="31">
        <f t="shared" si="463"/>
        <v>-1.4439999999999995</v>
      </c>
      <c r="R79" s="31">
        <f t="shared" si="463"/>
        <v>-1.4089999999999998</v>
      </c>
      <c r="S79" s="32">
        <f>S73+S78</f>
        <v>-1.5290000000000021</v>
      </c>
      <c r="T79" s="31">
        <f t="shared" si="463"/>
        <v>-1.0940000000000003</v>
      </c>
      <c r="U79" s="31">
        <f t="shared" si="463"/>
        <v>-0.64699999999999991</v>
      </c>
      <c r="V79" s="31">
        <f t="shared" si="463"/>
        <v>0.20100000000000007</v>
      </c>
      <c r="W79" s="32">
        <f t="shared" si="463"/>
        <v>0.3879999999999999</v>
      </c>
      <c r="X79" s="31">
        <f t="shared" si="463"/>
        <v>-0.15800000000000036</v>
      </c>
      <c r="Y79" s="31">
        <f t="shared" ref="Y79:CZ79" si="464">Y73+Y78</f>
        <v>0.1140000000000001</v>
      </c>
      <c r="Z79" s="31">
        <f t="shared" si="464"/>
        <v>-0.59399999999999986</v>
      </c>
      <c r="AA79" s="31">
        <f t="shared" si="464"/>
        <v>-0.70900000000000052</v>
      </c>
      <c r="AB79" s="30">
        <f t="shared" si="464"/>
        <v>0.2629999999999999</v>
      </c>
      <c r="AC79" s="31">
        <f t="shared" si="464"/>
        <v>-0.82099999999999995</v>
      </c>
      <c r="AD79" s="31">
        <f t="shared" si="464"/>
        <v>-0.92200000000000015</v>
      </c>
      <c r="AE79" s="31">
        <f t="shared" si="464"/>
        <v>-0.41099999999999959</v>
      </c>
      <c r="AF79" s="30">
        <f t="shared" si="464"/>
        <v>-0.69099999999999984</v>
      </c>
      <c r="AG79" s="31">
        <f t="shared" si="464"/>
        <v>-0.67800000000000005</v>
      </c>
      <c r="AH79" s="31">
        <f t="shared" si="464"/>
        <v>-0.36999999999999994</v>
      </c>
      <c r="AI79" s="31">
        <f t="shared" si="464"/>
        <v>-0.3500000000000007</v>
      </c>
      <c r="AJ79" s="30">
        <f t="shared" si="464"/>
        <v>-0.27800000000000008</v>
      </c>
      <c r="AK79" s="31">
        <f t="shared" si="464"/>
        <v>-0.19200000000000006</v>
      </c>
      <c r="AL79" s="31">
        <f t="shared" si="464"/>
        <v>-0.128</v>
      </c>
      <c r="AM79" s="32">
        <f t="shared" si="464"/>
        <v>0.55500000000000005</v>
      </c>
      <c r="AN79" s="30">
        <f t="shared" si="464"/>
        <v>-3.1000000000000028E-2</v>
      </c>
      <c r="AO79" s="31">
        <f t="shared" si="464"/>
        <v>-0.33999999999999997</v>
      </c>
      <c r="AP79" s="31">
        <f t="shared" si="464"/>
        <v>8.6000000000000007E-2</v>
      </c>
      <c r="AQ79" s="32">
        <f t="shared" si="464"/>
        <v>-8.4000000000000005E-2</v>
      </c>
      <c r="AR79" s="30">
        <f t="shared" si="464"/>
        <v>0.25900000000000001</v>
      </c>
      <c r="AS79" s="31">
        <f t="shared" si="464"/>
        <v>-1.4</v>
      </c>
      <c r="AT79" s="31">
        <f t="shared" si="464"/>
        <v>0.2</v>
      </c>
      <c r="AU79" s="32">
        <f t="shared" si="464"/>
        <v>0.3</v>
      </c>
      <c r="AV79" s="30">
        <f t="shared" si="464"/>
        <v>0</v>
      </c>
      <c r="AW79" s="31">
        <f t="shared" si="464"/>
        <v>-0.1</v>
      </c>
      <c r="AX79" s="31">
        <f t="shared" ref="AX79:BC79" si="465">AX73+AX78</f>
        <v>0</v>
      </c>
      <c r="AY79" s="32">
        <f t="shared" si="465"/>
        <v>0.30000000000000004</v>
      </c>
      <c r="AZ79" s="30">
        <f t="shared" si="465"/>
        <v>1</v>
      </c>
      <c r="BA79" s="31">
        <f t="shared" si="465"/>
        <v>0.89999999999999991</v>
      </c>
      <c r="BB79" s="31">
        <f t="shared" si="465"/>
        <v>1</v>
      </c>
      <c r="BC79" s="32">
        <f t="shared" si="465"/>
        <v>-1.0999999999999999</v>
      </c>
      <c r="BD79" s="30">
        <f t="shared" ref="BD79:BI79" si="466">BD73+BD78</f>
        <v>-0.5</v>
      </c>
      <c r="BE79" s="31">
        <f t="shared" si="466"/>
        <v>-2.2000000000000002</v>
      </c>
      <c r="BF79" s="31">
        <f t="shared" si="466"/>
        <v>-2.1</v>
      </c>
      <c r="BG79" s="32">
        <f t="shared" si="466"/>
        <v>-0.70000000000000007</v>
      </c>
      <c r="BH79" s="30">
        <f t="shared" si="466"/>
        <v>-0.8</v>
      </c>
      <c r="BI79" s="31">
        <f t="shared" si="466"/>
        <v>0.2</v>
      </c>
      <c r="BJ79" s="31">
        <f t="shared" ref="BJ79:BS79" si="467">BJ73+BJ78</f>
        <v>2</v>
      </c>
      <c r="BK79" s="32">
        <f t="shared" si="467"/>
        <v>1.8</v>
      </c>
      <c r="BL79" s="30">
        <f t="shared" si="467"/>
        <v>2.1</v>
      </c>
      <c r="BM79" s="31">
        <f t="shared" si="467"/>
        <v>2</v>
      </c>
      <c r="BN79" s="31">
        <f t="shared" si="467"/>
        <v>2</v>
      </c>
      <c r="BO79" s="32">
        <f t="shared" si="467"/>
        <v>2</v>
      </c>
      <c r="BP79" s="30">
        <f t="shared" si="467"/>
        <v>2</v>
      </c>
      <c r="BQ79" s="31">
        <f t="shared" si="467"/>
        <v>2</v>
      </c>
      <c r="BR79" s="31">
        <f t="shared" si="467"/>
        <v>2</v>
      </c>
      <c r="BS79" s="32">
        <f t="shared" si="467"/>
        <v>2</v>
      </c>
      <c r="BT79" s="30">
        <f t="shared" ref="BT79:BW79" si="468">BT73+BT78</f>
        <v>2</v>
      </c>
      <c r="BU79" s="935">
        <f t="shared" si="468"/>
        <v>2</v>
      </c>
      <c r="BV79" s="935">
        <f t="shared" si="468"/>
        <v>2</v>
      </c>
      <c r="BW79" s="936">
        <f t="shared" si="468"/>
        <v>2</v>
      </c>
      <c r="BX79" s="108"/>
      <c r="BY79" s="937">
        <f>BY73+BY78</f>
        <v>-20.085999999999999</v>
      </c>
      <c r="BZ79" s="935">
        <f>BZ73+BZ78</f>
        <v>-16.256</v>
      </c>
      <c r="CA79" s="935">
        <f>CA73+CA78</f>
        <v>-9.1439999999999984</v>
      </c>
      <c r="CB79" s="935">
        <f>CB73+CB78</f>
        <v>-5.8750000000000009</v>
      </c>
      <c r="CC79" s="935">
        <f>CC73+CC78</f>
        <v>-1.1519999999999992</v>
      </c>
      <c r="CD79" s="935">
        <f t="shared" si="464"/>
        <v>-1.3469999999999995</v>
      </c>
      <c r="CE79" s="935">
        <f t="shared" si="464"/>
        <v>-1.8910000000000002</v>
      </c>
      <c r="CF79" s="935">
        <f t="shared" si="464"/>
        <v>-2.089</v>
      </c>
      <c r="CG79" s="935">
        <f t="shared" si="464"/>
        <v>-4.2999999999999927E-2</v>
      </c>
      <c r="CH79" s="935">
        <f t="shared" si="464"/>
        <v>-0.36900000000000005</v>
      </c>
      <c r="CI79" s="936">
        <f t="shared" si="464"/>
        <v>-0.64099999999999979</v>
      </c>
      <c r="CJ79" s="937">
        <f t="shared" si="464"/>
        <v>0.2</v>
      </c>
      <c r="CK79" s="935">
        <f t="shared" ref="CK79:CP79" si="469">CK73+CK78</f>
        <v>1.8</v>
      </c>
      <c r="CL79" s="935">
        <f t="shared" si="469"/>
        <v>-5.5</v>
      </c>
      <c r="CM79" s="935">
        <f t="shared" si="469"/>
        <v>3.2</v>
      </c>
      <c r="CN79" s="935">
        <f t="shared" si="469"/>
        <v>8.1</v>
      </c>
      <c r="CO79" s="935">
        <f t="shared" si="469"/>
        <v>8</v>
      </c>
      <c r="CP79" s="936">
        <f t="shared" si="469"/>
        <v>8</v>
      </c>
      <c r="CQ79" s="106"/>
      <c r="CR79" s="30">
        <f>CR73+CR78</f>
        <v>-8.2249999999999979</v>
      </c>
      <c r="CS79" s="31">
        <f>CS73+CS78</f>
        <v>-5.4760000000000018</v>
      </c>
      <c r="CT79" s="31">
        <f>CT73+CT78</f>
        <v>-0.21599999999999941</v>
      </c>
      <c r="CU79" s="31">
        <f t="shared" si="464"/>
        <v>-0.92599999999999927</v>
      </c>
      <c r="CV79" s="31">
        <f t="shared" si="464"/>
        <v>-2.8449999999999989</v>
      </c>
      <c r="CW79" s="31">
        <f t="shared" si="464"/>
        <v>-1.6760000000000004</v>
      </c>
      <c r="CX79" s="31">
        <f t="shared" si="464"/>
        <v>0.20399999999999996</v>
      </c>
      <c r="CY79" s="31">
        <f t="shared" si="464"/>
        <v>-7.8999999999999973E-2</v>
      </c>
      <c r="CZ79" s="31">
        <f t="shared" si="464"/>
        <v>-0.89999999999999991</v>
      </c>
      <c r="DA79" s="30">
        <f t="shared" ref="DA79:DF79" si="470">DA73+DA78</f>
        <v>1.2</v>
      </c>
      <c r="DB79" s="31">
        <f t="shared" si="470"/>
        <v>0.29999999999999716</v>
      </c>
      <c r="DC79" s="31">
        <f t="shared" si="470"/>
        <v>-5.8</v>
      </c>
      <c r="DD79" s="31">
        <f t="shared" si="470"/>
        <v>6.1</v>
      </c>
      <c r="DE79" s="31">
        <f t="shared" si="470"/>
        <v>8</v>
      </c>
      <c r="DF79" s="32">
        <f t="shared" si="470"/>
        <v>8</v>
      </c>
      <c r="DK79"/>
      <c r="DL79"/>
      <c r="DM79"/>
      <c r="DN79"/>
      <c r="DO79"/>
      <c r="DP79"/>
    </row>
    <row r="80" spans="1:122" s="7" customFormat="1" ht="14.25" collapsed="1">
      <c r="A80" s="505"/>
      <c r="B80" s="25"/>
      <c r="C80" s="26"/>
      <c r="D80" s="39"/>
      <c r="E80" s="39"/>
      <c r="F80" s="39"/>
      <c r="G80" s="40"/>
      <c r="H80" s="39"/>
      <c r="I80" s="39"/>
      <c r="J80" s="39"/>
      <c r="K80" s="40"/>
      <c r="L80" s="39"/>
      <c r="M80" s="39"/>
      <c r="N80" s="39"/>
      <c r="O80" s="40"/>
      <c r="P80" s="39"/>
      <c r="Q80" s="39"/>
      <c r="R80" s="39"/>
      <c r="S80" s="40"/>
      <c r="T80" s="39"/>
      <c r="U80" s="39"/>
      <c r="V80" s="39"/>
      <c r="W80" s="40"/>
      <c r="X80" s="39"/>
      <c r="Y80" s="39"/>
      <c r="Z80" s="39"/>
      <c r="AA80" s="39"/>
      <c r="AB80" s="38"/>
      <c r="AC80" s="39"/>
      <c r="AD80" s="39"/>
      <c r="AE80" s="39"/>
      <c r="AF80" s="38"/>
      <c r="AG80" s="39"/>
      <c r="AH80" s="39"/>
      <c r="AI80" s="39"/>
      <c r="AJ80" s="38"/>
      <c r="AK80" s="39"/>
      <c r="AL80" s="39"/>
      <c r="AM80" s="40"/>
      <c r="AN80" s="38"/>
      <c r="AO80" s="39"/>
      <c r="AP80" s="39"/>
      <c r="AQ80" s="40"/>
      <c r="AR80" s="38"/>
      <c r="AS80" s="39"/>
      <c r="AT80" s="39"/>
      <c r="AU80" s="40"/>
      <c r="AV80" s="38"/>
      <c r="AW80" s="39"/>
      <c r="AX80" s="39"/>
      <c r="AY80" s="40"/>
      <c r="AZ80" s="38"/>
      <c r="BA80" s="39"/>
      <c r="BB80" s="39"/>
      <c r="BC80" s="40"/>
      <c r="BD80" s="38"/>
      <c r="BE80" s="39"/>
      <c r="BF80" s="39"/>
      <c r="BG80" s="40"/>
      <c r="BH80" s="38"/>
      <c r="BI80" s="39"/>
      <c r="BJ80" s="39"/>
      <c r="BK80" s="40"/>
      <c r="BL80" s="38"/>
      <c r="BM80" s="39"/>
      <c r="BN80" s="39"/>
      <c r="BO80" s="40"/>
      <c r="BP80" s="38"/>
      <c r="BQ80" s="39"/>
      <c r="BR80" s="39"/>
      <c r="BS80" s="40"/>
      <c r="BT80" s="38"/>
      <c r="BU80" s="39"/>
      <c r="BV80" s="39"/>
      <c r="BW80" s="40"/>
      <c r="BX80" s="108"/>
      <c r="BY80" s="38"/>
      <c r="BZ80" s="39"/>
      <c r="CA80" s="39"/>
      <c r="CB80" s="39"/>
      <c r="CC80" s="39"/>
      <c r="CD80" s="39"/>
      <c r="CE80" s="39"/>
      <c r="CF80" s="39"/>
      <c r="CG80" s="39"/>
      <c r="CH80" s="39"/>
      <c r="CI80" s="40"/>
      <c r="CJ80" s="38"/>
      <c r="CK80" s="39"/>
      <c r="CL80" s="39"/>
      <c r="CM80" s="39"/>
      <c r="CN80" s="39"/>
      <c r="CO80" s="39"/>
      <c r="CP80" s="40"/>
      <c r="CQ80" s="108"/>
      <c r="CR80" s="56"/>
      <c r="CS80" s="57"/>
      <c r="CT80" s="57"/>
      <c r="CU80" s="57"/>
      <c r="CV80" s="57"/>
      <c r="CW80" s="57"/>
      <c r="CX80" s="57"/>
      <c r="CY80" s="57"/>
      <c r="CZ80" s="57"/>
      <c r="DA80" s="56"/>
      <c r="DB80" s="57"/>
      <c r="DC80" s="57"/>
      <c r="DD80" s="57"/>
      <c r="DE80" s="57"/>
      <c r="DF80" s="58"/>
      <c r="DG80" s="45"/>
      <c r="DH80" s="45"/>
      <c r="DI80" s="45"/>
      <c r="DJ80" s="45"/>
      <c r="DK80"/>
      <c r="DL80"/>
      <c r="DM80"/>
      <c r="DN80"/>
      <c r="DO80"/>
      <c r="DP80"/>
      <c r="DQ80" s="45"/>
      <c r="DR80" s="45"/>
    </row>
    <row r="81" spans="1:122" s="45" customFormat="1" ht="15">
      <c r="B81" s="46" t="s">
        <v>36</v>
      </c>
      <c r="C81" s="47"/>
      <c r="D81" s="48">
        <f t="shared" ref="D81:S81" si="471">D66+D73</f>
        <v>1.528999999999991</v>
      </c>
      <c r="E81" s="49">
        <f t="shared" si="471"/>
        <v>-5.3540000000000063</v>
      </c>
      <c r="F81" s="49">
        <f t="shared" si="471"/>
        <v>-5.9229999999999814</v>
      </c>
      <c r="G81" s="50">
        <f t="shared" si="471"/>
        <v>-43.87700000000001</v>
      </c>
      <c r="H81" s="49">
        <f t="shared" si="471"/>
        <v>5.4519999999999982</v>
      </c>
      <c r="I81" s="49">
        <f t="shared" si="471"/>
        <v>-9.46999999999999</v>
      </c>
      <c r="J81" s="49">
        <f t="shared" si="471"/>
        <v>14.597000000000007</v>
      </c>
      <c r="K81" s="50">
        <f t="shared" si="471"/>
        <v>15.81699999999995</v>
      </c>
      <c r="L81" s="49">
        <f t="shared" si="471"/>
        <v>20.533000000000008</v>
      </c>
      <c r="M81" s="49">
        <f t="shared" si="471"/>
        <v>-79.168000000000006</v>
      </c>
      <c r="N81" s="49">
        <f t="shared" si="471"/>
        <v>9.62300000000001</v>
      </c>
      <c r="O81" s="50">
        <f t="shared" si="471"/>
        <v>90.000999999999976</v>
      </c>
      <c r="P81" s="49">
        <f t="shared" si="471"/>
        <v>7.0109999999999904</v>
      </c>
      <c r="Q81" s="49">
        <f t="shared" si="471"/>
        <v>0.53100000000001168</v>
      </c>
      <c r="R81" s="49">
        <f t="shared" si="471"/>
        <v>4.4499999999999948</v>
      </c>
      <c r="S81" s="50">
        <f t="shared" si="471"/>
        <v>-84.766299999999973</v>
      </c>
      <c r="T81" s="49">
        <f t="shared" ref="T81:AJ81" si="472">T66+T73</f>
        <v>13.773000000000003</v>
      </c>
      <c r="U81" s="49">
        <f t="shared" si="472"/>
        <v>11.822000000000015</v>
      </c>
      <c r="V81" s="49">
        <f t="shared" si="472"/>
        <v>12.617000000000004</v>
      </c>
      <c r="W81" s="50">
        <f t="shared" si="472"/>
        <v>18.5579999999999</v>
      </c>
      <c r="X81" s="49">
        <f t="shared" si="472"/>
        <v>20.86699999999999</v>
      </c>
      <c r="Y81" s="49">
        <f t="shared" si="472"/>
        <v>18.682999999999996</v>
      </c>
      <c r="Z81" s="49">
        <f t="shared" si="472"/>
        <v>22.202999999999996</v>
      </c>
      <c r="AA81" s="49">
        <f t="shared" si="472"/>
        <v>20.435000000000088</v>
      </c>
      <c r="AB81" s="48">
        <f t="shared" si="472"/>
        <v>24.832000000000008</v>
      </c>
      <c r="AC81" s="49">
        <f t="shared" si="472"/>
        <v>-5.6529999999999809</v>
      </c>
      <c r="AD81" s="49">
        <f t="shared" si="472"/>
        <v>19.489999999999988</v>
      </c>
      <c r="AE81" s="49">
        <f t="shared" si="472"/>
        <v>31.087999999999962</v>
      </c>
      <c r="AF81" s="48">
        <f t="shared" si="472"/>
        <v>40.802</v>
      </c>
      <c r="AG81" s="49">
        <f t="shared" si="472"/>
        <v>36.847999999999985</v>
      </c>
      <c r="AH81" s="49">
        <f t="shared" si="472"/>
        <v>52.668999999999997</v>
      </c>
      <c r="AI81" s="49">
        <f t="shared" si="472"/>
        <v>64.755000000000038</v>
      </c>
      <c r="AJ81" s="48">
        <f t="shared" si="472"/>
        <v>76.736000000000018</v>
      </c>
      <c r="AK81" s="49">
        <f t="shared" ref="AK81:AP81" si="473">AK66+AK73</f>
        <v>67.484999999999985</v>
      </c>
      <c r="AL81" s="49">
        <f t="shared" si="473"/>
        <v>71.759</v>
      </c>
      <c r="AM81" s="50">
        <f t="shared" si="473"/>
        <v>77.905999999999977</v>
      </c>
      <c r="AN81" s="48">
        <f t="shared" si="473"/>
        <v>74.662000000000035</v>
      </c>
      <c r="AO81" s="49">
        <f t="shared" si="473"/>
        <v>43.459999999999994</v>
      </c>
      <c r="AP81" s="49">
        <f t="shared" si="473"/>
        <v>62.13000000000001</v>
      </c>
      <c r="AQ81" s="50">
        <f t="shared" ref="AQ81:AV81" si="474">AQ66+AQ73</f>
        <v>74.724000000000004</v>
      </c>
      <c r="AR81" s="48">
        <f t="shared" si="474"/>
        <v>86.841999999999999</v>
      </c>
      <c r="AS81" s="49">
        <f t="shared" si="474"/>
        <v>67.299999999999983</v>
      </c>
      <c r="AT81" s="49">
        <f t="shared" si="474"/>
        <v>84.500000000000014</v>
      </c>
      <c r="AU81" s="50">
        <f t="shared" si="474"/>
        <v>105.80000000000001</v>
      </c>
      <c r="AV81" s="48">
        <f t="shared" si="474"/>
        <v>116</v>
      </c>
      <c r="AW81" s="49">
        <f t="shared" ref="AW81:BB81" si="475">AW66+AW73</f>
        <v>102.49999999999999</v>
      </c>
      <c r="AX81" s="49">
        <f t="shared" si="475"/>
        <v>148.5</v>
      </c>
      <c r="AY81" s="50">
        <f t="shared" si="475"/>
        <v>198.20000000000005</v>
      </c>
      <c r="AZ81" s="48">
        <f t="shared" si="475"/>
        <v>247.5</v>
      </c>
      <c r="BA81" s="49">
        <f t="shared" si="475"/>
        <v>220.50000000000003</v>
      </c>
      <c r="BB81" s="49">
        <f t="shared" si="475"/>
        <v>259.40000000000003</v>
      </c>
      <c r="BC81" s="50">
        <f t="shared" ref="BC81:BH81" si="476">BC66+BC73</f>
        <v>296.19999999999993</v>
      </c>
      <c r="BD81" s="48">
        <f t="shared" si="476"/>
        <v>418.2</v>
      </c>
      <c r="BE81" s="49">
        <f t="shared" si="476"/>
        <v>255.10000000000005</v>
      </c>
      <c r="BF81" s="49">
        <f t="shared" si="476"/>
        <v>236.20000000000005</v>
      </c>
      <c r="BG81" s="50">
        <f t="shared" si="476"/>
        <v>291.09999999999997</v>
      </c>
      <c r="BH81" s="48">
        <f t="shared" si="476"/>
        <v>321.09999999999997</v>
      </c>
      <c r="BI81" s="49">
        <f t="shared" ref="BI81:BS81" si="477">BI66+BI73</f>
        <v>281.40000000000003</v>
      </c>
      <c r="BJ81" s="49">
        <f t="shared" si="477"/>
        <v>306.79999999999995</v>
      </c>
      <c r="BK81" s="50">
        <f t="shared" si="477"/>
        <v>347.70000000000005</v>
      </c>
      <c r="BL81" s="48">
        <f t="shared" si="477"/>
        <v>385.60000000000008</v>
      </c>
      <c r="BM81" s="49">
        <f t="shared" si="477"/>
        <v>303.41862164000008</v>
      </c>
      <c r="BN81" s="49">
        <f t="shared" si="477"/>
        <v>290.12514260206979</v>
      </c>
      <c r="BO81" s="50">
        <f t="shared" si="477"/>
        <v>364.09591293334381</v>
      </c>
      <c r="BP81" s="48">
        <f t="shared" si="477"/>
        <v>382.60012096013537</v>
      </c>
      <c r="BQ81" s="49">
        <f t="shared" si="477"/>
        <v>339.71603102624186</v>
      </c>
      <c r="BR81" s="49">
        <f t="shared" si="477"/>
        <v>340.36296207133626</v>
      </c>
      <c r="BS81" s="50">
        <f t="shared" si="477"/>
        <v>371.6206474993005</v>
      </c>
      <c r="BT81" s="48">
        <f t="shared" ref="BT81:BW81" si="478">BT66+BT73</f>
        <v>390.51698738607223</v>
      </c>
      <c r="BU81" s="938">
        <f t="shared" si="478"/>
        <v>364.79361500308221</v>
      </c>
      <c r="BV81" s="938">
        <f t="shared" si="478"/>
        <v>370.82851396975445</v>
      </c>
      <c r="BW81" s="939">
        <f t="shared" si="478"/>
        <v>405.78005236213482</v>
      </c>
      <c r="BX81" s="108"/>
      <c r="BY81" s="940">
        <f>BY66+BY73</f>
        <v>-53.625000000000043</v>
      </c>
      <c r="BZ81" s="938">
        <f>BZ66+BZ73</f>
        <v>26.395999999999873</v>
      </c>
      <c r="CA81" s="938">
        <f>CA66+CA73</f>
        <v>40.989000000000097</v>
      </c>
      <c r="CB81" s="938">
        <f>CB66+CB73</f>
        <v>-72.774299999999982</v>
      </c>
      <c r="CC81" s="938">
        <f>CC66+CC73</f>
        <v>56.769999999999904</v>
      </c>
      <c r="CD81" s="938">
        <f t="shared" ref="CD81:CJ81" si="479">CD66+CD73</f>
        <v>82.188000000000073</v>
      </c>
      <c r="CE81" s="938">
        <f t="shared" si="479"/>
        <v>69.756999999999948</v>
      </c>
      <c r="CF81" s="938">
        <f t="shared" si="479"/>
        <v>195.07400000000004</v>
      </c>
      <c r="CG81" s="938">
        <f t="shared" si="479"/>
        <v>293.88600000000008</v>
      </c>
      <c r="CH81" s="938">
        <f t="shared" si="479"/>
        <v>254.97600000000025</v>
      </c>
      <c r="CI81" s="939">
        <f t="shared" si="479"/>
        <v>344.44200000000001</v>
      </c>
      <c r="CJ81" s="940">
        <f t="shared" si="479"/>
        <v>565.20000000000016</v>
      </c>
      <c r="CK81" s="938">
        <f t="shared" ref="CK81:CP81" si="480">CK66+CK73</f>
        <v>1023.5999999999995</v>
      </c>
      <c r="CL81" s="938">
        <f t="shared" si="480"/>
        <v>1200.6000000000006</v>
      </c>
      <c r="CM81" s="49">
        <f t="shared" si="480"/>
        <v>1257</v>
      </c>
      <c r="CN81" s="938">
        <f t="shared" si="480"/>
        <v>1343.2396771754138</v>
      </c>
      <c r="CO81" s="938">
        <f t="shared" si="480"/>
        <v>1434.2997615570139</v>
      </c>
      <c r="CP81" s="939">
        <f t="shared" si="480"/>
        <v>1531.9191687210446</v>
      </c>
      <c r="CQ81" s="106"/>
      <c r="CR81" s="48">
        <f>CR66+CR73</f>
        <v>27.467000000000123</v>
      </c>
      <c r="CS81" s="49">
        <f>CS66+CS73</f>
        <v>-66.012300000000039</v>
      </c>
      <c r="CT81" s="49">
        <f>CT66+CT73</f>
        <v>63.863999999999976</v>
      </c>
      <c r="CU81" s="49">
        <f t="shared" ref="CU81:CZ81" si="481">CU66+CU73</f>
        <v>86.152999999999992</v>
      </c>
      <c r="CV81" s="49">
        <f t="shared" si="481"/>
        <v>85.726999999999919</v>
      </c>
      <c r="CW81" s="49">
        <f t="shared" si="481"/>
        <v>231.00800000000007</v>
      </c>
      <c r="CX81" s="49">
        <f t="shared" si="481"/>
        <v>291.81200000000001</v>
      </c>
      <c r="CY81" s="49">
        <f t="shared" si="481"/>
        <v>267.15600000000001</v>
      </c>
      <c r="CZ81" s="49">
        <f t="shared" si="481"/>
        <v>373.60000000000008</v>
      </c>
      <c r="DA81" s="48">
        <f t="shared" ref="DA81:DF81" si="482">DA66+DA73</f>
        <v>696.6999999999997</v>
      </c>
      <c r="DB81" s="49">
        <f t="shared" si="482"/>
        <v>1194.2999999999997</v>
      </c>
      <c r="DC81" s="49">
        <f t="shared" si="482"/>
        <v>1103.5</v>
      </c>
      <c r="DD81" s="49">
        <f t="shared" si="482"/>
        <v>1321.4999999999995</v>
      </c>
      <c r="DE81" s="49">
        <f t="shared" si="482"/>
        <v>1340.2397981355489</v>
      </c>
      <c r="DF81" s="50">
        <f t="shared" si="482"/>
        <v>1442.2166279829507</v>
      </c>
      <c r="DG81" s="42"/>
      <c r="DH81" s="42"/>
      <c r="DI81" s="42"/>
      <c r="DJ81" s="42"/>
      <c r="DK81"/>
      <c r="DL81"/>
      <c r="DM81"/>
      <c r="DN81"/>
      <c r="DO81"/>
      <c r="DP81"/>
      <c r="DQ81" s="42"/>
      <c r="DR81" s="42"/>
    </row>
    <row r="82" spans="1:122" s="42" customFormat="1" ht="14.25" hidden="1" outlineLevel="1">
      <c r="B82" s="19" t="s">
        <v>37</v>
      </c>
      <c r="C82" s="34"/>
      <c r="D82" s="20">
        <f t="shared" ref="D82:AI82" si="483">D81/D8</f>
        <v>9.5446770790416063E-3</v>
      </c>
      <c r="E82" s="21">
        <f t="shared" si="483"/>
        <v>-3.4023029409521913E-2</v>
      </c>
      <c r="F82" s="21">
        <f t="shared" si="483"/>
        <v>-3.9434350428431485E-2</v>
      </c>
      <c r="G82" s="37">
        <f t="shared" si="483"/>
        <v>-0.29245094379865633</v>
      </c>
      <c r="H82" s="21">
        <f t="shared" si="483"/>
        <v>3.1135070927656064E-2</v>
      </c>
      <c r="I82" s="21">
        <f t="shared" si="483"/>
        <v>-5.1615786691084638E-2</v>
      </c>
      <c r="J82" s="21">
        <f t="shared" si="483"/>
        <v>7.0388712345149207E-2</v>
      </c>
      <c r="K82" s="37">
        <f t="shared" si="483"/>
        <v>7.2532753694965105E-2</v>
      </c>
      <c r="L82" s="21">
        <f t="shared" si="483"/>
        <v>9.3263989825581428E-2</v>
      </c>
      <c r="M82" s="21">
        <f t="shared" si="483"/>
        <v>-0.74980347587251983</v>
      </c>
      <c r="N82" s="21">
        <f t="shared" si="483"/>
        <v>5.0242257168514971E-2</v>
      </c>
      <c r="O82" s="37">
        <f t="shared" si="483"/>
        <v>0.32716453285058922</v>
      </c>
      <c r="P82" s="21">
        <f t="shared" si="483"/>
        <v>3.5351065170805447E-2</v>
      </c>
      <c r="Q82" s="21">
        <f t="shared" si="483"/>
        <v>2.8666443525487313E-3</v>
      </c>
      <c r="R82" s="21">
        <f t="shared" si="483"/>
        <v>2.2582183925544737E-2</v>
      </c>
      <c r="S82" s="37">
        <f>S81/S8</f>
        <v>-0.43890117173139742</v>
      </c>
      <c r="T82" s="21">
        <f t="shared" si="483"/>
        <v>7.0259654134571262E-2</v>
      </c>
      <c r="U82" s="21">
        <f t="shared" si="483"/>
        <v>6.5601242994284534E-2</v>
      </c>
      <c r="V82" s="21">
        <f t="shared" si="483"/>
        <v>7.2076549557269373E-2</v>
      </c>
      <c r="W82" s="21">
        <f t="shared" si="483"/>
        <v>9.7440851859241118E-2</v>
      </c>
      <c r="X82" s="20">
        <f t="shared" si="483"/>
        <v>9.9115103095476678E-2</v>
      </c>
      <c r="Y82" s="21">
        <f t="shared" si="483"/>
        <v>9.2623991115870455E-2</v>
      </c>
      <c r="Z82" s="21">
        <f t="shared" si="483"/>
        <v>0.1031689977231541</v>
      </c>
      <c r="AA82" s="21">
        <f t="shared" si="483"/>
        <v>8.7867530077483741E-2</v>
      </c>
      <c r="AB82" s="20">
        <f t="shared" si="483"/>
        <v>0.11811937515459409</v>
      </c>
      <c r="AC82" s="21">
        <f t="shared" si="483"/>
        <v>-3.2678189490721897E-2</v>
      </c>
      <c r="AD82" s="21">
        <f t="shared" si="483"/>
        <v>0.10192821617777027</v>
      </c>
      <c r="AE82" s="21">
        <f t="shared" si="483"/>
        <v>0.13626362066396061</v>
      </c>
      <c r="AF82" s="20">
        <f t="shared" si="483"/>
        <v>0.16644502280348211</v>
      </c>
      <c r="AG82" s="21">
        <f t="shared" si="483"/>
        <v>0.1547858085004494</v>
      </c>
      <c r="AH82" s="21">
        <f t="shared" si="483"/>
        <v>0.19126629625594654</v>
      </c>
      <c r="AI82" s="21">
        <f t="shared" si="483"/>
        <v>0.20669809724753677</v>
      </c>
      <c r="AJ82" s="20">
        <f t="shared" ref="AJ82:BO82" si="484">AJ81/AJ8</f>
        <v>0.22898066364287425</v>
      </c>
      <c r="AK82" s="21">
        <f t="shared" si="484"/>
        <v>0.20738389298456408</v>
      </c>
      <c r="AL82" s="21">
        <f t="shared" si="484"/>
        <v>0.20152776802639893</v>
      </c>
      <c r="AM82" s="37">
        <f t="shared" si="484"/>
        <v>0.19364380238419546</v>
      </c>
      <c r="AN82" s="20">
        <f t="shared" si="484"/>
        <v>0.18962259358967856</v>
      </c>
      <c r="AO82" s="21">
        <f t="shared" si="484"/>
        <v>0.11916970577750965</v>
      </c>
      <c r="AP82" s="21">
        <f t="shared" si="484"/>
        <v>0.15970162297770399</v>
      </c>
      <c r="AQ82" s="37">
        <f t="shared" si="484"/>
        <v>0.17744405895804691</v>
      </c>
      <c r="AR82" s="20">
        <f t="shared" si="484"/>
        <v>0.19139871683824711</v>
      </c>
      <c r="AS82" s="21">
        <f t="shared" si="484"/>
        <v>0.15827845719661332</v>
      </c>
      <c r="AT82" s="21">
        <f t="shared" si="484"/>
        <v>0.19376289841779409</v>
      </c>
      <c r="AU82" s="37">
        <f t="shared" si="484"/>
        <v>0.22180293501048221</v>
      </c>
      <c r="AV82" s="20">
        <f t="shared" si="484"/>
        <v>0.22961203483768805</v>
      </c>
      <c r="AW82" s="21">
        <f t="shared" si="484"/>
        <v>0.21309771309771308</v>
      </c>
      <c r="AX82" s="21">
        <f t="shared" si="484"/>
        <v>0.25298126064735943</v>
      </c>
      <c r="AY82" s="37">
        <f t="shared" si="484"/>
        <v>0.27596769702032864</v>
      </c>
      <c r="AZ82" s="20">
        <f t="shared" si="484"/>
        <v>0.30726256983240224</v>
      </c>
      <c r="BA82" s="21">
        <f t="shared" si="484"/>
        <v>0.28933210864715919</v>
      </c>
      <c r="BB82" s="21">
        <f t="shared" si="484"/>
        <v>0.32024691358024693</v>
      </c>
      <c r="BC82" s="37">
        <f t="shared" si="484"/>
        <v>0.33628519527702083</v>
      </c>
      <c r="BD82" s="20">
        <f t="shared" si="484"/>
        <v>0.4512300388433319</v>
      </c>
      <c r="BE82" s="21">
        <f t="shared" si="484"/>
        <v>0.32911882337762877</v>
      </c>
      <c r="BF82" s="21">
        <f t="shared" ref="BF82:BK82" si="485">BF81/BF8</f>
        <v>0.31422109884262345</v>
      </c>
      <c r="BG82" s="37">
        <f t="shared" si="485"/>
        <v>0.34845582954273396</v>
      </c>
      <c r="BH82" s="20">
        <f t="shared" si="485"/>
        <v>0.35119763753691347</v>
      </c>
      <c r="BI82" s="859">
        <f t="shared" si="485"/>
        <v>0.33039802747446284</v>
      </c>
      <c r="BJ82" s="859">
        <f t="shared" si="485"/>
        <v>0.34058614564831258</v>
      </c>
      <c r="BK82" s="885">
        <f t="shared" si="485"/>
        <v>0.35313833028641078</v>
      </c>
      <c r="BL82" s="880">
        <f t="shared" ref="BL82" si="486">BL81/BL8</f>
        <v>0.36657476946477807</v>
      </c>
      <c r="BM82" s="881">
        <f t="shared" si="484"/>
        <v>0.3361181134740715</v>
      </c>
      <c r="BN82" s="881">
        <f t="shared" si="484"/>
        <v>0.33419973796470004</v>
      </c>
      <c r="BO82" s="885">
        <f t="shared" si="484"/>
        <v>0.35293291219280909</v>
      </c>
      <c r="BP82" s="20">
        <f t="shared" ref="BP82:BW82" si="487">BP81/BP8</f>
        <v>0.35620137543537395</v>
      </c>
      <c r="BQ82" s="21">
        <f t="shared" si="487"/>
        <v>0.34735112493704795</v>
      </c>
      <c r="BR82" s="21">
        <f t="shared" si="487"/>
        <v>0.34790934620564318</v>
      </c>
      <c r="BS82" s="37">
        <f t="shared" si="487"/>
        <v>0.35314880108284197</v>
      </c>
      <c r="BT82" s="880">
        <f t="shared" si="487"/>
        <v>0.3560812102143891</v>
      </c>
      <c r="BU82" s="881">
        <f t="shared" si="487"/>
        <v>0.35173217489553327</v>
      </c>
      <c r="BV82" s="881">
        <f t="shared" si="487"/>
        <v>0.35295788520119997</v>
      </c>
      <c r="BW82" s="885">
        <f t="shared" si="487"/>
        <v>0.35716574907226617</v>
      </c>
      <c r="BX82" s="108"/>
      <c r="BY82" s="20">
        <f t="shared" ref="BY82:CN82" si="488">BY81/BY8</f>
        <v>-8.6801480764468197E-2</v>
      </c>
      <c r="BZ82" s="21">
        <f t="shared" si="488"/>
        <v>3.3667379655953809E-2</v>
      </c>
      <c r="CA82" s="21">
        <f t="shared" si="488"/>
        <v>5.1729555978197207E-2</v>
      </c>
      <c r="CB82" s="21">
        <f t="shared" si="488"/>
        <v>-9.4054022617124367E-2</v>
      </c>
      <c r="CC82" s="21">
        <f t="shared" si="488"/>
        <v>7.6535839858495533E-2</v>
      </c>
      <c r="CD82" s="21">
        <f t="shared" si="488"/>
        <v>9.5565552773956869E-2</v>
      </c>
      <c r="CE82" s="21">
        <f t="shared" si="488"/>
        <v>8.6916270962163061E-2</v>
      </c>
      <c r="CF82" s="21">
        <f t="shared" si="488"/>
        <v>0.18199765078849731</v>
      </c>
      <c r="CG82" s="21">
        <f t="shared" si="488"/>
        <v>0.20711920739829257</v>
      </c>
      <c r="CH82" s="21">
        <f t="shared" si="488"/>
        <v>0.16255201357150204</v>
      </c>
      <c r="CI82" s="37">
        <f t="shared" si="488"/>
        <v>0.19220847053860357</v>
      </c>
      <c r="CJ82" s="880">
        <f t="shared" si="488"/>
        <v>0.24666142969363714</v>
      </c>
      <c r="CK82" s="881">
        <f t="shared" si="488"/>
        <v>0.31414191013994586</v>
      </c>
      <c r="CL82" s="881">
        <f t="shared" si="488"/>
        <v>0.36503496503496519</v>
      </c>
      <c r="CM82" s="881">
        <f t="shared" si="488"/>
        <v>0.34425151996494496</v>
      </c>
      <c r="CN82" s="881">
        <f t="shared" si="488"/>
        <v>0.34849853071615927</v>
      </c>
      <c r="CO82" s="881">
        <f>CO81/CO8</f>
        <v>0.3513075798778329</v>
      </c>
      <c r="CP82" s="885">
        <f>CP81/CP8</f>
        <v>0.35456293410397388</v>
      </c>
      <c r="CQ82" s="107"/>
      <c r="CR82" s="20">
        <f t="shared" ref="CR82:DD82" si="489">CR81/CR8</f>
        <v>3.5646614823966853E-2</v>
      </c>
      <c r="CS82" s="21">
        <f t="shared" si="489"/>
        <v>-8.5568568484227919E-2</v>
      </c>
      <c r="CT82" s="21">
        <f t="shared" si="489"/>
        <v>8.4448599465518512E-2</v>
      </c>
      <c r="CU82" s="21">
        <f t="shared" si="489"/>
        <v>0.10021146616541353</v>
      </c>
      <c r="CV82" s="21">
        <f t="shared" si="489"/>
        <v>0.10236218592049778</v>
      </c>
      <c r="CW82" s="21">
        <f t="shared" si="489"/>
        <v>0.19883098316364436</v>
      </c>
      <c r="CX82" s="21">
        <f t="shared" si="489"/>
        <v>0.19749827754473309</v>
      </c>
      <c r="CY82" s="21">
        <f t="shared" si="489"/>
        <v>0.16404390616518602</v>
      </c>
      <c r="CZ82" s="21">
        <f t="shared" si="489"/>
        <v>0.20265798752373207</v>
      </c>
      <c r="DA82" s="880">
        <f t="shared" si="489"/>
        <v>0.26881969363738079</v>
      </c>
      <c r="DB82" s="881">
        <f t="shared" si="489"/>
        <v>0.35337455987217792</v>
      </c>
      <c r="DC82" s="881">
        <f t="shared" si="489"/>
        <v>0.33679230886616818</v>
      </c>
      <c r="DD82" s="881">
        <f t="shared" si="489"/>
        <v>0.34877276326207429</v>
      </c>
      <c r="DE82" s="881">
        <f>DE81/DE8</f>
        <v>0.34572786836606584</v>
      </c>
      <c r="DF82" s="885">
        <f>DF81/DF8</f>
        <v>0.35130241418768371</v>
      </c>
      <c r="DG82" s="45"/>
      <c r="DH82" s="45"/>
      <c r="DI82" s="45"/>
      <c r="DJ82" s="45"/>
      <c r="DK82"/>
      <c r="DL82"/>
      <c r="DM82"/>
      <c r="DN82"/>
      <c r="DO82"/>
      <c r="DP82"/>
      <c r="DQ82" s="45"/>
      <c r="DR82" s="45"/>
    </row>
    <row r="83" spans="1:122" s="45" customFormat="1" ht="15" hidden="1" outlineLevel="1">
      <c r="B83" s="46" t="s">
        <v>38</v>
      </c>
      <c r="C83" s="47"/>
      <c r="D83" s="48">
        <f t="shared" ref="D83:S83" si="490">D68+D77</f>
        <v>-1.1920000000000055</v>
      </c>
      <c r="E83" s="49">
        <f t="shared" si="490"/>
        <v>2.8980000000000032</v>
      </c>
      <c r="F83" s="49">
        <f t="shared" si="490"/>
        <v>-4.5519999999999792</v>
      </c>
      <c r="G83" s="50">
        <f t="shared" si="490"/>
        <v>-11.977000000000004</v>
      </c>
      <c r="H83" s="49">
        <f t="shared" si="490"/>
        <v>6.2209999999999965</v>
      </c>
      <c r="I83" s="49">
        <f t="shared" si="490"/>
        <v>8.0320000000000125</v>
      </c>
      <c r="J83" s="49">
        <f t="shared" si="490"/>
        <v>15.365000000000007</v>
      </c>
      <c r="K83" s="50">
        <f t="shared" si="490"/>
        <v>18.160999999999945</v>
      </c>
      <c r="L83" s="49">
        <f t="shared" si="490"/>
        <v>21.270000000000003</v>
      </c>
      <c r="M83" s="49">
        <f t="shared" si="490"/>
        <v>-77.737000000000009</v>
      </c>
      <c r="N83" s="49">
        <f t="shared" si="490"/>
        <v>10.159000000000011</v>
      </c>
      <c r="O83" s="50">
        <f t="shared" si="490"/>
        <v>91.801999999999992</v>
      </c>
      <c r="P83" s="49">
        <f t="shared" si="490"/>
        <v>12.37399999999999</v>
      </c>
      <c r="Q83" s="49">
        <f t="shared" si="490"/>
        <v>5.2270000000000074</v>
      </c>
      <c r="R83" s="49">
        <f t="shared" si="490"/>
        <v>8.6559999999999988</v>
      </c>
      <c r="S83" s="50">
        <f t="shared" si="490"/>
        <v>10.086700000000009</v>
      </c>
      <c r="T83" s="49">
        <f t="shared" ref="T83:AJ83" si="491">T68+T77</f>
        <v>21.808</v>
      </c>
      <c r="U83" s="49">
        <f t="shared" si="491"/>
        <v>16.967000000000006</v>
      </c>
      <c r="V83" s="49">
        <f t="shared" si="491"/>
        <v>17.198</v>
      </c>
      <c r="W83" s="49">
        <f t="shared" si="491"/>
        <v>23.114999999999903</v>
      </c>
      <c r="X83" s="48">
        <f t="shared" si="491"/>
        <v>28.420999999999992</v>
      </c>
      <c r="Y83" s="49">
        <f t="shared" si="491"/>
        <v>26.031000000000009</v>
      </c>
      <c r="Z83" s="49">
        <f t="shared" si="491"/>
        <v>29.746000000000002</v>
      </c>
      <c r="AA83" s="49">
        <f t="shared" si="491"/>
        <v>35.323000000000093</v>
      </c>
      <c r="AB83" s="48">
        <f t="shared" si="491"/>
        <v>28.888000000000012</v>
      </c>
      <c r="AC83" s="49">
        <f t="shared" si="491"/>
        <v>20.399000000000012</v>
      </c>
      <c r="AD83" s="49">
        <f t="shared" si="491"/>
        <v>27.654999999999998</v>
      </c>
      <c r="AE83" s="49">
        <f t="shared" si="491"/>
        <v>42.102999999999966</v>
      </c>
      <c r="AF83" s="48">
        <f t="shared" si="491"/>
        <v>51.599999999999994</v>
      </c>
      <c r="AG83" s="49">
        <f t="shared" si="491"/>
        <v>48.02699999999998</v>
      </c>
      <c r="AH83" s="49">
        <f t="shared" si="491"/>
        <v>63.170999999999985</v>
      </c>
      <c r="AI83" s="49">
        <f t="shared" si="491"/>
        <v>81.447000000000031</v>
      </c>
      <c r="AJ83" s="48">
        <f t="shared" si="491"/>
        <v>92.557000000000002</v>
      </c>
      <c r="AK83" s="49">
        <f t="shared" ref="AK83:AP83" si="492">AK68+AK77</f>
        <v>84.665999999999997</v>
      </c>
      <c r="AL83" s="49">
        <f t="shared" si="492"/>
        <v>97.421999999999983</v>
      </c>
      <c r="AM83" s="50">
        <f t="shared" si="492"/>
        <v>109.937</v>
      </c>
      <c r="AN83" s="48">
        <f t="shared" si="492"/>
        <v>105.14500000000001</v>
      </c>
      <c r="AO83" s="49">
        <f t="shared" si="492"/>
        <v>83.516330720111242</v>
      </c>
      <c r="AP83" s="49">
        <f t="shared" si="492"/>
        <v>91.808000000000007</v>
      </c>
      <c r="AQ83" s="50">
        <f t="shared" ref="AQ83:AV83" si="493">AQ68+AQ77</f>
        <v>103.50999999999999</v>
      </c>
      <c r="AR83" s="48">
        <f t="shared" si="493"/>
        <v>115.03600000000002</v>
      </c>
      <c r="AS83" s="49">
        <f t="shared" si="493"/>
        <v>98.299999999999969</v>
      </c>
      <c r="AT83" s="49">
        <f t="shared" si="493"/>
        <v>112.10000000000002</v>
      </c>
      <c r="AU83" s="50">
        <f t="shared" si="493"/>
        <v>130.60000000000002</v>
      </c>
      <c r="AV83" s="48">
        <f t="shared" si="493"/>
        <v>141.79999999999998</v>
      </c>
      <c r="AW83" s="49">
        <f t="shared" ref="AW83:BB83" si="494">AW68+AW77</f>
        <v>130.29999999999998</v>
      </c>
      <c r="AX83" s="49">
        <f t="shared" si="494"/>
        <v>179.09999999999997</v>
      </c>
      <c r="AY83" s="50">
        <f t="shared" si="494"/>
        <v>236.00000000000009</v>
      </c>
      <c r="AZ83" s="48">
        <f t="shared" si="494"/>
        <v>283</v>
      </c>
      <c r="BA83" s="49">
        <f t="shared" si="494"/>
        <v>259.8</v>
      </c>
      <c r="BB83" s="49">
        <f t="shared" si="494"/>
        <v>296.40000000000003</v>
      </c>
      <c r="BC83" s="50">
        <f t="shared" ref="BC83:BH83" si="495">BC68+BC77</f>
        <v>334.09999999999985</v>
      </c>
      <c r="BD83" s="48">
        <f t="shared" si="495"/>
        <v>366.09999999999997</v>
      </c>
      <c r="BE83" s="49">
        <f t="shared" si="495"/>
        <v>282.8</v>
      </c>
      <c r="BF83" s="49">
        <f t="shared" si="495"/>
        <v>272.60000000000002</v>
      </c>
      <c r="BG83" s="50">
        <f t="shared" si="495"/>
        <v>317.7</v>
      </c>
      <c r="BH83" s="48">
        <f t="shared" si="495"/>
        <v>353.49999999999994</v>
      </c>
      <c r="BI83" s="49">
        <f t="shared" ref="BI83:BS83" si="496">BI68+BI77</f>
        <v>312.7</v>
      </c>
      <c r="BJ83" s="49">
        <f t="shared" si="496"/>
        <v>335.09999999999991</v>
      </c>
      <c r="BK83" s="50">
        <f t="shared" si="496"/>
        <v>381.00000000000006</v>
      </c>
      <c r="BL83" s="48">
        <f t="shared" si="496"/>
        <v>416.10000000000014</v>
      </c>
      <c r="BM83" s="49">
        <f t="shared" si="496"/>
        <v>328.91862164000008</v>
      </c>
      <c r="BN83" s="49">
        <f t="shared" si="496"/>
        <v>315.62514260206979</v>
      </c>
      <c r="BO83" s="50">
        <f t="shared" si="496"/>
        <v>389.59591293334381</v>
      </c>
      <c r="BP83" s="48">
        <f t="shared" si="496"/>
        <v>408.10012096013537</v>
      </c>
      <c r="BQ83" s="49">
        <f t="shared" si="496"/>
        <v>365.21603102624186</v>
      </c>
      <c r="BR83" s="49">
        <f t="shared" si="496"/>
        <v>365.86296207133626</v>
      </c>
      <c r="BS83" s="50">
        <f t="shared" si="496"/>
        <v>397.1206474993005</v>
      </c>
      <c r="BT83" s="48">
        <f t="shared" ref="BT83:BW83" si="497">BT68+BT77</f>
        <v>416.01698738607223</v>
      </c>
      <c r="BU83" s="938">
        <f t="shared" si="497"/>
        <v>390.29361500308221</v>
      </c>
      <c r="BV83" s="938">
        <f t="shared" si="497"/>
        <v>396.32851396975445</v>
      </c>
      <c r="BW83" s="939">
        <f t="shared" si="497"/>
        <v>431.28005236213482</v>
      </c>
      <c r="BX83" s="108"/>
      <c r="BY83" s="940">
        <f>BY68+BY77</f>
        <v>-14.823000000000022</v>
      </c>
      <c r="BZ83" s="938">
        <f>BZ68+BZ77</f>
        <v>47.778999999999854</v>
      </c>
      <c r="CA83" s="938">
        <f>CA68+CA77</f>
        <v>44.608000000000068</v>
      </c>
      <c r="CB83" s="938">
        <f>CB68+CB77</f>
        <v>36.343700000000013</v>
      </c>
      <c r="CC83" s="938">
        <f>CC68+CC77</f>
        <v>79.087999999999894</v>
      </c>
      <c r="CD83" s="938">
        <f t="shared" ref="CD83:CJ83" si="498">CD68+CD77</f>
        <v>119.52100000000017</v>
      </c>
      <c r="CE83" s="938">
        <f t="shared" si="498"/>
        <v>119.04499999999997</v>
      </c>
      <c r="CF83" s="938">
        <f t="shared" si="498"/>
        <v>244.24499999999998</v>
      </c>
      <c r="CG83" s="938">
        <f t="shared" si="498"/>
        <v>384.58200000000011</v>
      </c>
      <c r="CH83" s="938">
        <f t="shared" si="498"/>
        <v>383.97933072011142</v>
      </c>
      <c r="CI83" s="939">
        <f t="shared" si="498"/>
        <v>456.036</v>
      </c>
      <c r="CJ83" s="940">
        <f t="shared" si="498"/>
        <v>687.20000000000016</v>
      </c>
      <c r="CK83" s="938">
        <f t="shared" ref="CK83:CP83" si="499">CK68+CK77</f>
        <v>1173.2999999999995</v>
      </c>
      <c r="CL83" s="938">
        <f t="shared" si="499"/>
        <v>1239.2000000000005</v>
      </c>
      <c r="CM83" s="938">
        <f t="shared" si="499"/>
        <v>1382.3</v>
      </c>
      <c r="CN83" s="938">
        <f t="shared" si="499"/>
        <v>1450.2396771754136</v>
      </c>
      <c r="CO83" s="938">
        <f t="shared" si="499"/>
        <v>1536.2997615570139</v>
      </c>
      <c r="CP83" s="939">
        <f t="shared" si="499"/>
        <v>1633.9191687210446</v>
      </c>
      <c r="CQ83" s="106"/>
      <c r="CR83" s="48">
        <f>CR68+CR77</f>
        <v>36.598000000000184</v>
      </c>
      <c r="CS83" s="49">
        <f>CS68+CS77</f>
        <v>45.777699999999925</v>
      </c>
      <c r="CT83" s="49">
        <f>CT68+CT77</f>
        <v>85.700999999999979</v>
      </c>
      <c r="CU83" s="49">
        <f t="shared" ref="CU83:CZ83" si="500">CU68+CU77</f>
        <v>119.98799999999999</v>
      </c>
      <c r="CV83" s="49">
        <f t="shared" si="500"/>
        <v>141.75699999999992</v>
      </c>
      <c r="CW83" s="49">
        <f t="shared" si="500"/>
        <v>285.20200000000011</v>
      </c>
      <c r="CX83" s="49">
        <f t="shared" si="500"/>
        <v>397.17000000000007</v>
      </c>
      <c r="CY83" s="49">
        <f t="shared" si="500"/>
        <v>393.87033072011133</v>
      </c>
      <c r="CZ83" s="49">
        <f t="shared" si="500"/>
        <v>482.80000000000007</v>
      </c>
      <c r="DA83" s="48">
        <f t="shared" ref="DA83:DF83" si="501">DA68+DA77</f>
        <v>828.39999999999975</v>
      </c>
      <c r="DB83" s="49">
        <f t="shared" si="501"/>
        <v>1256.3999999999994</v>
      </c>
      <c r="DC83" s="49">
        <f t="shared" si="501"/>
        <v>1226.6000000000001</v>
      </c>
      <c r="DD83" s="49">
        <f t="shared" si="501"/>
        <v>1444.8999999999999</v>
      </c>
      <c r="DE83" s="49">
        <f t="shared" si="501"/>
        <v>1442.2397981355489</v>
      </c>
      <c r="DF83" s="50">
        <f t="shared" si="501"/>
        <v>1544.2166279829507</v>
      </c>
      <c r="DG83" s="42"/>
      <c r="DH83" s="42"/>
      <c r="DI83" s="42"/>
      <c r="DJ83" s="42"/>
      <c r="DK83"/>
      <c r="DL83"/>
      <c r="DM83"/>
      <c r="DN83"/>
      <c r="DO83"/>
      <c r="DP83"/>
      <c r="DQ83" s="42"/>
      <c r="DR83" s="42"/>
    </row>
    <row r="84" spans="1:122" s="42" customFormat="1" ht="14.25" hidden="1" outlineLevel="1">
      <c r="B84" s="19" t="s">
        <v>39</v>
      </c>
      <c r="C84" s="34"/>
      <c r="D84" s="20">
        <f t="shared" ref="D84:AI84" si="502">D83/D10</f>
        <v>-7.4409778144000748E-3</v>
      </c>
      <c r="E84" s="21">
        <f t="shared" si="502"/>
        <v>1.8415901985206293E-2</v>
      </c>
      <c r="F84" s="21">
        <f t="shared" si="502"/>
        <v>-3.0306460096272136E-2</v>
      </c>
      <c r="G84" s="37">
        <f t="shared" si="502"/>
        <v>-7.9829636344246585E-2</v>
      </c>
      <c r="H84" s="21">
        <f t="shared" si="502"/>
        <v>3.5526646412499696E-2</v>
      </c>
      <c r="I84" s="21">
        <f t="shared" si="502"/>
        <v>4.3778035765870423E-2</v>
      </c>
      <c r="J84" s="21">
        <f t="shared" si="502"/>
        <v>7.4092112432912069E-2</v>
      </c>
      <c r="K84" s="37">
        <f t="shared" si="502"/>
        <v>8.3281743684280291E-2</v>
      </c>
      <c r="L84" s="21">
        <f t="shared" si="502"/>
        <v>9.6611555232558155E-2</v>
      </c>
      <c r="M84" s="21">
        <f t="shared" si="502"/>
        <v>-0.73625041435810024</v>
      </c>
      <c r="N84" s="21">
        <f t="shared" si="502"/>
        <v>5.3040745149635624E-2</v>
      </c>
      <c r="O84" s="37">
        <f t="shared" si="502"/>
        <v>0.33371138592626526</v>
      </c>
      <c r="P84" s="21">
        <f t="shared" si="502"/>
        <v>6.2392537501575647E-2</v>
      </c>
      <c r="Q84" s="21">
        <f t="shared" si="502"/>
        <v>2.8218361639871768E-2</v>
      </c>
      <c r="R84" s="21">
        <f t="shared" si="502"/>
        <v>4.3926153721239425E-2</v>
      </c>
      <c r="S84" s="37">
        <f>S83/S10</f>
        <v>5.0898971090623801E-2</v>
      </c>
      <c r="T84" s="21">
        <f t="shared" si="502"/>
        <v>0.11124827832474621</v>
      </c>
      <c r="U84" s="21">
        <f t="shared" si="502"/>
        <v>9.4151267965151803E-2</v>
      </c>
      <c r="V84" s="21">
        <f t="shared" si="502"/>
        <v>9.8187319802460676E-2</v>
      </c>
      <c r="W84" s="21">
        <f t="shared" si="502"/>
        <v>0.12136788935910987</v>
      </c>
      <c r="X84" s="20">
        <f t="shared" si="502"/>
        <v>0.13499546389402134</v>
      </c>
      <c r="Y84" s="21">
        <f t="shared" si="502"/>
        <v>0.12905288833363085</v>
      </c>
      <c r="Z84" s="21">
        <f t="shared" si="502"/>
        <v>0.138218484271177</v>
      </c>
      <c r="AA84" s="21">
        <f t="shared" si="502"/>
        <v>0.15188376632869846</v>
      </c>
      <c r="AB84" s="20">
        <f t="shared" si="502"/>
        <v>0.13741271381547659</v>
      </c>
      <c r="AC84" s="21">
        <f t="shared" si="502"/>
        <v>0.11792011098907457</v>
      </c>
      <c r="AD84" s="21">
        <f t="shared" si="502"/>
        <v>0.14462928775763154</v>
      </c>
      <c r="AE84" s="21">
        <f t="shared" si="502"/>
        <v>0.18454410772049462</v>
      </c>
      <c r="AF84" s="20">
        <f t="shared" si="502"/>
        <v>0.21049368111023176</v>
      </c>
      <c r="AG84" s="21">
        <f t="shared" si="502"/>
        <v>0.20174495291063516</v>
      </c>
      <c r="AH84" s="21">
        <f t="shared" si="502"/>
        <v>0.22940407451792127</v>
      </c>
      <c r="AI84" s="21">
        <f t="shared" si="502"/>
        <v>0.25997899662605395</v>
      </c>
      <c r="AJ84" s="20">
        <f t="shared" ref="AJ84:BO84" si="503">AJ83/AJ10</f>
        <v>0.27619061828598712</v>
      </c>
      <c r="AK84" s="21">
        <f t="shared" si="503"/>
        <v>0.26018173940032757</v>
      </c>
      <c r="AL84" s="21">
        <f t="shared" si="503"/>
        <v>0.27359966299234706</v>
      </c>
      <c r="AM84" s="37">
        <f t="shared" si="503"/>
        <v>0.27326032273138529</v>
      </c>
      <c r="AN84" s="20">
        <f t="shared" si="503"/>
        <v>0.26704170264641641</v>
      </c>
      <c r="AO84" s="21">
        <f t="shared" si="503"/>
        <v>0.22900636354194315</v>
      </c>
      <c r="AP84" s="21">
        <f t="shared" si="503"/>
        <v>0.23598723003922498</v>
      </c>
      <c r="AQ84" s="37">
        <f t="shared" si="503"/>
        <v>0.24580100828043777</v>
      </c>
      <c r="AR84" s="20">
        <f t="shared" si="503"/>
        <v>0.25353795156956999</v>
      </c>
      <c r="AS84" s="21">
        <f t="shared" si="503"/>
        <v>0.23118532455315138</v>
      </c>
      <c r="AT84" s="21">
        <f t="shared" si="503"/>
        <v>0.25705113506076593</v>
      </c>
      <c r="AU84" s="37">
        <f t="shared" si="503"/>
        <v>0.27379454926624741</v>
      </c>
      <c r="AV84" s="20">
        <f t="shared" si="503"/>
        <v>0.2806809184481393</v>
      </c>
      <c r="AW84" s="21">
        <f t="shared" si="503"/>
        <v>0.27089397089397088</v>
      </c>
      <c r="AX84" s="21">
        <f t="shared" si="503"/>
        <v>0.30511073253833043</v>
      </c>
      <c r="AY84" s="37">
        <f t="shared" si="503"/>
        <v>0.32859927596769711</v>
      </c>
      <c r="AZ84" s="20">
        <f t="shared" si="503"/>
        <v>0.35133457479826197</v>
      </c>
      <c r="BA84" s="21">
        <f t="shared" si="503"/>
        <v>0.34090014433801341</v>
      </c>
      <c r="BB84" s="21">
        <f t="shared" si="503"/>
        <v>0.36592592592592599</v>
      </c>
      <c r="BC84" s="37">
        <f t="shared" si="503"/>
        <v>0.37931425976385091</v>
      </c>
      <c r="BD84" s="20">
        <f t="shared" si="503"/>
        <v>0.39501510574018123</v>
      </c>
      <c r="BE84" s="21">
        <f t="shared" si="503"/>
        <v>0.36485614759385887</v>
      </c>
      <c r="BF84" s="21">
        <f t="shared" ref="BF84:BK84" si="504">BF83/BF10</f>
        <v>0.36264467207662632</v>
      </c>
      <c r="BG84" s="37">
        <f t="shared" si="504"/>
        <v>0.38029686377783095</v>
      </c>
      <c r="BH84" s="20">
        <f t="shared" si="504"/>
        <v>0.38663458383462757</v>
      </c>
      <c r="BI84" s="859">
        <f t="shared" si="504"/>
        <v>0.36714805682752139</v>
      </c>
      <c r="BJ84" s="859">
        <f t="shared" si="504"/>
        <v>0.37200266429840134</v>
      </c>
      <c r="BK84" s="885">
        <f t="shared" si="504"/>
        <v>0.38695917123705065</v>
      </c>
      <c r="BL84" s="880">
        <f t="shared" ref="BL84" si="505">BL83/BL10</f>
        <v>0.39556992109516126</v>
      </c>
      <c r="BM84" s="881">
        <f t="shared" si="503"/>
        <v>0.36436625410321904</v>
      </c>
      <c r="BN84" s="881">
        <f t="shared" si="503"/>
        <v>0.36357359106018511</v>
      </c>
      <c r="BO84" s="885">
        <f t="shared" si="503"/>
        <v>0.37765109479587566</v>
      </c>
      <c r="BP84" s="20">
        <f t="shared" ref="BP84:BW84" si="506">BP83/BP10</f>
        <v>0.37994191961190971</v>
      </c>
      <c r="BQ84" s="21">
        <f t="shared" si="506"/>
        <v>0.3734242356440623</v>
      </c>
      <c r="BR84" s="21">
        <f t="shared" si="506"/>
        <v>0.37397472145756172</v>
      </c>
      <c r="BS84" s="37">
        <f t="shared" si="506"/>
        <v>0.37738129324443376</v>
      </c>
      <c r="BT84" s="880">
        <f t="shared" si="506"/>
        <v>0.37933262091804232</v>
      </c>
      <c r="BU84" s="881">
        <f t="shared" si="506"/>
        <v>0.37631914706542802</v>
      </c>
      <c r="BV84" s="881">
        <f t="shared" si="506"/>
        <v>0.37722901251091023</v>
      </c>
      <c r="BW84" s="885">
        <f t="shared" si="506"/>
        <v>0.3796107326251163</v>
      </c>
      <c r="BX84" s="108"/>
      <c r="BY84" s="20">
        <f t="shared" ref="BY84:CN84" si="507">BY83/BY10</f>
        <v>-2.3993628892712598E-2</v>
      </c>
      <c r="BZ84" s="21">
        <f t="shared" si="507"/>
        <v>6.0940814236316865E-2</v>
      </c>
      <c r="CA84" s="21">
        <f t="shared" si="507"/>
        <v>5.6296860940140504E-2</v>
      </c>
      <c r="CB84" s="21">
        <f t="shared" si="507"/>
        <v>4.6667000518754796E-2</v>
      </c>
      <c r="CC84" s="21">
        <f t="shared" si="507"/>
        <v>0.10660929650103984</v>
      </c>
      <c r="CD84" s="21">
        <f t="shared" si="507"/>
        <v>0.13897515979335312</v>
      </c>
      <c r="CE84" s="21">
        <f t="shared" si="507"/>
        <v>0.14832844699013301</v>
      </c>
      <c r="CF84" s="21">
        <f t="shared" si="507"/>
        <v>0.22787258279850986</v>
      </c>
      <c r="CG84" s="21">
        <f t="shared" si="507"/>
        <v>0.27103815431715067</v>
      </c>
      <c r="CH84" s="21">
        <f t="shared" si="507"/>
        <v>0.24479407229853695</v>
      </c>
      <c r="CI84" s="37">
        <f t="shared" si="507"/>
        <v>0.25448110878041186</v>
      </c>
      <c r="CJ84" s="880">
        <f t="shared" si="507"/>
        <v>0.2999039888277909</v>
      </c>
      <c r="CK84" s="881">
        <f t="shared" si="507"/>
        <v>0.36008470414927563</v>
      </c>
      <c r="CL84" s="881">
        <f t="shared" si="507"/>
        <v>0.37677105503192471</v>
      </c>
      <c r="CM84" s="881">
        <f t="shared" si="507"/>
        <v>0.3785671249383798</v>
      </c>
      <c r="CN84" s="881">
        <f t="shared" si="507"/>
        <v>0.37625928214440896</v>
      </c>
      <c r="CO84" s="881">
        <f>CO83/CO10</f>
        <v>0.37629076268798672</v>
      </c>
      <c r="CP84" s="885">
        <f>CP83/CP10</f>
        <v>0.37817085025061942</v>
      </c>
      <c r="CQ84" s="107"/>
      <c r="CR84" s="20">
        <f t="shared" ref="CR84:DD84" si="508">CR83/CR10</f>
        <v>4.7496807417174776E-2</v>
      </c>
      <c r="CS84" s="21">
        <f t="shared" si="508"/>
        <v>5.8954427148731448E-2</v>
      </c>
      <c r="CT84" s="21">
        <f t="shared" si="508"/>
        <v>0.11330835378236585</v>
      </c>
      <c r="CU84" s="21">
        <f t="shared" si="508"/>
        <v>0.13956766917293231</v>
      </c>
      <c r="CV84" s="21">
        <f t="shared" si="508"/>
        <v>0.16926471694485995</v>
      </c>
      <c r="CW84" s="21">
        <f t="shared" si="508"/>
        <v>0.24547632142712678</v>
      </c>
      <c r="CX84" s="21">
        <f t="shared" si="508"/>
        <v>0.26880454159678718</v>
      </c>
      <c r="CY84" s="21">
        <f t="shared" si="508"/>
        <v>0.2418513062551495</v>
      </c>
      <c r="CZ84" s="21">
        <f t="shared" si="508"/>
        <v>0.26189313805261732</v>
      </c>
      <c r="DA84" s="880">
        <f t="shared" si="508"/>
        <v>0.31963576031176438</v>
      </c>
      <c r="DB84" s="881">
        <f t="shared" si="508"/>
        <v>0.37174897180223082</v>
      </c>
      <c r="DC84" s="881">
        <f t="shared" si="508"/>
        <v>0.37436288722722422</v>
      </c>
      <c r="DD84" s="881">
        <f t="shared" si="508"/>
        <v>0.38134072314594875</v>
      </c>
      <c r="DE84" s="881">
        <f>DE83/DE10</f>
        <v>0.37203975868777983</v>
      </c>
      <c r="DF84" s="885">
        <f>DF83/DF10</f>
        <v>0.37614808962359841</v>
      </c>
      <c r="DG84" s="45"/>
      <c r="DH84" s="45"/>
      <c r="DI84" s="45"/>
      <c r="DJ84" s="45"/>
      <c r="DK84"/>
      <c r="DL84"/>
      <c r="DM84"/>
      <c r="DN84"/>
      <c r="DO84"/>
      <c r="DP84"/>
      <c r="DQ84" s="45"/>
      <c r="DR84" s="45"/>
    </row>
    <row r="85" spans="1:122" s="45" customFormat="1" ht="15" hidden="1" outlineLevel="1">
      <c r="B85" s="46" t="s">
        <v>40</v>
      </c>
      <c r="C85" s="47"/>
      <c r="D85" s="48">
        <f t="shared" ref="D85:X85" si="509">D70+D79</f>
        <v>-1.1920000000000055</v>
      </c>
      <c r="E85" s="49">
        <f t="shared" si="509"/>
        <v>5.1330000000000027</v>
      </c>
      <c r="F85" s="49">
        <f t="shared" si="509"/>
        <v>-4.5519999999999792</v>
      </c>
      <c r="G85" s="50">
        <f t="shared" si="509"/>
        <v>-11.977000000000004</v>
      </c>
      <c r="H85" s="49">
        <f t="shared" si="509"/>
        <v>6.2209999999999965</v>
      </c>
      <c r="I85" s="49">
        <f t="shared" si="509"/>
        <v>8.0320000000000125</v>
      </c>
      <c r="J85" s="49">
        <f t="shared" si="509"/>
        <v>15.365000000000007</v>
      </c>
      <c r="K85" s="50">
        <f t="shared" si="509"/>
        <v>18.160999999999945</v>
      </c>
      <c r="L85" s="49">
        <f t="shared" si="509"/>
        <v>21.270000000000003</v>
      </c>
      <c r="M85" s="49">
        <f t="shared" si="509"/>
        <v>-78.623000000000005</v>
      </c>
      <c r="N85" s="49">
        <f t="shared" si="509"/>
        <v>10.159000000000011</v>
      </c>
      <c r="O85" s="50">
        <f t="shared" si="509"/>
        <v>91.801999999999992</v>
      </c>
      <c r="P85" s="49">
        <f t="shared" si="509"/>
        <v>9.3429999999999982</v>
      </c>
      <c r="Q85" s="49">
        <f t="shared" si="509"/>
        <v>1.6390000000000131</v>
      </c>
      <c r="R85" s="49">
        <f t="shared" si="509"/>
        <v>4.9859999999999962</v>
      </c>
      <c r="S85" s="50">
        <f>S70+S79</f>
        <v>11.194700000000006</v>
      </c>
      <c r="T85" s="49">
        <f t="shared" si="509"/>
        <v>19.782000000000004</v>
      </c>
      <c r="U85" s="49">
        <f t="shared" si="509"/>
        <v>12.922000000000017</v>
      </c>
      <c r="V85" s="49">
        <f t="shared" si="509"/>
        <v>13.553000000000004</v>
      </c>
      <c r="W85" s="49">
        <f t="shared" si="509"/>
        <v>19.093999999999902</v>
      </c>
      <c r="X85" s="48">
        <f t="shared" si="509"/>
        <v>23.413999999999987</v>
      </c>
      <c r="Y85" s="49">
        <f t="shared" ref="Y85:AJ85" si="510">Y70+Y79</f>
        <v>20.388000000000002</v>
      </c>
      <c r="Z85" s="49">
        <f t="shared" si="510"/>
        <v>23.634000000000007</v>
      </c>
      <c r="AA85" s="49">
        <f t="shared" si="510"/>
        <v>28.873000000000093</v>
      </c>
      <c r="AB85" s="48">
        <f t="shared" si="510"/>
        <v>22.299000000000007</v>
      </c>
      <c r="AC85" s="49">
        <f t="shared" si="510"/>
        <v>16.135000000000016</v>
      </c>
      <c r="AD85" s="49">
        <f t="shared" si="510"/>
        <v>22.186999999999987</v>
      </c>
      <c r="AE85" s="49">
        <f t="shared" si="510"/>
        <v>34.957999999999956</v>
      </c>
      <c r="AF85" s="48">
        <f t="shared" si="510"/>
        <v>43.515999999999991</v>
      </c>
      <c r="AG85" s="49">
        <f t="shared" si="510"/>
        <v>39.306999999999988</v>
      </c>
      <c r="AH85" s="49">
        <f t="shared" si="510"/>
        <v>53.735999999999997</v>
      </c>
      <c r="AI85" s="49">
        <f t="shared" si="510"/>
        <v>66.944000000000031</v>
      </c>
      <c r="AJ85" s="48">
        <f t="shared" si="510"/>
        <v>78.666000000000011</v>
      </c>
      <c r="AK85" s="49">
        <f t="shared" ref="AK85:AP85" si="511">AK70+AK79</f>
        <v>69.506</v>
      </c>
      <c r="AL85" s="49">
        <f t="shared" si="511"/>
        <v>79.195999999999984</v>
      </c>
      <c r="AM85" s="50">
        <f t="shared" si="511"/>
        <v>91.59</v>
      </c>
      <c r="AN85" s="48">
        <f t="shared" si="511"/>
        <v>82.045000000000016</v>
      </c>
      <c r="AO85" s="49">
        <f t="shared" si="511"/>
        <v>61.554999999999993</v>
      </c>
      <c r="AP85" s="49">
        <f t="shared" si="511"/>
        <v>72.527000000000001</v>
      </c>
      <c r="AQ85" s="50">
        <f t="shared" ref="AQ85:AV85" si="512">AQ70+AQ79</f>
        <v>83.86099999999999</v>
      </c>
      <c r="AR85" s="48">
        <f t="shared" si="512"/>
        <v>96.65300000000002</v>
      </c>
      <c r="AS85" s="49">
        <f t="shared" si="512"/>
        <v>79.299999999999983</v>
      </c>
      <c r="AT85" s="49">
        <f t="shared" si="512"/>
        <v>92.800000000000011</v>
      </c>
      <c r="AU85" s="50">
        <f t="shared" si="512"/>
        <v>112.50000000000001</v>
      </c>
      <c r="AV85" s="48">
        <f t="shared" si="512"/>
        <v>122.5</v>
      </c>
      <c r="AW85" s="49">
        <f t="shared" ref="AW85:BB85" si="513">AW70+AW79</f>
        <v>108.79999999999998</v>
      </c>
      <c r="AX85" s="49">
        <f t="shared" si="513"/>
        <v>154.19999999999999</v>
      </c>
      <c r="AY85" s="50">
        <f t="shared" si="513"/>
        <v>210.80000000000007</v>
      </c>
      <c r="AZ85" s="48">
        <f t="shared" si="513"/>
        <v>261.10000000000002</v>
      </c>
      <c r="BA85" s="49">
        <f t="shared" si="513"/>
        <v>230.20000000000005</v>
      </c>
      <c r="BB85" s="49">
        <f t="shared" si="513"/>
        <v>268.70000000000005</v>
      </c>
      <c r="BC85" s="50">
        <f t="shared" ref="BC85:BH85" si="514">BC70+BC79</f>
        <v>307.59999999999991</v>
      </c>
      <c r="BD85" s="48">
        <f t="shared" si="514"/>
        <v>342.79999999999995</v>
      </c>
      <c r="BE85" s="49">
        <f>BE70+BE79</f>
        <v>264.40000000000003</v>
      </c>
      <c r="BF85" s="49">
        <f t="shared" si="514"/>
        <v>253.20000000000007</v>
      </c>
      <c r="BG85" s="50">
        <f t="shared" si="514"/>
        <v>297.5</v>
      </c>
      <c r="BH85" s="48">
        <f t="shared" si="514"/>
        <v>331.9</v>
      </c>
      <c r="BI85" s="49">
        <f t="shared" ref="BI85:BS85" si="515">BI70+BI79</f>
        <v>288.40000000000003</v>
      </c>
      <c r="BJ85" s="49">
        <f t="shared" si="515"/>
        <v>314.09999999999997</v>
      </c>
      <c r="BK85" s="50">
        <f t="shared" si="515"/>
        <v>352.50000000000006</v>
      </c>
      <c r="BL85" s="48">
        <f t="shared" si="515"/>
        <v>390.30000000000007</v>
      </c>
      <c r="BM85" s="49">
        <f t="shared" si="515"/>
        <v>303.41862164000008</v>
      </c>
      <c r="BN85" s="49">
        <f t="shared" si="515"/>
        <v>290.12514260206979</v>
      </c>
      <c r="BO85" s="50">
        <f t="shared" si="515"/>
        <v>364.09591293334381</v>
      </c>
      <c r="BP85" s="48">
        <f t="shared" si="515"/>
        <v>382.60012096013537</v>
      </c>
      <c r="BQ85" s="49">
        <f t="shared" si="515"/>
        <v>339.71603102624186</v>
      </c>
      <c r="BR85" s="49">
        <f t="shared" si="515"/>
        <v>340.36296207133626</v>
      </c>
      <c r="BS85" s="50">
        <f t="shared" si="515"/>
        <v>371.6206474993005</v>
      </c>
      <c r="BT85" s="48">
        <f t="shared" ref="BT85:BW85" si="516">BT70+BT79</f>
        <v>390.51698738607223</v>
      </c>
      <c r="BU85" s="938">
        <f t="shared" si="516"/>
        <v>364.79361500308221</v>
      </c>
      <c r="BV85" s="938">
        <f t="shared" si="516"/>
        <v>370.82851396975445</v>
      </c>
      <c r="BW85" s="939">
        <f t="shared" si="516"/>
        <v>405.78005236213482</v>
      </c>
      <c r="BX85" s="108"/>
      <c r="BY85" s="940">
        <f>BY70+BY79</f>
        <v>-12.588000000000008</v>
      </c>
      <c r="BZ85" s="938">
        <f>BZ70+BZ79</f>
        <v>47.778999999999854</v>
      </c>
      <c r="CA85" s="938">
        <f>CA70+CA79</f>
        <v>44.608000000000068</v>
      </c>
      <c r="CB85" s="938">
        <f>CB70+CB79</f>
        <v>27.162700000000029</v>
      </c>
      <c r="CC85" s="938">
        <f>CC70+CC79</f>
        <v>65.3509999999999</v>
      </c>
      <c r="CD85" s="938">
        <f t="shared" ref="CD85:CM85" si="517">CD70+CD79</f>
        <v>96.309000000000125</v>
      </c>
      <c r="CE85" s="938">
        <f t="shared" si="517"/>
        <v>95.578999999999965</v>
      </c>
      <c r="CF85" s="938">
        <f t="shared" si="517"/>
        <v>203.50299999999999</v>
      </c>
      <c r="CG85" s="938">
        <f t="shared" si="517"/>
        <v>318.95800000000008</v>
      </c>
      <c r="CH85" s="938">
        <f t="shared" si="517"/>
        <v>299.98800000000017</v>
      </c>
      <c r="CI85" s="939">
        <f t="shared" si="517"/>
        <v>381.25299999999999</v>
      </c>
      <c r="CJ85" s="940">
        <f t="shared" si="517"/>
        <v>596.30000000000018</v>
      </c>
      <c r="CK85" s="938">
        <f>CK70+CK79</f>
        <v>1067.5999999999995</v>
      </c>
      <c r="CL85" s="938">
        <f t="shared" si="517"/>
        <v>1157.9000000000005</v>
      </c>
      <c r="CM85" s="938">
        <f t="shared" si="517"/>
        <v>1286.8999999999999</v>
      </c>
      <c r="CN85" s="938">
        <f>CN70+CN79</f>
        <v>1347.9396771754136</v>
      </c>
      <c r="CO85" s="938">
        <f>CO70+CO79</f>
        <v>1434.2997615570139</v>
      </c>
      <c r="CP85" s="939">
        <f>CP70+CP79</f>
        <v>1531.9191687210446</v>
      </c>
      <c r="CQ85" s="106"/>
      <c r="CR85" s="48">
        <f>CR70+CR79</f>
        <v>32.681000000000154</v>
      </c>
      <c r="CS85" s="49">
        <f>CS70+CS79</f>
        <v>32.563699999999955</v>
      </c>
      <c r="CT85" s="49">
        <f>CT70+CT79</f>
        <v>68.98299999999999</v>
      </c>
      <c r="CU85" s="49">
        <f t="shared" ref="CU85:DD85" si="518">CU70+CU79</f>
        <v>95.194000000000003</v>
      </c>
      <c r="CV85" s="49">
        <f t="shared" si="518"/>
        <v>116.79599999999994</v>
      </c>
      <c r="CW85" s="49">
        <f t="shared" si="518"/>
        <v>238.65300000000008</v>
      </c>
      <c r="CX85" s="49">
        <f t="shared" si="518"/>
        <v>322.33700000000005</v>
      </c>
      <c r="CY85" s="49">
        <f t="shared" si="518"/>
        <v>314.59600000000006</v>
      </c>
      <c r="CZ85" s="49">
        <f t="shared" si="518"/>
        <v>407.10000000000008</v>
      </c>
      <c r="DA85" s="48">
        <f t="shared" si="518"/>
        <v>734.89999999999975</v>
      </c>
      <c r="DB85" s="49">
        <f>DB70+DB79</f>
        <v>1149.2999999999995</v>
      </c>
      <c r="DC85" s="49">
        <f>DC70+DC79</f>
        <v>1147.0000000000002</v>
      </c>
      <c r="DD85" s="49">
        <f t="shared" si="518"/>
        <v>1345.2999999999997</v>
      </c>
      <c r="DE85" s="49">
        <f>DE70+DE79</f>
        <v>1340.2397981355489</v>
      </c>
      <c r="DF85" s="50">
        <f>DF70+DF79</f>
        <v>1442.2166279829507</v>
      </c>
      <c r="DG85" s="42"/>
      <c r="DH85" s="42"/>
      <c r="DI85" s="42"/>
      <c r="DJ85" s="42"/>
      <c r="DK85"/>
      <c r="DL85"/>
      <c r="DM85"/>
      <c r="DN85"/>
      <c r="DO85"/>
      <c r="DP85"/>
      <c r="DQ85" s="42"/>
      <c r="DR85" s="42"/>
    </row>
    <row r="86" spans="1:122" s="42" customFormat="1" ht="14.25" hidden="1" outlineLevel="1">
      <c r="B86" s="19" t="s">
        <v>39</v>
      </c>
      <c r="C86" s="34"/>
      <c r="D86" s="20">
        <f t="shared" ref="D86:AI86" si="519">D85/D10</f>
        <v>-7.4409778144000748E-3</v>
      </c>
      <c r="E86" s="21">
        <f t="shared" si="519"/>
        <v>3.2618642129076551E-2</v>
      </c>
      <c r="F86" s="21">
        <f t="shared" si="519"/>
        <v>-3.0306460096272136E-2</v>
      </c>
      <c r="G86" s="37">
        <f t="shared" si="519"/>
        <v>-7.9829636344246585E-2</v>
      </c>
      <c r="H86" s="21">
        <f t="shared" si="519"/>
        <v>3.5526646412499696E-2</v>
      </c>
      <c r="I86" s="21">
        <f t="shared" si="519"/>
        <v>4.3778035765870423E-2</v>
      </c>
      <c r="J86" s="21">
        <f t="shared" si="519"/>
        <v>7.4092112432912069E-2</v>
      </c>
      <c r="K86" s="37">
        <f t="shared" si="519"/>
        <v>8.3281743684280291E-2</v>
      </c>
      <c r="L86" s="21">
        <f t="shared" si="519"/>
        <v>9.6611555232558155E-2</v>
      </c>
      <c r="M86" s="21">
        <f t="shared" si="519"/>
        <v>-0.74464175782544872</v>
      </c>
      <c r="N86" s="21">
        <f t="shared" si="519"/>
        <v>5.3040745149635624E-2</v>
      </c>
      <c r="O86" s="37">
        <f t="shared" si="519"/>
        <v>0.33371138592626526</v>
      </c>
      <c r="P86" s="21">
        <f t="shared" si="519"/>
        <v>4.7109542417748639E-2</v>
      </c>
      <c r="Q86" s="21">
        <f t="shared" si="519"/>
        <v>8.8482675966615899E-3</v>
      </c>
      <c r="R86" s="21">
        <f t="shared" si="519"/>
        <v>2.530219529275643E-2</v>
      </c>
      <c r="S86" s="37">
        <f>S85/S10</f>
        <v>5.6490101982631193E-2</v>
      </c>
      <c r="T86" s="21">
        <f t="shared" si="519"/>
        <v>0.10091312554200889</v>
      </c>
      <c r="U86" s="21">
        <f t="shared" si="519"/>
        <v>7.1705232783974338E-2</v>
      </c>
      <c r="V86" s="21">
        <f t="shared" si="519"/>
        <v>7.7377180211812419E-2</v>
      </c>
      <c r="W86" s="21">
        <f t="shared" si="519"/>
        <v>0.10025517972843789</v>
      </c>
      <c r="X86" s="20">
        <f t="shared" si="519"/>
        <v>0.11121296898823457</v>
      </c>
      <c r="Y86" s="21">
        <f t="shared" si="519"/>
        <v>0.1010768040930454</v>
      </c>
      <c r="Z86" s="21">
        <f t="shared" si="519"/>
        <v>0.10981831699270483</v>
      </c>
      <c r="AA86" s="21">
        <f t="shared" si="519"/>
        <v>0.12414970374001395</v>
      </c>
      <c r="AB86" s="20">
        <f t="shared" si="519"/>
        <v>0.10607055197214456</v>
      </c>
      <c r="AC86" s="21">
        <f t="shared" si="519"/>
        <v>9.327128735765082E-2</v>
      </c>
      <c r="AD86" s="21">
        <f t="shared" si="519"/>
        <v>0.11603290571247764</v>
      </c>
      <c r="AE86" s="21">
        <f t="shared" si="519"/>
        <v>0.1532264427165059</v>
      </c>
      <c r="AF86" s="20">
        <f t="shared" si="519"/>
        <v>0.17751633773629544</v>
      </c>
      <c r="AG86" s="21">
        <f t="shared" si="519"/>
        <v>0.16511522402103684</v>
      </c>
      <c r="AH86" s="21">
        <f t="shared" si="519"/>
        <v>0.19514108290663471</v>
      </c>
      <c r="AI86" s="21">
        <f t="shared" si="519"/>
        <v>0.21368538988709906</v>
      </c>
      <c r="AJ86" s="20">
        <f t="shared" ref="AJ86:BO86" si="520">AJ85/AJ10</f>
        <v>0.23473979470040585</v>
      </c>
      <c r="AK86" s="21">
        <f t="shared" si="520"/>
        <v>0.21359450049322243</v>
      </c>
      <c r="AL86" s="21">
        <f t="shared" si="520"/>
        <v>0.22241381731376814</v>
      </c>
      <c r="AM86" s="37">
        <f t="shared" si="520"/>
        <v>0.22765686674156635</v>
      </c>
      <c r="AN86" s="20">
        <f t="shared" si="520"/>
        <v>0.20837354599481894</v>
      </c>
      <c r="AO86" s="21">
        <f t="shared" si="520"/>
        <v>0.16878718911952614</v>
      </c>
      <c r="AP86" s="21">
        <f t="shared" si="520"/>
        <v>0.18642651874624072</v>
      </c>
      <c r="AQ86" s="37">
        <f t="shared" si="520"/>
        <v>0.19914132311279867</v>
      </c>
      <c r="AR86" s="20">
        <f t="shared" si="520"/>
        <v>0.21302204208294492</v>
      </c>
      <c r="AS86" s="21">
        <f t="shared" si="520"/>
        <v>0.18650047036688613</v>
      </c>
      <c r="AT86" s="21">
        <f t="shared" si="520"/>
        <v>0.21279523045173127</v>
      </c>
      <c r="AU86" s="37">
        <f t="shared" si="520"/>
        <v>0.23584905660377362</v>
      </c>
      <c r="AV86" s="20">
        <f t="shared" si="520"/>
        <v>0.2424782264449723</v>
      </c>
      <c r="AW86" s="21">
        <f t="shared" si="520"/>
        <v>0.22619542619542615</v>
      </c>
      <c r="AX86" s="21">
        <f t="shared" si="520"/>
        <v>0.26269165247018739</v>
      </c>
      <c r="AY86" s="37">
        <f t="shared" si="520"/>
        <v>0.2935115566694515</v>
      </c>
      <c r="AZ86" s="20">
        <f t="shared" si="520"/>
        <v>0.32414649286157671</v>
      </c>
      <c r="BA86" s="21">
        <f t="shared" si="520"/>
        <v>0.30206009710011816</v>
      </c>
      <c r="BB86" s="21">
        <f t="shared" si="520"/>
        <v>0.33172839506172846</v>
      </c>
      <c r="BC86" s="37">
        <f t="shared" si="520"/>
        <v>0.34922797456857396</v>
      </c>
      <c r="BD86" s="20">
        <f t="shared" si="520"/>
        <v>0.36987483815278371</v>
      </c>
      <c r="BE86" s="21">
        <f t="shared" si="520"/>
        <v>0.34111727519029805</v>
      </c>
      <c r="BF86" s="21">
        <f t="shared" ref="BF86:BK86" si="521">BF85/BF10</f>
        <v>0.33683650392443804</v>
      </c>
      <c r="BG86" s="37">
        <f t="shared" si="521"/>
        <v>0.35611683026095287</v>
      </c>
      <c r="BH86" s="20">
        <f t="shared" si="521"/>
        <v>0.36300995296948485</v>
      </c>
      <c r="BI86" s="859">
        <f t="shared" si="521"/>
        <v>0.33861688387930022</v>
      </c>
      <c r="BJ86" s="859">
        <f t="shared" si="521"/>
        <v>0.34869005328596803</v>
      </c>
      <c r="BK86" s="885">
        <f t="shared" si="521"/>
        <v>0.35801340645947599</v>
      </c>
      <c r="BL86" s="880">
        <f t="shared" ref="BL86" si="522">BL85/BL10</f>
        <v>0.37104287479798465</v>
      </c>
      <c r="BM86" s="881">
        <f t="shared" si="520"/>
        <v>0.3361181134740715</v>
      </c>
      <c r="BN86" s="881">
        <f t="shared" si="520"/>
        <v>0.33419973796470004</v>
      </c>
      <c r="BO86" s="885">
        <f t="shared" si="520"/>
        <v>0.35293291219280909</v>
      </c>
      <c r="BP86" s="20">
        <f t="shared" ref="BP86:BW86" si="523">BP85/BP10</f>
        <v>0.35620137543537395</v>
      </c>
      <c r="BQ86" s="21">
        <f t="shared" si="523"/>
        <v>0.34735112493704795</v>
      </c>
      <c r="BR86" s="21">
        <f t="shared" si="523"/>
        <v>0.34790934620564318</v>
      </c>
      <c r="BS86" s="37">
        <f t="shared" si="523"/>
        <v>0.35314880108284197</v>
      </c>
      <c r="BT86" s="880">
        <f t="shared" si="523"/>
        <v>0.3560812102143891</v>
      </c>
      <c r="BU86" s="881">
        <f t="shared" si="523"/>
        <v>0.35173217489553327</v>
      </c>
      <c r="BV86" s="881">
        <f t="shared" si="523"/>
        <v>0.35295788520119997</v>
      </c>
      <c r="BW86" s="885">
        <f t="shared" si="523"/>
        <v>0.35716574907226617</v>
      </c>
      <c r="BX86" s="108"/>
      <c r="BY86" s="20">
        <f t="shared" ref="BY86:CN86" si="524">BY85/BY10</f>
        <v>-2.0375888855256419E-2</v>
      </c>
      <c r="BZ86" s="21">
        <f t="shared" si="524"/>
        <v>6.0940814236316865E-2</v>
      </c>
      <c r="CA86" s="21">
        <f t="shared" si="524"/>
        <v>5.6296860940140504E-2</v>
      </c>
      <c r="CB86" s="21">
        <f t="shared" si="524"/>
        <v>3.4878169668767403E-2</v>
      </c>
      <c r="CC86" s="21">
        <f t="shared" si="524"/>
        <v>8.8092051077779857E-2</v>
      </c>
      <c r="CD86" s="21">
        <f t="shared" si="524"/>
        <v>0.11198499564543506</v>
      </c>
      <c r="CE86" s="21">
        <f t="shared" si="524"/>
        <v>0.11909013091578748</v>
      </c>
      <c r="CF86" s="21">
        <f t="shared" si="524"/>
        <v>0.18986163162908207</v>
      </c>
      <c r="CG86" s="21">
        <f t="shared" si="524"/>
        <v>0.22478895950587846</v>
      </c>
      <c r="CH86" s="21">
        <f t="shared" si="524"/>
        <v>0.19124801333179489</v>
      </c>
      <c r="CI86" s="37">
        <f t="shared" si="524"/>
        <v>0.2127500595695479</v>
      </c>
      <c r="CJ86" s="880">
        <f t="shared" si="524"/>
        <v>0.26023391812865504</v>
      </c>
      <c r="CK86" s="881">
        <f t="shared" si="524"/>
        <v>0.32764547016940815</v>
      </c>
      <c r="CL86" s="881">
        <f t="shared" si="524"/>
        <v>0.3520522955305565</v>
      </c>
      <c r="CM86" s="881">
        <f t="shared" si="524"/>
        <v>0.35244015993865363</v>
      </c>
      <c r="CN86" s="881">
        <f t="shared" si="524"/>
        <v>0.34971792820880199</v>
      </c>
      <c r="CO86" s="881">
        <f>CO85/CO10</f>
        <v>0.3513075798778329</v>
      </c>
      <c r="CP86" s="885">
        <f>CP85/CP10</f>
        <v>0.35456293410397388</v>
      </c>
      <c r="CQ86" s="107"/>
      <c r="CR86" s="20">
        <f t="shared" ref="CR86:DD86" si="525">CR85/CR10</f>
        <v>4.2413333056469979E-2</v>
      </c>
      <c r="CS86" s="21">
        <f t="shared" si="525"/>
        <v>4.1936888033761999E-2</v>
      </c>
      <c r="CT86" s="21">
        <f t="shared" si="525"/>
        <v>9.1204888729057354E-2</v>
      </c>
      <c r="CU86" s="21">
        <f t="shared" si="525"/>
        <v>0.11072777860492816</v>
      </c>
      <c r="CV86" s="21">
        <f t="shared" si="525"/>
        <v>0.13946007520116724</v>
      </c>
      <c r="CW86" s="21">
        <f t="shared" si="525"/>
        <v>0.20541111400883613</v>
      </c>
      <c r="CX86" s="21">
        <f t="shared" si="525"/>
        <v>0.21815758875213026</v>
      </c>
      <c r="CY86" s="21">
        <f t="shared" si="525"/>
        <v>0.1931738636000796</v>
      </c>
      <c r="CZ86" s="21">
        <f t="shared" si="525"/>
        <v>0.22082994304312453</v>
      </c>
      <c r="DA86" s="880">
        <f t="shared" si="525"/>
        <v>0.28355905390284364</v>
      </c>
      <c r="DB86" s="881">
        <f t="shared" si="525"/>
        <v>0.34005976861851633</v>
      </c>
      <c r="DC86" s="881">
        <f t="shared" si="525"/>
        <v>0.35006867083778431</v>
      </c>
      <c r="DD86" s="881">
        <f t="shared" si="525"/>
        <v>0.3550541039852203</v>
      </c>
      <c r="DE86" s="881">
        <f>DE85/DE10</f>
        <v>0.34572786836606584</v>
      </c>
      <c r="DF86" s="885">
        <f>DF85/DF10</f>
        <v>0.35130241418768371</v>
      </c>
      <c r="DG86" s="7"/>
      <c r="DH86" s="7"/>
      <c r="DI86" s="7"/>
      <c r="DJ86" s="7"/>
      <c r="DK86"/>
      <c r="DL86"/>
      <c r="DM86"/>
      <c r="DN86"/>
      <c r="DO86"/>
      <c r="DP86"/>
      <c r="DQ86" s="7"/>
      <c r="DR86" s="7"/>
    </row>
    <row r="87" spans="1:122" s="7" customFormat="1" ht="14.25" collapsed="1">
      <c r="A87" s="505"/>
      <c r="B87" s="14"/>
      <c r="C87" s="24"/>
      <c r="D87" s="39"/>
      <c r="E87" s="39"/>
      <c r="F87" s="39"/>
      <c r="G87" s="40"/>
      <c r="H87" s="39"/>
      <c r="I87" s="39"/>
      <c r="J87" s="39"/>
      <c r="K87" s="40"/>
      <c r="L87" s="39"/>
      <c r="M87" s="39"/>
      <c r="N87" s="39"/>
      <c r="O87" s="40"/>
      <c r="P87" s="39"/>
      <c r="Q87" s="39"/>
      <c r="R87" s="39"/>
      <c r="S87" s="40"/>
      <c r="T87" s="39"/>
      <c r="U87" s="39"/>
      <c r="V87" s="39"/>
      <c r="W87" s="40"/>
      <c r="X87" s="39"/>
      <c r="Y87" s="39"/>
      <c r="Z87" s="39"/>
      <c r="AA87" s="40"/>
      <c r="AB87" s="38"/>
      <c r="AC87" s="39"/>
      <c r="AD87" s="39"/>
      <c r="AE87" s="40"/>
      <c r="AF87" s="39"/>
      <c r="AG87" s="39"/>
      <c r="AH87" s="39"/>
      <c r="AI87" s="40"/>
      <c r="AJ87" s="39"/>
      <c r="AK87" s="39"/>
      <c r="AL87" s="39"/>
      <c r="AM87" s="40"/>
      <c r="AN87" s="39"/>
      <c r="AO87" s="39"/>
      <c r="AP87" s="39"/>
      <c r="AQ87" s="40"/>
      <c r="AR87" s="39"/>
      <c r="AS87" s="39"/>
      <c r="AT87" s="39"/>
      <c r="AU87" s="40"/>
      <c r="AV87" s="39"/>
      <c r="AW87" s="39"/>
      <c r="AX87" s="39"/>
      <c r="AY87" s="40"/>
      <c r="AZ87" s="39"/>
      <c r="BA87" s="39"/>
      <c r="BB87" s="39"/>
      <c r="BC87" s="40"/>
      <c r="BD87" s="39"/>
      <c r="BE87" s="39"/>
      <c r="BF87" s="39"/>
      <c r="BG87" s="40"/>
      <c r="BH87" s="39"/>
      <c r="BI87" s="39"/>
      <c r="BJ87" s="39"/>
      <c r="BK87" s="40"/>
      <c r="BL87" s="39"/>
      <c r="BM87" s="39"/>
      <c r="BN87" s="39"/>
      <c r="BO87" s="40"/>
      <c r="BP87" s="38"/>
      <c r="BQ87" s="39"/>
      <c r="BR87" s="39"/>
      <c r="BS87" s="40"/>
      <c r="BT87" s="38"/>
      <c r="BU87" s="39"/>
      <c r="BV87" s="39"/>
      <c r="BW87" s="40"/>
      <c r="BX87" s="108"/>
      <c r="BY87" s="56"/>
      <c r="BZ87" s="57"/>
      <c r="CA87" s="57"/>
      <c r="CB87" s="57"/>
      <c r="CC87" s="57"/>
      <c r="CD87" s="57"/>
      <c r="CE87" s="57"/>
      <c r="CF87" s="57"/>
      <c r="CG87" s="57"/>
      <c r="CH87" s="57"/>
      <c r="CI87" s="58"/>
      <c r="CJ87" s="56"/>
      <c r="CK87" s="57"/>
      <c r="CL87" s="57"/>
      <c r="CM87" s="57"/>
      <c r="CN87" s="57"/>
      <c r="CO87" s="57"/>
      <c r="CP87" s="58"/>
      <c r="CQ87" s="108"/>
      <c r="CR87" s="56"/>
      <c r="CS87" s="57"/>
      <c r="CT87" s="57"/>
      <c r="CU87" s="57"/>
      <c r="CV87" s="57"/>
      <c r="CW87" s="57"/>
      <c r="CX87" s="57"/>
      <c r="CY87" s="57"/>
      <c r="CZ87" s="57"/>
      <c r="DA87" s="56"/>
      <c r="DB87" s="57"/>
      <c r="DC87" s="57"/>
      <c r="DD87" s="57"/>
      <c r="DE87" s="57"/>
      <c r="DF87" s="58"/>
      <c r="DK87"/>
      <c r="DL87"/>
      <c r="DM87"/>
      <c r="DN87"/>
      <c r="DO87"/>
      <c r="DP87"/>
    </row>
    <row r="88" spans="1:122" s="7" customFormat="1" ht="14.25">
      <c r="A88" s="505"/>
      <c r="B88" s="14" t="s">
        <v>256</v>
      </c>
      <c r="C88" s="24"/>
      <c r="D88" s="27">
        <v>0.73799999999999999</v>
      </c>
      <c r="E88" s="28">
        <v>0.60099999999999998</v>
      </c>
      <c r="F88" s="28">
        <v>0.26300000000000001</v>
      </c>
      <c r="G88" s="54">
        <f>0.652-F88-E88-D88</f>
        <v>-0.95</v>
      </c>
      <c r="H88" s="27">
        <v>1.28</v>
      </c>
      <c r="I88" s="28">
        <v>-4.9000000000000002E-2</v>
      </c>
      <c r="J88" s="28">
        <v>1.5669999999999999</v>
      </c>
      <c r="K88" s="54">
        <f>3.984-J88-I88-H88</f>
        <v>1.1859999999999997</v>
      </c>
      <c r="L88" s="28">
        <v>6.6159999999999997</v>
      </c>
      <c r="M88" s="28">
        <v>4.508</v>
      </c>
      <c r="N88" s="28">
        <v>2.234</v>
      </c>
      <c r="O88" s="54">
        <f>15.378-N88-M88-L88</f>
        <v>2.0199999999999996</v>
      </c>
      <c r="P88" s="28">
        <v>2.7240000000000002</v>
      </c>
      <c r="Q88" s="28">
        <v>-0.39500000000000002</v>
      </c>
      <c r="R88" s="28">
        <v>1.4450000000000001</v>
      </c>
      <c r="S88" s="54">
        <f>15.378-R88-Q88-P88</f>
        <v>11.603999999999999</v>
      </c>
      <c r="T88" s="28">
        <v>1.736</v>
      </c>
      <c r="U88" s="28">
        <v>-0.375</v>
      </c>
      <c r="V88" s="28">
        <v>1.194</v>
      </c>
      <c r="W88" s="54">
        <f>-0.88-V88-U88-T88</f>
        <v>-3.4349999999999996</v>
      </c>
      <c r="X88" s="27">
        <v>1.7889999999999999</v>
      </c>
      <c r="Y88" s="28">
        <v>2.0099999999999998</v>
      </c>
      <c r="Z88" s="28">
        <v>1.7370000000000001</v>
      </c>
      <c r="AA88" s="54">
        <f>-28.818-Z88-Y88-X88</f>
        <v>-34.353999999999999</v>
      </c>
      <c r="AB88" s="27">
        <v>1.2470000000000001</v>
      </c>
      <c r="AC88" s="28">
        <v>2.5000000000000001E-2</v>
      </c>
      <c r="AD88" s="28">
        <v>0.75</v>
      </c>
      <c r="AE88" s="54">
        <f>-25.227-AD88-AC88-AB88</f>
        <v>-27.248999999999999</v>
      </c>
      <c r="AF88" s="28">
        <v>12.792</v>
      </c>
      <c r="AG88" s="28">
        <v>9.1039999999999992</v>
      </c>
      <c r="AH88" s="28">
        <v>17.933</v>
      </c>
      <c r="AI88" s="54">
        <f>57.78-AH88-AG88-AF88</f>
        <v>17.951000000000001</v>
      </c>
      <c r="AJ88" s="28">
        <v>15.868</v>
      </c>
      <c r="AK88" s="28">
        <v>17.524999999999999</v>
      </c>
      <c r="AL88" s="28">
        <v>20.210999999999999</v>
      </c>
      <c r="AM88" s="53">
        <v>13.696999999999999</v>
      </c>
      <c r="AN88" s="28">
        <v>17.536000000000001</v>
      </c>
      <c r="AO88" s="28">
        <v>9.4269999999999996</v>
      </c>
      <c r="AP88" s="28">
        <v>12.813000000000001</v>
      </c>
      <c r="AQ88" s="53">
        <v>13.122</v>
      </c>
      <c r="AR88" s="28">
        <v>20.349</v>
      </c>
      <c r="AS88" s="28">
        <v>5.6</v>
      </c>
      <c r="AT88" s="28">
        <v>18.8</v>
      </c>
      <c r="AU88" s="53">
        <v>21.6</v>
      </c>
      <c r="AV88" s="28">
        <v>21.5</v>
      </c>
      <c r="AW88" s="28">
        <v>25.6</v>
      </c>
      <c r="AX88" s="28">
        <v>37.1</v>
      </c>
      <c r="AY88" s="53">
        <v>23.3</v>
      </c>
      <c r="AZ88" s="28">
        <v>52.3</v>
      </c>
      <c r="BA88" s="28">
        <v>54</v>
      </c>
      <c r="BB88" s="28">
        <v>52</v>
      </c>
      <c r="BC88" s="53">
        <v>67</v>
      </c>
      <c r="BD88" s="28">
        <v>62.9</v>
      </c>
      <c r="BE88" s="28">
        <v>47</v>
      </c>
      <c r="BF88" s="28">
        <v>51.2</v>
      </c>
      <c r="BG88" s="53">
        <v>44.3</v>
      </c>
      <c r="BH88" s="28">
        <v>63.3</v>
      </c>
      <c r="BI88" s="28">
        <v>56.5</v>
      </c>
      <c r="BJ88" s="28">
        <v>60.6</v>
      </c>
      <c r="BK88" s="53">
        <v>66.400000000000006</v>
      </c>
      <c r="BL88" s="28">
        <v>315.2</v>
      </c>
      <c r="BM88" s="31">
        <f t="shared" ref="BM88:BS88" si="526">BM93-BM90-BM91-BM92</f>
        <v>36.181048380400007</v>
      </c>
      <c r="BN88" s="31">
        <f t="shared" si="526"/>
        <v>34.718765686227677</v>
      </c>
      <c r="BO88" s="32">
        <f t="shared" si="526"/>
        <v>42.855550422667818</v>
      </c>
      <c r="BP88" s="30">
        <f t="shared" si="526"/>
        <v>40.810012096013537</v>
      </c>
      <c r="BQ88" s="31">
        <f t="shared" si="526"/>
        <v>36.521603102624191</v>
      </c>
      <c r="BR88" s="31">
        <f t="shared" si="526"/>
        <v>36.586296207133628</v>
      </c>
      <c r="BS88" s="32">
        <f t="shared" si="526"/>
        <v>39.71206474993005</v>
      </c>
      <c r="BT88" s="30">
        <f t="shared" ref="BT88:BW88" si="527">BT93-BT90-BT91-BT92</f>
        <v>41.601698738607226</v>
      </c>
      <c r="BU88" s="935">
        <f t="shared" si="527"/>
        <v>39.029361500308227</v>
      </c>
      <c r="BV88" s="935">
        <f t="shared" si="527"/>
        <v>39.632851396975447</v>
      </c>
      <c r="BW88" s="936">
        <f t="shared" si="527"/>
        <v>43.128005236213482</v>
      </c>
      <c r="BX88" s="108"/>
      <c r="BY88" s="937">
        <f>SUM(D88:G88)</f>
        <v>0.65199999999999991</v>
      </c>
      <c r="BZ88" s="935">
        <f>SUM(H88:K88)</f>
        <v>3.984</v>
      </c>
      <c r="CA88" s="935">
        <f>SUM(L88:O88)</f>
        <v>15.377999999999998</v>
      </c>
      <c r="CB88" s="935">
        <f>SUM(P88:S88)</f>
        <v>15.378</v>
      </c>
      <c r="CC88" s="935">
        <f>SUM(T88:W88)</f>
        <v>-0.87999999999999989</v>
      </c>
      <c r="CD88" s="935">
        <f>SUM(X88:AA88)</f>
        <v>-28.817999999999998</v>
      </c>
      <c r="CE88" s="935">
        <f>SUM(AB88:AE88)</f>
        <v>-25.226999999999997</v>
      </c>
      <c r="CF88" s="935">
        <f>SUM(AF88:AI88)</f>
        <v>57.78</v>
      </c>
      <c r="CG88" s="935">
        <f>SUM(AJ88:AM88)</f>
        <v>67.301000000000002</v>
      </c>
      <c r="CH88" s="935">
        <f>SUM(AN88:AQ88)</f>
        <v>52.898000000000003</v>
      </c>
      <c r="CI88" s="936">
        <f>SUM(AR88:AU88)</f>
        <v>66.34899999999999</v>
      </c>
      <c r="CJ88" s="937">
        <f>SUM(AV88:AY88)</f>
        <v>107.5</v>
      </c>
      <c r="CK88" s="935">
        <f>SUM(AZ88:BC88)</f>
        <v>225.3</v>
      </c>
      <c r="CL88" s="935">
        <f>SUM(BD88:BG88)</f>
        <v>205.40000000000003</v>
      </c>
      <c r="CM88" s="935">
        <f>SUM(BH88:BK88)</f>
        <v>246.8</v>
      </c>
      <c r="CN88" s="935">
        <f>SUM(BL88:BO88)</f>
        <v>428.9553644892955</v>
      </c>
      <c r="CO88" s="935">
        <f>SUM(BP88:BS88)</f>
        <v>153.6299761557014</v>
      </c>
      <c r="CP88" s="936">
        <f>SUM(BT88:BW88)</f>
        <v>163.39191687210439</v>
      </c>
      <c r="CQ88" s="106"/>
      <c r="CR88" s="193">
        <f>SUM(M88:P88)</f>
        <v>11.486000000000001</v>
      </c>
      <c r="CS88" s="75">
        <f>SUM(Q88:T88)</f>
        <v>14.39</v>
      </c>
      <c r="CT88" s="75">
        <f>SUM(U88:X88)</f>
        <v>-0.82699999999999974</v>
      </c>
      <c r="CU88" s="75">
        <f>SUM(Y88:AB88)</f>
        <v>-29.36</v>
      </c>
      <c r="CV88" s="75">
        <f>SUM(AC88:AF88)</f>
        <v>-13.682</v>
      </c>
      <c r="CW88" s="75">
        <f>SUM(AG88:AJ88)</f>
        <v>60.856000000000002</v>
      </c>
      <c r="CX88" s="75">
        <f>SUM(AK88:AN88)</f>
        <v>68.968999999999994</v>
      </c>
      <c r="CY88" s="75">
        <f>SUM(AO88:AR88)</f>
        <v>55.710999999999999</v>
      </c>
      <c r="CZ88" s="75">
        <f>SUM(AS88:AV88)</f>
        <v>67.5</v>
      </c>
      <c r="DA88" s="193">
        <f>SUM(AW88:AZ88)</f>
        <v>138.30000000000001</v>
      </c>
      <c r="DB88" s="75">
        <f>SUM(BA88:BD88)</f>
        <v>235.9</v>
      </c>
      <c r="DC88" s="75">
        <f>SUM(BE88:BH88)</f>
        <v>205.8</v>
      </c>
      <c r="DD88" s="75">
        <f>SUM(BI88:BL88)</f>
        <v>498.7</v>
      </c>
      <c r="DE88" s="75">
        <f>SUM(BM88:BP88)</f>
        <v>154.56537658530902</v>
      </c>
      <c r="DF88" s="76">
        <f>SUM(BQ88:BT88)</f>
        <v>154.42166279829507</v>
      </c>
      <c r="DG88" s="42"/>
      <c r="DH88" s="42"/>
      <c r="DI88" s="42"/>
      <c r="DJ88" s="42"/>
      <c r="DK88"/>
      <c r="DL88"/>
      <c r="DM88"/>
      <c r="DN88"/>
      <c r="DO88"/>
      <c r="DP88"/>
      <c r="DQ88" s="42"/>
      <c r="DR88" s="42"/>
    </row>
    <row r="89" spans="1:122" s="42" customFormat="1" ht="14.25" hidden="1" outlineLevel="1">
      <c r="B89" s="19" t="s">
        <v>41</v>
      </c>
      <c r="C89" s="34"/>
      <c r="D89" s="20">
        <f t="shared" ref="D89:S89" si="528">D88/D81</f>
        <v>0.4826684107259675</v>
      </c>
      <c r="E89" s="21">
        <f t="shared" si="528"/>
        <v>-0.1122525214792677</v>
      </c>
      <c r="F89" s="21">
        <f t="shared" si="528"/>
        <v>-4.4403174067195822E-2</v>
      </c>
      <c r="G89" s="21">
        <f t="shared" si="528"/>
        <v>2.1651434692435665E-2</v>
      </c>
      <c r="H89" s="20">
        <f t="shared" si="528"/>
        <v>0.23477622890682326</v>
      </c>
      <c r="I89" s="21">
        <f t="shared" si="528"/>
        <v>5.1742344244984214E-3</v>
      </c>
      <c r="J89" s="21">
        <f t="shared" si="528"/>
        <v>0.10735082551209148</v>
      </c>
      <c r="K89" s="37">
        <f t="shared" si="528"/>
        <v>7.4982613643548301E-2</v>
      </c>
      <c r="L89" s="21">
        <f t="shared" si="528"/>
        <v>0.32221302293868392</v>
      </c>
      <c r="M89" s="21">
        <f t="shared" si="528"/>
        <v>-5.6942198868229585E-2</v>
      </c>
      <c r="N89" s="21">
        <f t="shared" si="528"/>
        <v>0.23215213550867689</v>
      </c>
      <c r="O89" s="37">
        <f t="shared" si="528"/>
        <v>2.2444195064499285E-2</v>
      </c>
      <c r="P89" s="21">
        <f t="shared" si="528"/>
        <v>0.38853230637569591</v>
      </c>
      <c r="Q89" s="21">
        <f t="shared" si="528"/>
        <v>-0.74387947269301569</v>
      </c>
      <c r="R89" s="21">
        <f t="shared" si="528"/>
        <v>0.32471910112359592</v>
      </c>
      <c r="S89" s="37">
        <f t="shared" si="528"/>
        <v>-0.13689402510195683</v>
      </c>
      <c r="T89" s="21">
        <f>T88/T81</f>
        <v>0.12604370870543816</v>
      </c>
      <c r="U89" s="21">
        <f>U88/U81</f>
        <v>-3.1720521062425948E-2</v>
      </c>
      <c r="V89" s="21">
        <f>V88/V81</f>
        <v>9.4634223666481693E-2</v>
      </c>
      <c r="W89" s="21">
        <f>W88/W81</f>
        <v>-0.18509537665696832</v>
      </c>
      <c r="X89" s="20">
        <f t="shared" ref="X89:AH89" si="529">X88/X81</f>
        <v>8.5733454737144804E-2</v>
      </c>
      <c r="Y89" s="21">
        <f t="shared" si="529"/>
        <v>0.10758443504790452</v>
      </c>
      <c r="Z89" s="21">
        <f t="shared" si="529"/>
        <v>7.8232671260640471E-2</v>
      </c>
      <c r="AA89" s="21">
        <f t="shared" si="529"/>
        <v>-1.6811353070711941</v>
      </c>
      <c r="AB89" s="20">
        <f t="shared" si="529"/>
        <v>5.0217461340206174E-2</v>
      </c>
      <c r="AC89" s="21">
        <f t="shared" si="529"/>
        <v>-4.4224305678401002E-3</v>
      </c>
      <c r="AD89" s="21">
        <f t="shared" si="529"/>
        <v>3.8481272447408954E-2</v>
      </c>
      <c r="AE89" s="21">
        <f t="shared" si="529"/>
        <v>-0.87651183736490068</v>
      </c>
      <c r="AF89" s="20">
        <f t="shared" si="529"/>
        <v>0.31351404342924366</v>
      </c>
      <c r="AG89" s="21">
        <f t="shared" si="529"/>
        <v>0.24706904038211036</v>
      </c>
      <c r="AH89" s="21">
        <f t="shared" si="529"/>
        <v>0.34048491522527485</v>
      </c>
      <c r="AI89" s="21">
        <f t="shared" ref="AI89:AW89" si="530">AI88/AI81</f>
        <v>0.27721411474017432</v>
      </c>
      <c r="AJ89" s="20">
        <f t="shared" si="530"/>
        <v>0.20678690575479561</v>
      </c>
      <c r="AK89" s="21">
        <f t="shared" si="530"/>
        <v>0.25968733792694676</v>
      </c>
      <c r="AL89" s="21">
        <f t="shared" si="530"/>
        <v>0.28165108209423206</v>
      </c>
      <c r="AM89" s="37">
        <f t="shared" si="530"/>
        <v>0.17581444304674868</v>
      </c>
      <c r="AN89" s="20">
        <f t="shared" si="530"/>
        <v>0.2348718223460394</v>
      </c>
      <c r="AO89" s="21">
        <f t="shared" si="530"/>
        <v>0.216912103083295</v>
      </c>
      <c r="AP89" s="21">
        <f t="shared" si="530"/>
        <v>0.20622887493964268</v>
      </c>
      <c r="AQ89" s="37">
        <f t="shared" si="530"/>
        <v>0.17560623092982172</v>
      </c>
      <c r="AR89" s="20">
        <f t="shared" si="530"/>
        <v>0.23432210220860875</v>
      </c>
      <c r="AS89" s="21">
        <f t="shared" si="530"/>
        <v>8.3209509658246666E-2</v>
      </c>
      <c r="AT89" s="21">
        <f t="shared" si="530"/>
        <v>0.22248520710059169</v>
      </c>
      <c r="AU89" s="37">
        <f t="shared" si="530"/>
        <v>0.2041587901701323</v>
      </c>
      <c r="AV89" s="20">
        <f t="shared" si="530"/>
        <v>0.18534482758620691</v>
      </c>
      <c r="AW89" s="21">
        <f t="shared" si="530"/>
        <v>0.24975609756097567</v>
      </c>
      <c r="AX89" s="21">
        <f t="shared" ref="AX89:BC89" si="531">AX88/AX81</f>
        <v>0.24983164983164985</v>
      </c>
      <c r="AY89" s="37">
        <f t="shared" si="531"/>
        <v>0.11755802219979816</v>
      </c>
      <c r="AZ89" s="20">
        <f t="shared" si="531"/>
        <v>0.21131313131313131</v>
      </c>
      <c r="BA89" s="21">
        <f t="shared" si="531"/>
        <v>0.24489795918367344</v>
      </c>
      <c r="BB89" s="21">
        <f t="shared" si="531"/>
        <v>0.20046260601387816</v>
      </c>
      <c r="BC89" s="37">
        <f t="shared" si="531"/>
        <v>0.22619851451721815</v>
      </c>
      <c r="BD89" s="20">
        <f t="shared" ref="BD89:BI89" si="532">BD88/BD81</f>
        <v>0.15040650406504066</v>
      </c>
      <c r="BE89" s="21">
        <f t="shared" si="532"/>
        <v>0.18424147393179141</v>
      </c>
      <c r="BF89" s="21">
        <f t="shared" si="532"/>
        <v>0.21676545300592714</v>
      </c>
      <c r="BG89" s="37">
        <f t="shared" si="532"/>
        <v>0.15218138096873926</v>
      </c>
      <c r="BH89" s="20">
        <f t="shared" si="532"/>
        <v>0.19713484895671132</v>
      </c>
      <c r="BI89" s="859">
        <f t="shared" si="532"/>
        <v>0.20078180525941716</v>
      </c>
      <c r="BJ89" s="859">
        <f t="shared" ref="BJ89:BS89" si="533">BJ88/BJ81</f>
        <v>0.197522816166884</v>
      </c>
      <c r="BK89" s="885">
        <f t="shared" si="533"/>
        <v>0.19096922634454988</v>
      </c>
      <c r="BL89" s="880">
        <f t="shared" si="533"/>
        <v>0.81742738589211594</v>
      </c>
      <c r="BM89" s="881">
        <f t="shared" si="533"/>
        <v>0.11924465342581403</v>
      </c>
      <c r="BN89" s="881">
        <f t="shared" si="533"/>
        <v>0.11966824169336915</v>
      </c>
      <c r="BO89" s="885">
        <f t="shared" si="533"/>
        <v>0.11770401397093826</v>
      </c>
      <c r="BP89" s="20">
        <f t="shared" si="533"/>
        <v>0.10666492209568772</v>
      </c>
      <c r="BQ89" s="21">
        <f t="shared" si="533"/>
        <v>0.10750626925758186</v>
      </c>
      <c r="BR89" s="21">
        <f t="shared" si="533"/>
        <v>0.10749200202184617</v>
      </c>
      <c r="BS89" s="37">
        <f t="shared" si="533"/>
        <v>0.1068618361685751</v>
      </c>
      <c r="BT89" s="880">
        <f t="shared" ref="BT89:BW89" si="534">BT88/BT81</f>
        <v>0.10652980557150264</v>
      </c>
      <c r="BU89" s="881">
        <f t="shared" si="534"/>
        <v>0.10699025392749394</v>
      </c>
      <c r="BV89" s="881">
        <f t="shared" si="534"/>
        <v>0.10687649386154804</v>
      </c>
      <c r="BW89" s="885">
        <f t="shared" si="534"/>
        <v>0.10628419259437691</v>
      </c>
      <c r="BX89" s="108"/>
      <c r="BY89" s="20">
        <f>BY88/BY81</f>
        <v>-1.2158508158508148E-2</v>
      </c>
      <c r="BZ89" s="21">
        <f>BZ88/BZ81</f>
        <v>0.15093195938778675</v>
      </c>
      <c r="CA89" s="21">
        <f>CA88/CA81</f>
        <v>0.37517382712434949</v>
      </c>
      <c r="CB89" s="21">
        <f>CB88/CB81</f>
        <v>-0.21131086111443192</v>
      </c>
      <c r="CC89" s="21">
        <f>CC88/CC81</f>
        <v>-1.5501144970935377E-2</v>
      </c>
      <c r="CD89" s="21">
        <f t="shared" ref="CD89:CJ89" si="535">CD88/CD81</f>
        <v>-0.35063512921594359</v>
      </c>
      <c r="CE89" s="21">
        <f t="shared" si="535"/>
        <v>-0.36164112562180162</v>
      </c>
      <c r="CF89" s="21">
        <f t="shared" si="535"/>
        <v>0.2961952899925156</v>
      </c>
      <c r="CG89" s="21">
        <f t="shared" si="535"/>
        <v>0.22900376336402545</v>
      </c>
      <c r="CH89" s="21">
        <f t="shared" si="535"/>
        <v>0.20746266315261025</v>
      </c>
      <c r="CI89" s="37">
        <f t="shared" si="535"/>
        <v>0.19262749606610108</v>
      </c>
      <c r="CJ89" s="880">
        <f t="shared" si="535"/>
        <v>0.19019815994338282</v>
      </c>
      <c r="CK89" s="881">
        <f t="shared" ref="CK89:CP89" si="536">CK88/CK81</f>
        <v>0.22010550996483014</v>
      </c>
      <c r="CL89" s="881">
        <f t="shared" si="536"/>
        <v>0.17108112610361481</v>
      </c>
      <c r="CM89" s="881">
        <f t="shared" si="536"/>
        <v>0.19634049323786795</v>
      </c>
      <c r="CN89" s="881">
        <f t="shared" si="536"/>
        <v>0.31934387568963851</v>
      </c>
      <c r="CO89" s="881">
        <f t="shared" si="536"/>
        <v>0.10711148413559474</v>
      </c>
      <c r="CP89" s="885">
        <f t="shared" si="536"/>
        <v>0.10665831475202156</v>
      </c>
      <c r="CQ89" s="107"/>
      <c r="CR89" s="20">
        <f>CR88/CR81</f>
        <v>0.41817453671678556</v>
      </c>
      <c r="CS89" s="21">
        <f>CS88/CS81</f>
        <v>-0.2179896776812805</v>
      </c>
      <c r="CT89" s="21">
        <f>CT88/CT81</f>
        <v>-1.2949392458975324E-2</v>
      </c>
      <c r="CU89" s="21">
        <f t="shared" ref="CU89:CZ89" si="537">CU88/CU81</f>
        <v>-0.34078906132113801</v>
      </c>
      <c r="CV89" s="21">
        <f t="shared" si="537"/>
        <v>-0.15959965938385823</v>
      </c>
      <c r="CW89" s="21">
        <f t="shared" si="537"/>
        <v>0.26343676409474992</v>
      </c>
      <c r="CX89" s="21">
        <f t="shared" si="537"/>
        <v>0.23634737433690181</v>
      </c>
      <c r="CY89" s="21">
        <f t="shared" si="537"/>
        <v>0.20853359086077047</v>
      </c>
      <c r="CZ89" s="21">
        <f t="shared" si="537"/>
        <v>0.18067451820128475</v>
      </c>
      <c r="DA89" s="880">
        <f t="shared" ref="DA89:DF89" si="538">DA88/DA81</f>
        <v>0.19850724845701173</v>
      </c>
      <c r="DB89" s="881">
        <f t="shared" si="538"/>
        <v>0.19752156074688107</v>
      </c>
      <c r="DC89" s="881">
        <f t="shared" si="538"/>
        <v>0.18649750792931583</v>
      </c>
      <c r="DD89" s="881">
        <f t="shared" si="538"/>
        <v>0.37737419598940608</v>
      </c>
      <c r="DE89" s="881">
        <f t="shared" si="538"/>
        <v>0.1153266578117811</v>
      </c>
      <c r="DF89" s="885">
        <f t="shared" si="538"/>
        <v>0.10707244653964743</v>
      </c>
      <c r="DG89" s="7"/>
      <c r="DH89" s="7"/>
      <c r="DI89" s="7"/>
      <c r="DJ89" s="7"/>
      <c r="DK89"/>
      <c r="DL89"/>
      <c r="DM89"/>
      <c r="DN89"/>
      <c r="DO89"/>
      <c r="DP89"/>
      <c r="DQ89" s="7"/>
      <c r="DR89" s="7"/>
    </row>
    <row r="90" spans="1:122" s="7" customFormat="1" ht="14.25" hidden="1" outlineLevel="1">
      <c r="A90" s="505"/>
      <c r="B90" s="25" t="s">
        <v>257</v>
      </c>
      <c r="C90" s="26"/>
      <c r="D90" s="27"/>
      <c r="E90" s="28"/>
      <c r="F90" s="28"/>
      <c r="G90" s="28"/>
      <c r="H90" s="27"/>
      <c r="I90" s="28"/>
      <c r="J90" s="28"/>
      <c r="K90" s="53"/>
      <c r="L90" s="28"/>
      <c r="M90" s="28"/>
      <c r="N90" s="28"/>
      <c r="O90" s="53"/>
      <c r="P90" s="28">
        <v>0</v>
      </c>
      <c r="Q90" s="28"/>
      <c r="R90" s="28"/>
      <c r="S90" s="53"/>
      <c r="T90" s="28">
        <v>0</v>
      </c>
      <c r="U90" s="28"/>
      <c r="V90" s="28"/>
      <c r="W90" s="28"/>
      <c r="X90" s="27">
        <v>0</v>
      </c>
      <c r="Y90" s="28">
        <v>0</v>
      </c>
      <c r="Z90" s="28">
        <v>0</v>
      </c>
      <c r="AA90" s="28">
        <v>0</v>
      </c>
      <c r="AB90" s="27">
        <v>0</v>
      </c>
      <c r="AC90" s="28">
        <v>0</v>
      </c>
      <c r="AD90" s="28">
        <v>0</v>
      </c>
      <c r="AE90" s="28">
        <v>0</v>
      </c>
      <c r="AF90" s="27">
        <v>0</v>
      </c>
      <c r="AG90" s="28">
        <v>0</v>
      </c>
      <c r="AH90" s="28">
        <v>0</v>
      </c>
      <c r="AI90" s="28">
        <v>0</v>
      </c>
      <c r="AJ90" s="27">
        <v>0</v>
      </c>
      <c r="AK90" s="28">
        <v>0</v>
      </c>
      <c r="AL90" s="28">
        <v>0</v>
      </c>
      <c r="AM90" s="53">
        <v>0</v>
      </c>
      <c r="AN90" s="27">
        <v>0</v>
      </c>
      <c r="AO90" s="28">
        <v>0</v>
      </c>
      <c r="AP90" s="28">
        <v>0</v>
      </c>
      <c r="AQ90" s="53">
        <v>0</v>
      </c>
      <c r="AR90" s="27">
        <v>0</v>
      </c>
      <c r="AS90" s="28">
        <v>0</v>
      </c>
      <c r="AT90" s="28">
        <v>0</v>
      </c>
      <c r="AU90" s="53">
        <v>0</v>
      </c>
      <c r="AV90" s="27">
        <v>0</v>
      </c>
      <c r="AW90" s="28">
        <v>0</v>
      </c>
      <c r="AX90" s="28">
        <v>0</v>
      </c>
      <c r="AY90" s="53">
        <v>0</v>
      </c>
      <c r="AZ90" s="27">
        <v>0</v>
      </c>
      <c r="BA90" s="28">
        <v>0</v>
      </c>
      <c r="BB90" s="28">
        <v>0</v>
      </c>
      <c r="BC90" s="53">
        <v>0</v>
      </c>
      <c r="BD90" s="27">
        <v>0</v>
      </c>
      <c r="BE90" s="28">
        <v>0</v>
      </c>
      <c r="BF90" s="28">
        <v>0</v>
      </c>
      <c r="BG90" s="53">
        <v>0</v>
      </c>
      <c r="BH90" s="27">
        <v>0</v>
      </c>
      <c r="BI90" s="28">
        <v>0</v>
      </c>
      <c r="BJ90" s="28">
        <v>0</v>
      </c>
      <c r="BK90" s="53">
        <v>0</v>
      </c>
      <c r="BL90" s="27">
        <v>0</v>
      </c>
      <c r="BM90" s="29">
        <f t="shared" ref="BM90:BO92" si="539">BL90</f>
        <v>0</v>
      </c>
      <c r="BN90" s="29">
        <f t="shared" si="539"/>
        <v>0</v>
      </c>
      <c r="BO90" s="388">
        <f t="shared" si="539"/>
        <v>0</v>
      </c>
      <c r="BP90" s="833">
        <f t="shared" ref="BP90:BS92" si="540">BO90</f>
        <v>0</v>
      </c>
      <c r="BQ90" s="29">
        <f t="shared" si="540"/>
        <v>0</v>
      </c>
      <c r="BR90" s="29">
        <f t="shared" si="540"/>
        <v>0</v>
      </c>
      <c r="BS90" s="388">
        <f t="shared" si="540"/>
        <v>0</v>
      </c>
      <c r="BT90" s="833">
        <f t="shared" ref="BT90:BT92" si="541">BS90</f>
        <v>0</v>
      </c>
      <c r="BU90" s="29">
        <f t="shared" ref="BU90:BU92" si="542">BT90</f>
        <v>0</v>
      </c>
      <c r="BV90" s="29">
        <f t="shared" ref="BV90:BV92" si="543">BU90</f>
        <v>0</v>
      </c>
      <c r="BW90" s="388">
        <f t="shared" ref="BW90:BW92" si="544">BV90</f>
        <v>0</v>
      </c>
      <c r="BX90" s="108"/>
      <c r="BY90" s="30">
        <f>SUM(D90:G90)</f>
        <v>0</v>
      </c>
      <c r="BZ90" s="31">
        <f>SUM(H90:K90)</f>
        <v>0</v>
      </c>
      <c r="CA90" s="31">
        <f>SUM(L90:O90)</f>
        <v>0</v>
      </c>
      <c r="CB90" s="31">
        <f>SUM(P90:S90)</f>
        <v>0</v>
      </c>
      <c r="CC90" s="31">
        <f>SUM(T90:W90)</f>
        <v>0</v>
      </c>
      <c r="CD90" s="31">
        <f>SUM(X90:AA90)</f>
        <v>0</v>
      </c>
      <c r="CE90" s="31">
        <f>SUM(AB90:AE90)</f>
        <v>0</v>
      </c>
      <c r="CF90" s="31">
        <f>SUM(AF90:AI90)</f>
        <v>0</v>
      </c>
      <c r="CG90" s="31">
        <f>SUM(AJ90:AM90)</f>
        <v>0</v>
      </c>
      <c r="CH90" s="31">
        <f>SUM(AN90:AQ90)</f>
        <v>0</v>
      </c>
      <c r="CI90" s="32">
        <f>SUM(AR90:AU90)</f>
        <v>0</v>
      </c>
      <c r="CJ90" s="30">
        <f>SUM(AV90:AY90)</f>
        <v>0</v>
      </c>
      <c r="CK90" s="31">
        <f>SUM(AZ90:BC90)</f>
        <v>0</v>
      </c>
      <c r="CL90" s="31">
        <f>SUM(BD90:BG90)</f>
        <v>0</v>
      </c>
      <c r="CM90" s="31">
        <f>SUM(BH90:BK90)</f>
        <v>0</v>
      </c>
      <c r="CN90" s="31">
        <f>SUM(BL90:BO90)</f>
        <v>0</v>
      </c>
      <c r="CO90" s="31">
        <f>SUM(BP90:BS90)</f>
        <v>0</v>
      </c>
      <c r="CP90" s="32">
        <f>SUM(BT90:BW90)</f>
        <v>0</v>
      </c>
      <c r="CQ90" s="106"/>
      <c r="CR90" s="193">
        <f>SUM(M90:P90)</f>
        <v>0</v>
      </c>
      <c r="CS90" s="75">
        <f>SUM(Q90:T90)</f>
        <v>0</v>
      </c>
      <c r="CT90" s="75">
        <f>SUM(U90:X90)</f>
        <v>0</v>
      </c>
      <c r="CU90" s="75">
        <f>SUM(Y90:AB90)</f>
        <v>0</v>
      </c>
      <c r="CV90" s="75">
        <f>SUM(AC90:AF90)</f>
        <v>0</v>
      </c>
      <c r="CW90" s="75">
        <f>SUM(AG90:AJ90)</f>
        <v>0</v>
      </c>
      <c r="CX90" s="75">
        <f>SUM(AK90:AN90)</f>
        <v>0</v>
      </c>
      <c r="CY90" s="75">
        <f>SUM(AO90:AR90)</f>
        <v>0</v>
      </c>
      <c r="CZ90" s="75">
        <f>SUM(AS90:AV90)</f>
        <v>0</v>
      </c>
      <c r="DA90" s="193">
        <f>SUM(AW90:AZ90)</f>
        <v>0</v>
      </c>
      <c r="DB90" s="75">
        <f>SUM(BA90:BD90)</f>
        <v>0</v>
      </c>
      <c r="DC90" s="75">
        <f>SUM(BE90:BH90)</f>
        <v>0</v>
      </c>
      <c r="DD90" s="75">
        <f>SUM(BI90:BL90)</f>
        <v>0</v>
      </c>
      <c r="DE90" s="75">
        <f>SUM(BM90:BP90)</f>
        <v>0</v>
      </c>
      <c r="DF90" s="76">
        <f>SUM(BQ90:BT90)</f>
        <v>0</v>
      </c>
      <c r="DK90"/>
      <c r="DL90"/>
      <c r="DM90"/>
      <c r="DN90"/>
      <c r="DO90"/>
      <c r="DP90"/>
    </row>
    <row r="91" spans="1:122" s="7" customFormat="1" ht="14.25" hidden="1" outlineLevel="1">
      <c r="A91" s="505"/>
      <c r="B91" s="25" t="s">
        <v>258</v>
      </c>
      <c r="C91" s="26"/>
      <c r="D91" s="27"/>
      <c r="E91" s="28"/>
      <c r="F91" s="28"/>
      <c r="G91" s="28"/>
      <c r="H91" s="27">
        <v>-0.48</v>
      </c>
      <c r="I91" s="28">
        <v>0.48</v>
      </c>
      <c r="J91" s="28">
        <v>-0.98399999999999999</v>
      </c>
      <c r="K91" s="53">
        <v>-2.4620000000000002</v>
      </c>
      <c r="L91" s="28">
        <v>-5.89</v>
      </c>
      <c r="M91" s="28">
        <v>-3.2989999999999999</v>
      </c>
      <c r="N91" s="28">
        <v>-1.5109999999999999</v>
      </c>
      <c r="O91" s="53">
        <v>-1.85</v>
      </c>
      <c r="P91" s="28">
        <v>-1.167</v>
      </c>
      <c r="Q91" s="28">
        <v>0.98799999999999999</v>
      </c>
      <c r="R91" s="28">
        <v>-0.79300000000000004</v>
      </c>
      <c r="S91" s="53">
        <v>-11.965999999999999</v>
      </c>
      <c r="T91" s="28">
        <v>-1.343</v>
      </c>
      <c r="U91" s="28">
        <f>0.67</f>
        <v>0.67</v>
      </c>
      <c r="V91" s="28">
        <v>-0.84199999999999997</v>
      </c>
      <c r="W91" s="28">
        <v>3.5630000000000002</v>
      </c>
      <c r="X91" s="27">
        <v>-1.2210000000000001</v>
      </c>
      <c r="Y91" s="28">
        <v>-1.3129999999999999</v>
      </c>
      <c r="Z91" s="28">
        <v>-0.92100000000000004</v>
      </c>
      <c r="AA91" s="28">
        <v>34.414000000000001</v>
      </c>
      <c r="AB91" s="27">
        <v>0</v>
      </c>
      <c r="AC91" s="28">
        <v>0.36899999999999999</v>
      </c>
      <c r="AD91" s="28">
        <v>-0.11600000000000001</v>
      </c>
      <c r="AE91" s="28">
        <v>27.504000000000001</v>
      </c>
      <c r="AF91" s="27">
        <v>-8.9220000000000006</v>
      </c>
      <c r="AG91" s="28">
        <v>-5.2619999999999996</v>
      </c>
      <c r="AH91" s="28">
        <v>-13.510999999999999</v>
      </c>
      <c r="AI91" s="28">
        <f>-42.982-AH91-AG91-AF91</f>
        <v>-15.286999999999999</v>
      </c>
      <c r="AJ91" s="27">
        <v>-7.9980000000000002</v>
      </c>
      <c r="AK91" s="28">
        <v>-11.598000000000001</v>
      </c>
      <c r="AL91" s="28">
        <v>-15.827</v>
      </c>
      <c r="AM91" s="53">
        <v>-7.5810000000000004</v>
      </c>
      <c r="AN91" s="27">
        <v>-8.6319999999999997</v>
      </c>
      <c r="AO91" s="28">
        <v>-5.673</v>
      </c>
      <c r="AP91" s="28">
        <v>-7.0830000000000002</v>
      </c>
      <c r="AQ91" s="53">
        <v>-13.111000000000001</v>
      </c>
      <c r="AR91" s="27">
        <v>-11.919</v>
      </c>
      <c r="AS91" s="28">
        <v>0.8</v>
      </c>
      <c r="AT91" s="28">
        <v>-10.5</v>
      </c>
      <c r="AU91" s="53">
        <v>-12.2</v>
      </c>
      <c r="AV91" s="27">
        <v>-7.4</v>
      </c>
      <c r="AW91" s="28">
        <v>-13.9</v>
      </c>
      <c r="AX91" s="28">
        <v>-18.8</v>
      </c>
      <c r="AY91" s="53">
        <v>-3.4</v>
      </c>
      <c r="AZ91" s="27">
        <v>-14.1</v>
      </c>
      <c r="BA91" s="28">
        <v>-18.8</v>
      </c>
      <c r="BB91" s="28">
        <v>-18.100000000000001</v>
      </c>
      <c r="BC91" s="53">
        <v>-29</v>
      </c>
      <c r="BD91" s="27">
        <v>-8</v>
      </c>
      <c r="BE91" s="28">
        <v>-6.5</v>
      </c>
      <c r="BF91" s="28">
        <v>-16.7</v>
      </c>
      <c r="BG91" s="53">
        <v>-4.2</v>
      </c>
      <c r="BH91" s="27">
        <v>-11.4</v>
      </c>
      <c r="BI91" s="28">
        <v>-15.8</v>
      </c>
      <c r="BJ91" s="28">
        <v>-18.2</v>
      </c>
      <c r="BK91" s="53">
        <v>-24.2</v>
      </c>
      <c r="BL91" s="27">
        <v>-270.60000000000002</v>
      </c>
      <c r="BM91" s="29">
        <v>0</v>
      </c>
      <c r="BN91" s="29">
        <f t="shared" si="539"/>
        <v>0</v>
      </c>
      <c r="BO91" s="388">
        <f t="shared" si="539"/>
        <v>0</v>
      </c>
      <c r="BP91" s="833">
        <f t="shared" si="540"/>
        <v>0</v>
      </c>
      <c r="BQ91" s="29">
        <f t="shared" si="540"/>
        <v>0</v>
      </c>
      <c r="BR91" s="29">
        <f t="shared" si="540"/>
        <v>0</v>
      </c>
      <c r="BS91" s="388">
        <f t="shared" si="540"/>
        <v>0</v>
      </c>
      <c r="BT91" s="833">
        <f t="shared" si="541"/>
        <v>0</v>
      </c>
      <c r="BU91" s="29">
        <f t="shared" si="542"/>
        <v>0</v>
      </c>
      <c r="BV91" s="29">
        <f t="shared" si="543"/>
        <v>0</v>
      </c>
      <c r="BW91" s="388">
        <f t="shared" si="544"/>
        <v>0</v>
      </c>
      <c r="BX91" s="108"/>
      <c r="BY91" s="30">
        <f>SUM(D91:G91)</f>
        <v>0</v>
      </c>
      <c r="BZ91" s="935">
        <f>SUM(H91:K91)</f>
        <v>-3.4460000000000002</v>
      </c>
      <c r="CA91" s="935">
        <f>SUM(L91:O91)</f>
        <v>-12.549999999999999</v>
      </c>
      <c r="CB91" s="935">
        <f>SUM(P91:S91)</f>
        <v>-12.937999999999999</v>
      </c>
      <c r="CC91" s="935">
        <f>SUM(T91:W91)</f>
        <v>2.048</v>
      </c>
      <c r="CD91" s="935">
        <f>SUM(X91:AA91)</f>
        <v>30.959000000000003</v>
      </c>
      <c r="CE91" s="935">
        <f>SUM(AB91:AE91)</f>
        <v>27.757000000000001</v>
      </c>
      <c r="CF91" s="935">
        <f>SUM(AF91:AI91)</f>
        <v>-42.981999999999999</v>
      </c>
      <c r="CG91" s="935">
        <f>SUM(AJ91:AM91)</f>
        <v>-43.004000000000005</v>
      </c>
      <c r="CH91" s="935">
        <f>SUM(AN91:AQ91)</f>
        <v>-34.498999999999995</v>
      </c>
      <c r="CI91" s="936">
        <f>SUM(AR91:AU91)</f>
        <v>-33.819000000000003</v>
      </c>
      <c r="CJ91" s="937">
        <f>SUM(AV91:AY91)</f>
        <v>-43.5</v>
      </c>
      <c r="CK91" s="31">
        <f>SUM(AZ91:BC91)</f>
        <v>-80</v>
      </c>
      <c r="CL91" s="935">
        <f>SUM(BD91:BG91)</f>
        <v>-35.4</v>
      </c>
      <c r="CM91" s="935">
        <f>SUM(BH91:BK91)</f>
        <v>-69.600000000000009</v>
      </c>
      <c r="CN91" s="31">
        <f>SUM(BL91:BO91)</f>
        <v>-270.60000000000002</v>
      </c>
      <c r="CO91" s="31">
        <f>SUM(BP91:BS91)</f>
        <v>0</v>
      </c>
      <c r="CP91" s="32">
        <f>SUM(BT91:BW91)</f>
        <v>0</v>
      </c>
      <c r="CQ91" s="106"/>
      <c r="CR91" s="193">
        <f>SUM(M91:P91)</f>
        <v>-7.827</v>
      </c>
      <c r="CS91" s="75">
        <f>SUM(Q91:T91)</f>
        <v>-13.113999999999999</v>
      </c>
      <c r="CT91" s="75">
        <f>SUM(U91:X91)</f>
        <v>2.17</v>
      </c>
      <c r="CU91" s="75">
        <f>SUM(Y91:AB91)</f>
        <v>32.18</v>
      </c>
      <c r="CV91" s="75">
        <f>SUM(AC91:AF91)</f>
        <v>18.835000000000001</v>
      </c>
      <c r="CW91" s="75">
        <f>SUM(AG91:AJ91)</f>
        <v>-42.058</v>
      </c>
      <c r="CX91" s="75">
        <f>SUM(AK91:AN91)</f>
        <v>-43.637999999999998</v>
      </c>
      <c r="CY91" s="75">
        <f>SUM(AO91:AR91)</f>
        <v>-37.786000000000001</v>
      </c>
      <c r="CZ91" s="75">
        <f>SUM(AS91:AV91)</f>
        <v>-29.299999999999997</v>
      </c>
      <c r="DA91" s="193">
        <f>SUM(AW91:AZ91)</f>
        <v>-50.2</v>
      </c>
      <c r="DB91" s="75">
        <f>SUM(BA91:BD91)</f>
        <v>-73.900000000000006</v>
      </c>
      <c r="DC91" s="75">
        <f>SUM(BE91:BH91)</f>
        <v>-38.799999999999997</v>
      </c>
      <c r="DD91" s="75">
        <f>SUM(BI91:BL91)</f>
        <v>-328.8</v>
      </c>
      <c r="DE91" s="75">
        <f>SUM(BM91:BP91)</f>
        <v>0</v>
      </c>
      <c r="DF91" s="76">
        <f>SUM(BQ91:BT91)</f>
        <v>0</v>
      </c>
      <c r="DK91"/>
      <c r="DL91"/>
      <c r="DM91"/>
      <c r="DN91"/>
      <c r="DO91"/>
      <c r="DP91"/>
    </row>
    <row r="92" spans="1:122" s="7" customFormat="1" ht="14.25" hidden="1" outlineLevel="1">
      <c r="A92" s="505"/>
      <c r="B92" s="25" t="s">
        <v>259</v>
      </c>
      <c r="C92" s="26"/>
      <c r="D92" s="27"/>
      <c r="E92" s="28"/>
      <c r="F92" s="28"/>
      <c r="G92" s="28"/>
      <c r="H92" s="27"/>
      <c r="I92" s="28"/>
      <c r="J92" s="28"/>
      <c r="K92" s="53"/>
      <c r="L92" s="28"/>
      <c r="M92" s="28"/>
      <c r="N92" s="28"/>
      <c r="O92" s="53"/>
      <c r="P92" s="28"/>
      <c r="Q92" s="28"/>
      <c r="R92" s="28"/>
      <c r="S92" s="53"/>
      <c r="T92" s="28"/>
      <c r="U92" s="28"/>
      <c r="V92" s="28"/>
      <c r="W92" s="28"/>
      <c r="X92" s="27">
        <v>0</v>
      </c>
      <c r="Y92" s="28">
        <v>0</v>
      </c>
      <c r="Z92" s="28">
        <v>0</v>
      </c>
      <c r="AA92" s="28">
        <v>0</v>
      </c>
      <c r="AB92" s="27">
        <v>0</v>
      </c>
      <c r="AC92" s="28">
        <v>0</v>
      </c>
      <c r="AD92" s="28">
        <v>0</v>
      </c>
      <c r="AE92" s="28">
        <v>0</v>
      </c>
      <c r="AF92" s="27">
        <v>0</v>
      </c>
      <c r="AG92" s="28">
        <v>0</v>
      </c>
      <c r="AH92" s="28">
        <v>0</v>
      </c>
      <c r="AI92" s="28">
        <v>0</v>
      </c>
      <c r="AJ92" s="27">
        <v>0</v>
      </c>
      <c r="AK92" s="28">
        <v>0</v>
      </c>
      <c r="AL92" s="28">
        <v>0</v>
      </c>
      <c r="AM92" s="53">
        <v>0</v>
      </c>
      <c r="AN92" s="27">
        <v>0</v>
      </c>
      <c r="AO92" s="28">
        <v>0</v>
      </c>
      <c r="AP92" s="28">
        <v>0</v>
      </c>
      <c r="AQ92" s="53">
        <v>0</v>
      </c>
      <c r="AR92" s="27">
        <v>0</v>
      </c>
      <c r="AS92" s="28">
        <v>0</v>
      </c>
      <c r="AT92" s="28">
        <v>0</v>
      </c>
      <c r="AU92" s="53">
        <v>0</v>
      </c>
      <c r="AV92" s="27">
        <v>0</v>
      </c>
      <c r="AW92" s="28">
        <v>0</v>
      </c>
      <c r="AX92" s="28">
        <v>0</v>
      </c>
      <c r="AY92" s="53">
        <v>0</v>
      </c>
      <c r="AZ92" s="27">
        <v>0</v>
      </c>
      <c r="BA92" s="28">
        <v>0</v>
      </c>
      <c r="BB92" s="28">
        <v>0</v>
      </c>
      <c r="BC92" s="53">
        <v>0</v>
      </c>
      <c r="BD92" s="27">
        <v>0</v>
      </c>
      <c r="BE92" s="28">
        <v>0</v>
      </c>
      <c r="BF92" s="28">
        <v>0</v>
      </c>
      <c r="BG92" s="53">
        <v>0</v>
      </c>
      <c r="BH92" s="27">
        <v>0</v>
      </c>
      <c r="BI92" s="28">
        <v>0</v>
      </c>
      <c r="BJ92" s="28">
        <v>0</v>
      </c>
      <c r="BK92" s="53">
        <v>0</v>
      </c>
      <c r="BL92" s="27">
        <v>0</v>
      </c>
      <c r="BM92" s="29">
        <f t="shared" si="539"/>
        <v>0</v>
      </c>
      <c r="BN92" s="29">
        <f t="shared" si="539"/>
        <v>0</v>
      </c>
      <c r="BO92" s="388">
        <f t="shared" si="539"/>
        <v>0</v>
      </c>
      <c r="BP92" s="833">
        <f t="shared" si="540"/>
        <v>0</v>
      </c>
      <c r="BQ92" s="29">
        <f t="shared" si="540"/>
        <v>0</v>
      </c>
      <c r="BR92" s="29">
        <f t="shared" si="540"/>
        <v>0</v>
      </c>
      <c r="BS92" s="388">
        <f t="shared" si="540"/>
        <v>0</v>
      </c>
      <c r="BT92" s="833">
        <f t="shared" si="541"/>
        <v>0</v>
      </c>
      <c r="BU92" s="29">
        <f t="shared" si="542"/>
        <v>0</v>
      </c>
      <c r="BV92" s="29">
        <f t="shared" si="543"/>
        <v>0</v>
      </c>
      <c r="BW92" s="388">
        <f t="shared" si="544"/>
        <v>0</v>
      </c>
      <c r="BX92" s="108"/>
      <c r="BY92" s="30">
        <f>SUM(D92:G92)</f>
        <v>0</v>
      </c>
      <c r="BZ92" s="31">
        <f>SUM(H92:K92)</f>
        <v>0</v>
      </c>
      <c r="CA92" s="31">
        <f>SUM(L92:O92)</f>
        <v>0</v>
      </c>
      <c r="CB92" s="31">
        <f>SUM(P92:S92)</f>
        <v>0</v>
      </c>
      <c r="CC92" s="31">
        <f>SUM(T92:W92)</f>
        <v>0</v>
      </c>
      <c r="CD92" s="31">
        <f>SUM(X92:AA92)</f>
        <v>0</v>
      </c>
      <c r="CE92" s="31">
        <f>SUM(AB92:AE92)</f>
        <v>0</v>
      </c>
      <c r="CF92" s="31">
        <f>SUM(AF92:AI92)</f>
        <v>0</v>
      </c>
      <c r="CG92" s="31">
        <f>SUM(AJ92:AM92)</f>
        <v>0</v>
      </c>
      <c r="CH92" s="31">
        <f>SUM(AN92:AQ92)</f>
        <v>0</v>
      </c>
      <c r="CI92" s="32">
        <f>SUM(AR92:AU92)</f>
        <v>0</v>
      </c>
      <c r="CJ92" s="30">
        <f>SUM(AV92:AY92)</f>
        <v>0</v>
      </c>
      <c r="CK92" s="31">
        <f>SUM(AZ92:BC92)</f>
        <v>0</v>
      </c>
      <c r="CL92" s="31">
        <f>SUM(BD92:BG92)</f>
        <v>0</v>
      </c>
      <c r="CM92" s="31">
        <f>SUM(BH92:BK92)</f>
        <v>0</v>
      </c>
      <c r="CN92" s="31">
        <f>SUM(BL92:BO92)</f>
        <v>0</v>
      </c>
      <c r="CO92" s="31">
        <f>SUM(BP92:BS92)</f>
        <v>0</v>
      </c>
      <c r="CP92" s="32">
        <f>SUM(BT92:BW92)</f>
        <v>0</v>
      </c>
      <c r="CQ92" s="106"/>
      <c r="CR92" s="193">
        <f>SUM(M92:P92)</f>
        <v>0</v>
      </c>
      <c r="CS92" s="75">
        <f>SUM(Q92:T92)</f>
        <v>0</v>
      </c>
      <c r="CT92" s="75">
        <f>SUM(U92:X92)</f>
        <v>0</v>
      </c>
      <c r="CU92" s="75">
        <f>SUM(Y92:AB92)</f>
        <v>0</v>
      </c>
      <c r="CV92" s="75">
        <f>SUM(AC92:AF92)</f>
        <v>0</v>
      </c>
      <c r="CW92" s="75">
        <f>SUM(AG92:AJ92)</f>
        <v>0</v>
      </c>
      <c r="CX92" s="75">
        <f>SUM(AK92:AN92)</f>
        <v>0</v>
      </c>
      <c r="CY92" s="75">
        <f>SUM(AO92:AR92)</f>
        <v>0</v>
      </c>
      <c r="CZ92" s="75">
        <f>SUM(AS92:AV92)</f>
        <v>0</v>
      </c>
      <c r="DA92" s="193">
        <f>SUM(AW92:AZ92)</f>
        <v>0</v>
      </c>
      <c r="DB92" s="75">
        <f>SUM(BA92:BD92)</f>
        <v>0</v>
      </c>
      <c r="DC92" s="75">
        <f>SUM(BE92:BH92)</f>
        <v>0</v>
      </c>
      <c r="DD92" s="75">
        <f>SUM(BI92:BL92)</f>
        <v>0</v>
      </c>
      <c r="DE92" s="75">
        <f>SUM(BM92:BP92)</f>
        <v>0</v>
      </c>
      <c r="DF92" s="76">
        <f>SUM(BQ92:BT92)</f>
        <v>0</v>
      </c>
      <c r="DK92"/>
      <c r="DL92"/>
      <c r="DM92"/>
      <c r="DN92"/>
      <c r="DO92"/>
      <c r="DP92"/>
    </row>
    <row r="93" spans="1:122" s="7" customFormat="1" ht="14.25" hidden="1" outlineLevel="1">
      <c r="A93" s="505"/>
      <c r="B93" s="14" t="s">
        <v>42</v>
      </c>
      <c r="C93" s="24"/>
      <c r="D93" s="30">
        <f t="shared" ref="D93:X93" si="545">D88+D91+D90+D92</f>
        <v>0.73799999999999999</v>
      </c>
      <c r="E93" s="31">
        <f t="shared" si="545"/>
        <v>0.60099999999999998</v>
      </c>
      <c r="F93" s="31">
        <f t="shared" si="545"/>
        <v>0.26300000000000001</v>
      </c>
      <c r="G93" s="32">
        <f t="shared" si="545"/>
        <v>-0.95</v>
      </c>
      <c r="H93" s="31">
        <f t="shared" si="545"/>
        <v>0.8</v>
      </c>
      <c r="I93" s="31">
        <f t="shared" si="545"/>
        <v>0.43099999999999999</v>
      </c>
      <c r="J93" s="31">
        <f t="shared" si="545"/>
        <v>0.58299999999999996</v>
      </c>
      <c r="K93" s="32">
        <f t="shared" si="545"/>
        <v>-1.2760000000000005</v>
      </c>
      <c r="L93" s="31">
        <f t="shared" si="545"/>
        <v>0.72599999999999998</v>
      </c>
      <c r="M93" s="31">
        <f t="shared" si="545"/>
        <v>1.2090000000000001</v>
      </c>
      <c r="N93" s="31">
        <f t="shared" si="545"/>
        <v>0.72300000000000009</v>
      </c>
      <c r="O93" s="32">
        <f t="shared" si="545"/>
        <v>0.16999999999999948</v>
      </c>
      <c r="P93" s="31">
        <f t="shared" si="545"/>
        <v>1.5570000000000002</v>
      </c>
      <c r="Q93" s="31">
        <f t="shared" si="545"/>
        <v>0.59299999999999997</v>
      </c>
      <c r="R93" s="31">
        <f t="shared" si="545"/>
        <v>0.65200000000000002</v>
      </c>
      <c r="S93" s="32">
        <f>S88+S91+S90+S92</f>
        <v>-0.3620000000000001</v>
      </c>
      <c r="T93" s="31">
        <f t="shared" si="545"/>
        <v>0.39300000000000002</v>
      </c>
      <c r="U93" s="31">
        <f t="shared" si="545"/>
        <v>0.29500000000000004</v>
      </c>
      <c r="V93" s="31">
        <f t="shared" si="545"/>
        <v>0.35199999999999998</v>
      </c>
      <c r="W93" s="31">
        <f t="shared" si="545"/>
        <v>0.12800000000000056</v>
      </c>
      <c r="X93" s="30">
        <f t="shared" si="545"/>
        <v>0.56799999999999984</v>
      </c>
      <c r="Y93" s="31">
        <f t="shared" ref="Y93:AW93" si="546">Y88+Y91+Y90+Y92</f>
        <v>0.69699999999999984</v>
      </c>
      <c r="Z93" s="31">
        <f t="shared" si="546"/>
        <v>0.81600000000000006</v>
      </c>
      <c r="AA93" s="31">
        <f t="shared" si="546"/>
        <v>6.0000000000002274E-2</v>
      </c>
      <c r="AB93" s="30">
        <f t="shared" si="546"/>
        <v>1.2470000000000001</v>
      </c>
      <c r="AC93" s="31">
        <f t="shared" si="546"/>
        <v>0.39400000000000002</v>
      </c>
      <c r="AD93" s="31">
        <f t="shared" si="546"/>
        <v>0.63400000000000001</v>
      </c>
      <c r="AE93" s="31">
        <f t="shared" si="546"/>
        <v>0.25500000000000256</v>
      </c>
      <c r="AF93" s="30">
        <f t="shared" si="546"/>
        <v>3.8699999999999992</v>
      </c>
      <c r="AG93" s="31">
        <f t="shared" si="546"/>
        <v>3.8419999999999996</v>
      </c>
      <c r="AH93" s="31">
        <f t="shared" si="546"/>
        <v>4.4220000000000006</v>
      </c>
      <c r="AI93" s="31">
        <f t="shared" si="546"/>
        <v>2.6640000000000015</v>
      </c>
      <c r="AJ93" s="30">
        <f t="shared" si="546"/>
        <v>7.87</v>
      </c>
      <c r="AK93" s="31">
        <f t="shared" si="546"/>
        <v>5.9269999999999978</v>
      </c>
      <c r="AL93" s="31">
        <f t="shared" si="546"/>
        <v>4.3839999999999986</v>
      </c>
      <c r="AM93" s="32">
        <f t="shared" si="546"/>
        <v>6.1159999999999988</v>
      </c>
      <c r="AN93" s="30">
        <f t="shared" si="546"/>
        <v>8.9040000000000017</v>
      </c>
      <c r="AO93" s="31">
        <f t="shared" si="546"/>
        <v>3.7539999999999996</v>
      </c>
      <c r="AP93" s="31">
        <f t="shared" si="546"/>
        <v>5.73</v>
      </c>
      <c r="AQ93" s="32">
        <f t="shared" si="546"/>
        <v>1.0999999999999233E-2</v>
      </c>
      <c r="AR93" s="30">
        <f t="shared" si="546"/>
        <v>8.43</v>
      </c>
      <c r="AS93" s="31">
        <f t="shared" si="546"/>
        <v>6.3999999999999995</v>
      </c>
      <c r="AT93" s="31">
        <f t="shared" si="546"/>
        <v>8.3000000000000007</v>
      </c>
      <c r="AU93" s="32">
        <f t="shared" si="546"/>
        <v>9.4000000000000021</v>
      </c>
      <c r="AV93" s="30">
        <f t="shared" si="546"/>
        <v>14.1</v>
      </c>
      <c r="AW93" s="31">
        <f t="shared" si="546"/>
        <v>11.700000000000001</v>
      </c>
      <c r="AX93" s="31">
        <f t="shared" ref="AX93:BC93" si="547">AX88+AX91+AX90+AX92</f>
        <v>18.3</v>
      </c>
      <c r="AY93" s="32">
        <f t="shared" si="547"/>
        <v>19.900000000000002</v>
      </c>
      <c r="AZ93" s="30">
        <f t="shared" si="547"/>
        <v>38.199999999999996</v>
      </c>
      <c r="BA93" s="31">
        <f t="shared" si="547"/>
        <v>35.200000000000003</v>
      </c>
      <c r="BB93" s="31">
        <f t="shared" si="547"/>
        <v>33.9</v>
      </c>
      <c r="BC93" s="32">
        <f t="shared" si="547"/>
        <v>38</v>
      </c>
      <c r="BD93" s="30">
        <f t="shared" ref="BD93:BI93" si="548">BD88+BD91+BD90+BD92</f>
        <v>54.9</v>
      </c>
      <c r="BE93" s="31">
        <f t="shared" si="548"/>
        <v>40.5</v>
      </c>
      <c r="BF93" s="31">
        <f t="shared" si="548"/>
        <v>34.5</v>
      </c>
      <c r="BG93" s="32">
        <f t="shared" si="548"/>
        <v>40.099999999999994</v>
      </c>
      <c r="BH93" s="30">
        <f t="shared" si="548"/>
        <v>51.9</v>
      </c>
      <c r="BI93" s="31">
        <f t="shared" si="548"/>
        <v>40.700000000000003</v>
      </c>
      <c r="BJ93" s="31">
        <f>BJ88+BJ91+BJ90+BJ92</f>
        <v>42.400000000000006</v>
      </c>
      <c r="BK93" s="32">
        <f t="shared" ref="BK93:BL93" si="549">BK88+BK91+BK90+BK92</f>
        <v>42.2</v>
      </c>
      <c r="BL93" s="30">
        <f t="shared" si="549"/>
        <v>44.599999999999966</v>
      </c>
      <c r="BM93" s="31">
        <f t="shared" ref="BM93:BS93" si="550">BM83*BM94</f>
        <v>36.181048380400007</v>
      </c>
      <c r="BN93" s="31">
        <f t="shared" si="550"/>
        <v>34.718765686227677</v>
      </c>
      <c r="BO93" s="32">
        <f t="shared" si="550"/>
        <v>42.855550422667818</v>
      </c>
      <c r="BP93" s="30">
        <f t="shared" si="550"/>
        <v>40.810012096013537</v>
      </c>
      <c r="BQ93" s="31">
        <f t="shared" si="550"/>
        <v>36.521603102624191</v>
      </c>
      <c r="BR93" s="31">
        <f t="shared" si="550"/>
        <v>36.586296207133628</v>
      </c>
      <c r="BS93" s="32">
        <f t="shared" si="550"/>
        <v>39.71206474993005</v>
      </c>
      <c r="BT93" s="30">
        <f t="shared" ref="BT93:BW93" si="551">BT83*BT94</f>
        <v>41.601698738607226</v>
      </c>
      <c r="BU93" s="935">
        <f t="shared" si="551"/>
        <v>39.029361500308227</v>
      </c>
      <c r="BV93" s="935">
        <f t="shared" si="551"/>
        <v>39.632851396975447</v>
      </c>
      <c r="BW93" s="936">
        <f t="shared" si="551"/>
        <v>43.128005236213482</v>
      </c>
      <c r="BX93" s="108"/>
      <c r="BY93" s="935">
        <f>BY88+BY91+BY90+BY92</f>
        <v>0.65199999999999991</v>
      </c>
      <c r="BZ93" s="935">
        <f>BZ88+BZ91+BZ90+BZ92</f>
        <v>0.53799999999999981</v>
      </c>
      <c r="CA93" s="935">
        <f>CA88+CA91+CA90+CA92</f>
        <v>2.8279999999999994</v>
      </c>
      <c r="CB93" s="935">
        <f>CB88+CB91+CB90+CB92</f>
        <v>2.4400000000000013</v>
      </c>
      <c r="CC93" s="935">
        <f>CC88+CC91+CC90+CC92</f>
        <v>1.1680000000000001</v>
      </c>
      <c r="CD93" s="935">
        <f t="shared" ref="CD93:CJ93" si="552">CD88+CD91+CD90+CD92</f>
        <v>2.1410000000000053</v>
      </c>
      <c r="CE93" s="935">
        <f t="shared" si="552"/>
        <v>2.5300000000000047</v>
      </c>
      <c r="CF93" s="935">
        <f t="shared" si="552"/>
        <v>14.798000000000002</v>
      </c>
      <c r="CG93" s="935">
        <f t="shared" si="552"/>
        <v>24.296999999999997</v>
      </c>
      <c r="CH93" s="935">
        <f t="shared" si="552"/>
        <v>18.399000000000008</v>
      </c>
      <c r="CI93" s="936">
        <f t="shared" si="552"/>
        <v>32.529999999999987</v>
      </c>
      <c r="CJ93" s="30">
        <f t="shared" si="552"/>
        <v>64</v>
      </c>
      <c r="CK93" s="935">
        <f t="shared" ref="CK93:CP93" si="553">CK88+CK91+CK90+CK92</f>
        <v>145.30000000000001</v>
      </c>
      <c r="CL93" s="31">
        <f t="shared" si="553"/>
        <v>170.00000000000003</v>
      </c>
      <c r="CM93" s="935">
        <f t="shared" si="553"/>
        <v>177.2</v>
      </c>
      <c r="CN93" s="935">
        <f t="shared" si="553"/>
        <v>158.35536448929548</v>
      </c>
      <c r="CO93" s="935">
        <f t="shared" si="553"/>
        <v>153.6299761557014</v>
      </c>
      <c r="CP93" s="936">
        <f t="shared" si="553"/>
        <v>163.39191687210439</v>
      </c>
      <c r="CQ93" s="106"/>
      <c r="CR93" s="30">
        <f>CR88+CR91+CR90+CR92</f>
        <v>3.6590000000000007</v>
      </c>
      <c r="CS93" s="31">
        <f>CS88+CS91+CS90+CS92</f>
        <v>1.2760000000000016</v>
      </c>
      <c r="CT93" s="31">
        <f>CT88+CT91+CT90+CT92</f>
        <v>1.3430000000000002</v>
      </c>
      <c r="CU93" s="31">
        <f t="shared" ref="CU93:CZ93" si="554">CU88+CU91+CU90+CU92</f>
        <v>2.8200000000000003</v>
      </c>
      <c r="CV93" s="31">
        <f t="shared" si="554"/>
        <v>5.1530000000000005</v>
      </c>
      <c r="CW93" s="31">
        <f t="shared" si="554"/>
        <v>18.798000000000002</v>
      </c>
      <c r="CX93" s="31">
        <f t="shared" si="554"/>
        <v>25.330999999999996</v>
      </c>
      <c r="CY93" s="31">
        <f t="shared" si="554"/>
        <v>17.924999999999997</v>
      </c>
      <c r="CZ93" s="31">
        <f t="shared" si="554"/>
        <v>38.200000000000003</v>
      </c>
      <c r="DA93" s="30">
        <f t="shared" ref="DA93:DF93" si="555">DA88+DA91+DA90+DA92</f>
        <v>88.100000000000009</v>
      </c>
      <c r="DB93" s="31">
        <f t="shared" si="555"/>
        <v>162</v>
      </c>
      <c r="DC93" s="31">
        <f t="shared" si="555"/>
        <v>167</v>
      </c>
      <c r="DD93" s="31">
        <f t="shared" si="555"/>
        <v>169.89999999999998</v>
      </c>
      <c r="DE93" s="31">
        <f t="shared" si="555"/>
        <v>154.56537658530902</v>
      </c>
      <c r="DF93" s="32">
        <f t="shared" si="555"/>
        <v>154.42166279829507</v>
      </c>
      <c r="DG93" s="42"/>
      <c r="DH93" s="42"/>
      <c r="DI93" s="42"/>
      <c r="DJ93" s="42"/>
      <c r="DK93"/>
      <c r="DL93"/>
      <c r="DM93"/>
      <c r="DN93"/>
      <c r="DO93"/>
      <c r="DP93"/>
      <c r="DQ93" s="42"/>
      <c r="DR93" s="42"/>
    </row>
    <row r="94" spans="1:122" s="42" customFormat="1" ht="14.25" hidden="1" outlineLevel="1">
      <c r="B94" s="19" t="s">
        <v>260</v>
      </c>
      <c r="C94" s="34"/>
      <c r="D94" s="20">
        <f t="shared" ref="D94:R94" si="556">D93/D83</f>
        <v>-0.61912751677852063</v>
      </c>
      <c r="E94" s="21">
        <f t="shared" si="556"/>
        <v>0.20738440303657671</v>
      </c>
      <c r="F94" s="21">
        <f t="shared" si="556"/>
        <v>-5.7776801405975665E-2</v>
      </c>
      <c r="G94" s="37">
        <f t="shared" si="556"/>
        <v>7.9318694163813944E-2</v>
      </c>
      <c r="H94" s="21">
        <f t="shared" si="556"/>
        <v>0.12859668863526771</v>
      </c>
      <c r="I94" s="21">
        <f t="shared" si="556"/>
        <v>5.3660358565736969E-2</v>
      </c>
      <c r="J94" s="21">
        <f t="shared" si="556"/>
        <v>3.7943377806703524E-2</v>
      </c>
      <c r="K94" s="37">
        <f t="shared" si="556"/>
        <v>-7.026044821320436E-2</v>
      </c>
      <c r="L94" s="21">
        <f t="shared" si="556"/>
        <v>3.4132581100141036E-2</v>
      </c>
      <c r="M94" s="21">
        <f t="shared" si="556"/>
        <v>-1.5552439636209269E-2</v>
      </c>
      <c r="N94" s="21">
        <f t="shared" si="556"/>
        <v>7.1168422088788194E-2</v>
      </c>
      <c r="O94" s="37">
        <f t="shared" si="556"/>
        <v>1.8518115073745615E-3</v>
      </c>
      <c r="P94" s="21">
        <f t="shared" si="556"/>
        <v>0.12582834976563775</v>
      </c>
      <c r="Q94" s="21">
        <f t="shared" si="556"/>
        <v>0.11344939735986209</v>
      </c>
      <c r="R94" s="21">
        <f t="shared" si="556"/>
        <v>7.5323475046210731E-2</v>
      </c>
      <c r="S94" s="37">
        <f>S93/S83</f>
        <v>-3.5888843724905049E-2</v>
      </c>
      <c r="T94" s="21">
        <f>T93/T83</f>
        <v>1.8020909757887015E-2</v>
      </c>
      <c r="U94" s="21">
        <f>U93/U83</f>
        <v>1.7386691813520358E-2</v>
      </c>
      <c r="V94" s="21">
        <f>V93/V83</f>
        <v>2.0467496220490752E-2</v>
      </c>
      <c r="W94" s="21">
        <f>W93/W83</f>
        <v>5.5375297425914382E-3</v>
      </c>
      <c r="X94" s="20">
        <f t="shared" ref="X94:AW94" si="557">X93/X83</f>
        <v>1.9985222194855917E-2</v>
      </c>
      <c r="Y94" s="21">
        <f t="shared" si="557"/>
        <v>2.6775767354308307E-2</v>
      </c>
      <c r="Z94" s="21">
        <f t="shared" si="557"/>
        <v>2.7432259799636927E-2</v>
      </c>
      <c r="AA94" s="21">
        <f t="shared" si="557"/>
        <v>1.6986099708405887E-3</v>
      </c>
      <c r="AB94" s="20">
        <f t="shared" si="557"/>
        <v>4.3166712821932969E-2</v>
      </c>
      <c r="AC94" s="21">
        <f t="shared" si="557"/>
        <v>1.9314672287857236E-2</v>
      </c>
      <c r="AD94" s="21">
        <f t="shared" si="557"/>
        <v>2.2925329958416202E-2</v>
      </c>
      <c r="AE94" s="21">
        <f t="shared" si="557"/>
        <v>6.0565755409353909E-3</v>
      </c>
      <c r="AF94" s="20">
        <f t="shared" si="557"/>
        <v>7.4999999999999997E-2</v>
      </c>
      <c r="AG94" s="21">
        <f t="shared" si="557"/>
        <v>7.9996668540612603E-2</v>
      </c>
      <c r="AH94" s="21">
        <f t="shared" si="557"/>
        <v>7.0000474901457971E-2</v>
      </c>
      <c r="AI94" s="21">
        <f t="shared" si="557"/>
        <v>3.2708387049246758E-2</v>
      </c>
      <c r="AJ94" s="20">
        <f t="shared" si="557"/>
        <v>8.5028685026524192E-2</v>
      </c>
      <c r="AK94" s="21">
        <f t="shared" si="557"/>
        <v>7.0004488224316708E-2</v>
      </c>
      <c r="AL94" s="21">
        <f t="shared" si="557"/>
        <v>4.5000102646219536E-2</v>
      </c>
      <c r="AM94" s="37">
        <f t="shared" si="557"/>
        <v>5.5631861884533861E-2</v>
      </c>
      <c r="AN94" s="20">
        <f t="shared" si="557"/>
        <v>8.4683056731180761E-2</v>
      </c>
      <c r="AO94" s="21">
        <f t="shared" si="557"/>
        <v>4.4949292762643048E-2</v>
      </c>
      <c r="AP94" s="21">
        <f t="shared" si="557"/>
        <v>6.2412861624259325E-2</v>
      </c>
      <c r="AQ94" s="37">
        <f t="shared" si="557"/>
        <v>1.0626992561104467E-4</v>
      </c>
      <c r="AR94" s="20">
        <f t="shared" si="557"/>
        <v>7.3281407559372708E-2</v>
      </c>
      <c r="AS94" s="21">
        <f t="shared" si="557"/>
        <v>6.510681586978638E-2</v>
      </c>
      <c r="AT94" s="21">
        <f t="shared" si="557"/>
        <v>7.4041034790365737E-2</v>
      </c>
      <c r="AU94" s="37">
        <f t="shared" si="557"/>
        <v>7.1975497702909647E-2</v>
      </c>
      <c r="AV94" s="20">
        <f t="shared" si="557"/>
        <v>9.9435825105782805E-2</v>
      </c>
      <c r="AW94" s="21">
        <f t="shared" si="557"/>
        <v>8.9792785878741385E-2</v>
      </c>
      <c r="AX94" s="21">
        <f t="shared" ref="AX94:BC94" si="558">AX93/AX83</f>
        <v>0.10217755443886099</v>
      </c>
      <c r="AY94" s="37">
        <f t="shared" si="558"/>
        <v>8.432203389830506E-2</v>
      </c>
      <c r="AZ94" s="20">
        <f t="shared" si="558"/>
        <v>0.13498233215547703</v>
      </c>
      <c r="BA94" s="21">
        <f t="shared" si="558"/>
        <v>0.13548883756735952</v>
      </c>
      <c r="BB94" s="21">
        <f t="shared" si="558"/>
        <v>0.11437246963562751</v>
      </c>
      <c r="BC94" s="37">
        <f t="shared" si="558"/>
        <v>0.11373840167614492</v>
      </c>
      <c r="BD94" s="20">
        <f t="shared" ref="BD94:BI94" si="559">BD93/BD83</f>
        <v>0.14995902758809068</v>
      </c>
      <c r="BE94" s="21">
        <f t="shared" si="559"/>
        <v>0.14321074964639322</v>
      </c>
      <c r="BF94" s="21">
        <f t="shared" si="559"/>
        <v>0.12655906089508437</v>
      </c>
      <c r="BG94" s="37">
        <f t="shared" si="559"/>
        <v>0.12621970412338682</v>
      </c>
      <c r="BH94" s="20">
        <f t="shared" si="559"/>
        <v>0.14681753889674684</v>
      </c>
      <c r="BI94" s="859">
        <f t="shared" si="559"/>
        <v>0.13015669971218422</v>
      </c>
      <c r="BJ94" s="859">
        <f>BJ93/BJ83</f>
        <v>0.12652939421068343</v>
      </c>
      <c r="BK94" s="885">
        <f t="shared" ref="BK94:BL94" si="560">BK93/BK83</f>
        <v>0.11076115485564303</v>
      </c>
      <c r="BL94" s="880">
        <f t="shared" si="560"/>
        <v>0.10718577265080498</v>
      </c>
      <c r="BM94" s="883">
        <v>0.11</v>
      </c>
      <c r="BN94" s="883">
        <f t="shared" ref="BN94:BS94" si="561">BM94</f>
        <v>0.11</v>
      </c>
      <c r="BO94" s="892">
        <f t="shared" si="561"/>
        <v>0.11</v>
      </c>
      <c r="BP94" s="904">
        <v>0.1</v>
      </c>
      <c r="BQ94" s="883">
        <f t="shared" si="561"/>
        <v>0.1</v>
      </c>
      <c r="BR94" s="883">
        <f t="shared" si="561"/>
        <v>0.1</v>
      </c>
      <c r="BS94" s="883">
        <f t="shared" si="561"/>
        <v>0.1</v>
      </c>
      <c r="BT94" s="904">
        <f t="shared" ref="BT94" si="562">BS94</f>
        <v>0.1</v>
      </c>
      <c r="BU94" s="883">
        <f t="shared" ref="BU94" si="563">BT94</f>
        <v>0.1</v>
      </c>
      <c r="BV94" s="883">
        <f t="shared" ref="BV94" si="564">BU94</f>
        <v>0.1</v>
      </c>
      <c r="BW94" s="883">
        <f t="shared" ref="BW94" si="565">BV94</f>
        <v>0.1</v>
      </c>
      <c r="BX94" s="108"/>
      <c r="BY94" s="21">
        <f>BY93/BY83</f>
        <v>-4.3985697901909128E-2</v>
      </c>
      <c r="BZ94" s="21">
        <f t="shared" ref="BZ94:CN94" si="566">BZ93/BZ83</f>
        <v>1.1260177065237896E-2</v>
      </c>
      <c r="CA94" s="21">
        <f t="shared" si="566"/>
        <v>6.3396700143471915E-2</v>
      </c>
      <c r="CB94" s="21">
        <f t="shared" si="566"/>
        <v>6.7136807754851605E-2</v>
      </c>
      <c r="CC94" s="21">
        <f t="shared" si="566"/>
        <v>1.4768359295974127E-2</v>
      </c>
      <c r="CD94" s="21">
        <f t="shared" si="566"/>
        <v>1.7913170070531559E-2</v>
      </c>
      <c r="CE94" s="21">
        <f t="shared" si="566"/>
        <v>2.1252467554286239E-2</v>
      </c>
      <c r="CF94" s="21">
        <f t="shared" si="566"/>
        <v>6.0586705971463095E-2</v>
      </c>
      <c r="CG94" s="21">
        <f t="shared" si="566"/>
        <v>6.3177683822955813E-2</v>
      </c>
      <c r="CH94" s="21">
        <f t="shared" si="566"/>
        <v>4.7916641673119972E-2</v>
      </c>
      <c r="CI94" s="37">
        <f t="shared" si="566"/>
        <v>7.1332087817628398E-2</v>
      </c>
      <c r="CJ94" s="880">
        <f t="shared" si="566"/>
        <v>9.3131548311990664E-2</v>
      </c>
      <c r="CK94" s="881">
        <f t="shared" si="566"/>
        <v>0.12383874541890401</v>
      </c>
      <c r="CL94" s="881">
        <f t="shared" si="566"/>
        <v>0.13718528082633955</v>
      </c>
      <c r="CM94" s="881">
        <f t="shared" si="566"/>
        <v>0.1281921435289011</v>
      </c>
      <c r="CN94" s="881">
        <f t="shared" si="566"/>
        <v>0.10919254726068402</v>
      </c>
      <c r="CO94" s="881">
        <f>CO93/CO83</f>
        <v>0.1</v>
      </c>
      <c r="CP94" s="885">
        <f>CP93/CP83</f>
        <v>9.9999999999999964E-2</v>
      </c>
      <c r="CQ94" s="106"/>
      <c r="CR94" s="20">
        <f>CR93/CR83</f>
        <v>9.9978140882014926E-2</v>
      </c>
      <c r="CS94" s="21">
        <f>CS93/CS83</f>
        <v>2.7873833766222499E-2</v>
      </c>
      <c r="CT94" s="21">
        <f>CT93/CT83</f>
        <v>1.567076230149007E-2</v>
      </c>
      <c r="CU94" s="21">
        <f t="shared" ref="CU94:CZ94" si="567">CU93/CU83</f>
        <v>2.3502350235023509E-2</v>
      </c>
      <c r="CV94" s="21">
        <f t="shared" si="567"/>
        <v>3.6350938577989121E-2</v>
      </c>
      <c r="CW94" s="21">
        <f t="shared" si="567"/>
        <v>6.5911178743487051E-2</v>
      </c>
      <c r="CX94" s="21">
        <f t="shared" si="567"/>
        <v>6.377873454691943E-2</v>
      </c>
      <c r="CY94" s="21">
        <f t="shared" si="567"/>
        <v>4.5509901614645111E-2</v>
      </c>
      <c r="CZ94" s="21">
        <f t="shared" si="567"/>
        <v>7.9121789560894773E-2</v>
      </c>
      <c r="DA94" s="880">
        <f t="shared" ref="DA94:DF94" si="568">DA93/DA83</f>
        <v>0.10634958957025596</v>
      </c>
      <c r="DB94" s="881">
        <f t="shared" si="568"/>
        <v>0.12893982808022927</v>
      </c>
      <c r="DC94" s="881">
        <f t="shared" si="568"/>
        <v>0.13614870373389856</v>
      </c>
      <c r="DD94" s="881">
        <f t="shared" si="568"/>
        <v>0.11758599211018063</v>
      </c>
      <c r="DE94" s="881">
        <f t="shared" si="568"/>
        <v>0.10717037262813225</v>
      </c>
      <c r="DF94" s="885">
        <f t="shared" si="568"/>
        <v>0.1</v>
      </c>
      <c r="DG94" s="7"/>
      <c r="DH94" s="7"/>
      <c r="DI94" s="7"/>
      <c r="DJ94" s="7"/>
      <c r="DK94"/>
      <c r="DL94"/>
      <c r="DM94"/>
      <c r="DN94"/>
      <c r="DO94"/>
      <c r="DP94"/>
      <c r="DQ94" s="7"/>
      <c r="DR94" s="7"/>
    </row>
    <row r="95" spans="1:122" s="7" customFormat="1" ht="14.25" hidden="1" outlineLevel="1">
      <c r="A95" s="505"/>
      <c r="B95" s="14" t="s">
        <v>43</v>
      </c>
      <c r="C95" s="24"/>
      <c r="D95" s="30">
        <f t="shared" ref="D95:X95" si="569">D88+D91+D92</f>
        <v>0.73799999999999999</v>
      </c>
      <c r="E95" s="31">
        <f t="shared" si="569"/>
        <v>0.60099999999999998</v>
      </c>
      <c r="F95" s="31">
        <f t="shared" si="569"/>
        <v>0.26300000000000001</v>
      </c>
      <c r="G95" s="32">
        <f t="shared" si="569"/>
        <v>-0.95</v>
      </c>
      <c r="H95" s="31">
        <f t="shared" si="569"/>
        <v>0.8</v>
      </c>
      <c r="I95" s="31">
        <f t="shared" si="569"/>
        <v>0.43099999999999999</v>
      </c>
      <c r="J95" s="31">
        <f t="shared" si="569"/>
        <v>0.58299999999999996</v>
      </c>
      <c r="K95" s="32">
        <f t="shared" si="569"/>
        <v>-1.2760000000000005</v>
      </c>
      <c r="L95" s="31">
        <f t="shared" si="569"/>
        <v>0.72599999999999998</v>
      </c>
      <c r="M95" s="31">
        <f t="shared" si="569"/>
        <v>1.2090000000000001</v>
      </c>
      <c r="N95" s="31">
        <f t="shared" si="569"/>
        <v>0.72300000000000009</v>
      </c>
      <c r="O95" s="32">
        <f t="shared" si="569"/>
        <v>0.16999999999999948</v>
      </c>
      <c r="P95" s="31">
        <f t="shared" si="569"/>
        <v>1.5570000000000002</v>
      </c>
      <c r="Q95" s="31">
        <f t="shared" si="569"/>
        <v>0.59299999999999997</v>
      </c>
      <c r="R95" s="31">
        <f t="shared" si="569"/>
        <v>0.65200000000000002</v>
      </c>
      <c r="S95" s="32">
        <f>S88+S91+S92</f>
        <v>-0.3620000000000001</v>
      </c>
      <c r="T95" s="31">
        <f t="shared" si="569"/>
        <v>0.39300000000000002</v>
      </c>
      <c r="U95" s="31">
        <f t="shared" si="569"/>
        <v>0.29500000000000004</v>
      </c>
      <c r="V95" s="31">
        <f t="shared" si="569"/>
        <v>0.35199999999999998</v>
      </c>
      <c r="W95" s="32">
        <f t="shared" si="569"/>
        <v>0.12800000000000056</v>
      </c>
      <c r="X95" s="31">
        <f t="shared" si="569"/>
        <v>0.56799999999999984</v>
      </c>
      <c r="Y95" s="31">
        <f t="shared" ref="Y95:AJ95" si="570">Y88+Y91+Y92</f>
        <v>0.69699999999999984</v>
      </c>
      <c r="Z95" s="31">
        <f t="shared" si="570"/>
        <v>0.81600000000000006</v>
      </c>
      <c r="AA95" s="31">
        <f t="shared" si="570"/>
        <v>6.0000000000002274E-2</v>
      </c>
      <c r="AB95" s="30">
        <f t="shared" si="570"/>
        <v>1.2470000000000001</v>
      </c>
      <c r="AC95" s="31">
        <f t="shared" si="570"/>
        <v>0.39400000000000002</v>
      </c>
      <c r="AD95" s="31">
        <f t="shared" si="570"/>
        <v>0.63400000000000001</v>
      </c>
      <c r="AE95" s="31">
        <f t="shared" si="570"/>
        <v>0.25500000000000256</v>
      </c>
      <c r="AF95" s="30">
        <f t="shared" si="570"/>
        <v>3.8699999999999992</v>
      </c>
      <c r="AG95" s="31">
        <f t="shared" si="570"/>
        <v>3.8419999999999996</v>
      </c>
      <c r="AH95" s="31">
        <f t="shared" si="570"/>
        <v>4.4220000000000006</v>
      </c>
      <c r="AI95" s="31">
        <f t="shared" si="570"/>
        <v>2.6640000000000015</v>
      </c>
      <c r="AJ95" s="30">
        <f t="shared" si="570"/>
        <v>7.87</v>
      </c>
      <c r="AK95" s="31">
        <f t="shared" ref="AK95:AP95" si="571">AK88+AK91+AK92</f>
        <v>5.9269999999999978</v>
      </c>
      <c r="AL95" s="31">
        <f t="shared" si="571"/>
        <v>4.3839999999999986</v>
      </c>
      <c r="AM95" s="32">
        <f t="shared" si="571"/>
        <v>6.1159999999999988</v>
      </c>
      <c r="AN95" s="30">
        <f t="shared" si="571"/>
        <v>8.9040000000000017</v>
      </c>
      <c r="AO95" s="31">
        <f t="shared" si="571"/>
        <v>3.7539999999999996</v>
      </c>
      <c r="AP95" s="31">
        <f t="shared" si="571"/>
        <v>5.73</v>
      </c>
      <c r="AQ95" s="32">
        <f t="shared" ref="AQ95:AV95" si="572">AQ88+AQ91+AQ92</f>
        <v>1.0999999999999233E-2</v>
      </c>
      <c r="AR95" s="30">
        <f t="shared" si="572"/>
        <v>8.43</v>
      </c>
      <c r="AS95" s="31">
        <f t="shared" si="572"/>
        <v>6.3999999999999995</v>
      </c>
      <c r="AT95" s="31">
        <f t="shared" si="572"/>
        <v>8.3000000000000007</v>
      </c>
      <c r="AU95" s="32">
        <f t="shared" si="572"/>
        <v>9.4000000000000021</v>
      </c>
      <c r="AV95" s="30">
        <f t="shared" si="572"/>
        <v>14.1</v>
      </c>
      <c r="AW95" s="31">
        <f t="shared" ref="AW95:BB95" si="573">AW88+AW91+AW92</f>
        <v>11.700000000000001</v>
      </c>
      <c r="AX95" s="31">
        <f t="shared" si="573"/>
        <v>18.3</v>
      </c>
      <c r="AY95" s="32">
        <f t="shared" si="573"/>
        <v>19.900000000000002</v>
      </c>
      <c r="AZ95" s="30">
        <f t="shared" si="573"/>
        <v>38.199999999999996</v>
      </c>
      <c r="BA95" s="31">
        <f t="shared" si="573"/>
        <v>35.200000000000003</v>
      </c>
      <c r="BB95" s="31">
        <f t="shared" si="573"/>
        <v>33.9</v>
      </c>
      <c r="BC95" s="32">
        <f t="shared" ref="BC95:BH95" si="574">BC88+BC91+BC92</f>
        <v>38</v>
      </c>
      <c r="BD95" s="30">
        <f t="shared" si="574"/>
        <v>54.9</v>
      </c>
      <c r="BE95" s="31">
        <f t="shared" si="574"/>
        <v>40.5</v>
      </c>
      <c r="BF95" s="31">
        <f t="shared" si="574"/>
        <v>34.5</v>
      </c>
      <c r="BG95" s="32">
        <f t="shared" si="574"/>
        <v>40.099999999999994</v>
      </c>
      <c r="BH95" s="30">
        <f t="shared" si="574"/>
        <v>51.9</v>
      </c>
      <c r="BI95" s="31">
        <f t="shared" ref="BI95:BS95" si="575">BI88+BI91+BI92</f>
        <v>40.700000000000003</v>
      </c>
      <c r="BJ95" s="31">
        <f t="shared" si="575"/>
        <v>42.400000000000006</v>
      </c>
      <c r="BK95" s="32">
        <f t="shared" si="575"/>
        <v>42.2</v>
      </c>
      <c r="BL95" s="30">
        <f t="shared" si="575"/>
        <v>44.599999999999966</v>
      </c>
      <c r="BM95" s="31">
        <f t="shared" si="575"/>
        <v>36.181048380400007</v>
      </c>
      <c r="BN95" s="31">
        <f t="shared" si="575"/>
        <v>34.718765686227677</v>
      </c>
      <c r="BO95" s="32">
        <f t="shared" si="575"/>
        <v>42.855550422667818</v>
      </c>
      <c r="BP95" s="30">
        <f t="shared" si="575"/>
        <v>40.810012096013537</v>
      </c>
      <c r="BQ95" s="31">
        <f t="shared" si="575"/>
        <v>36.521603102624191</v>
      </c>
      <c r="BR95" s="31">
        <f t="shared" si="575"/>
        <v>36.586296207133628</v>
      </c>
      <c r="BS95" s="32">
        <f t="shared" si="575"/>
        <v>39.71206474993005</v>
      </c>
      <c r="BT95" s="30">
        <f t="shared" ref="BT95:BW95" si="576">BT88+BT91+BT92</f>
        <v>41.601698738607226</v>
      </c>
      <c r="BU95" s="935">
        <f t="shared" si="576"/>
        <v>39.029361500308227</v>
      </c>
      <c r="BV95" s="935">
        <f t="shared" si="576"/>
        <v>39.632851396975447</v>
      </c>
      <c r="BW95" s="936">
        <f t="shared" si="576"/>
        <v>43.128005236213482</v>
      </c>
      <c r="BX95" s="108"/>
      <c r="BY95" s="935">
        <f>BY88+BY91+BY92</f>
        <v>0.65199999999999991</v>
      </c>
      <c r="BZ95" s="935">
        <f>BZ88+BZ91+BZ92</f>
        <v>0.53799999999999981</v>
      </c>
      <c r="CA95" s="935">
        <f>CA88+CA91+CA92</f>
        <v>2.8279999999999994</v>
      </c>
      <c r="CB95" s="935">
        <f>CB88+CB91+CB92</f>
        <v>2.4400000000000013</v>
      </c>
      <c r="CC95" s="935">
        <f>CC88+CC91+CC92</f>
        <v>1.1680000000000001</v>
      </c>
      <c r="CD95" s="935">
        <f t="shared" ref="CD95:CJ95" si="577">CD88+CD91+CD92</f>
        <v>2.1410000000000053</v>
      </c>
      <c r="CE95" s="935">
        <f t="shared" si="577"/>
        <v>2.5300000000000047</v>
      </c>
      <c r="CF95" s="935">
        <f t="shared" si="577"/>
        <v>14.798000000000002</v>
      </c>
      <c r="CG95" s="935">
        <f t="shared" si="577"/>
        <v>24.296999999999997</v>
      </c>
      <c r="CH95" s="935">
        <f t="shared" si="577"/>
        <v>18.399000000000008</v>
      </c>
      <c r="CI95" s="936">
        <f t="shared" si="577"/>
        <v>32.529999999999987</v>
      </c>
      <c r="CJ95" s="30">
        <f t="shared" si="577"/>
        <v>64</v>
      </c>
      <c r="CK95" s="935">
        <f t="shared" ref="CK95:CT95" si="578">CK88+CK91+CK92</f>
        <v>145.30000000000001</v>
      </c>
      <c r="CL95" s="31">
        <f t="shared" si="578"/>
        <v>170.00000000000003</v>
      </c>
      <c r="CM95" s="935">
        <f t="shared" si="578"/>
        <v>177.2</v>
      </c>
      <c r="CN95" s="935">
        <f t="shared" si="578"/>
        <v>158.35536448929548</v>
      </c>
      <c r="CO95" s="935">
        <f>CO88+CO91+CO92</f>
        <v>153.6299761557014</v>
      </c>
      <c r="CP95" s="936">
        <f>CP88+CP91+CP92</f>
        <v>163.39191687210439</v>
      </c>
      <c r="CQ95" s="946">
        <f t="shared" si="578"/>
        <v>0</v>
      </c>
      <c r="CR95" s="30">
        <f t="shared" si="578"/>
        <v>3.6590000000000007</v>
      </c>
      <c r="CS95" s="31">
        <f t="shared" si="578"/>
        <v>1.2760000000000016</v>
      </c>
      <c r="CT95" s="31">
        <f t="shared" si="578"/>
        <v>1.3430000000000002</v>
      </c>
      <c r="CU95" s="31">
        <f t="shared" ref="CU95:CZ95" si="579">CU88+CU91+CU92</f>
        <v>2.8200000000000003</v>
      </c>
      <c r="CV95" s="31">
        <f t="shared" si="579"/>
        <v>5.1530000000000005</v>
      </c>
      <c r="CW95" s="31">
        <f t="shared" si="579"/>
        <v>18.798000000000002</v>
      </c>
      <c r="CX95" s="31">
        <f t="shared" si="579"/>
        <v>25.330999999999996</v>
      </c>
      <c r="CY95" s="31">
        <f t="shared" si="579"/>
        <v>17.924999999999997</v>
      </c>
      <c r="CZ95" s="31">
        <f t="shared" si="579"/>
        <v>38.200000000000003</v>
      </c>
      <c r="DA95" s="30">
        <f t="shared" ref="DA95:DF95" si="580">DA88+DA91+DA92</f>
        <v>88.100000000000009</v>
      </c>
      <c r="DB95" s="31">
        <f t="shared" si="580"/>
        <v>162</v>
      </c>
      <c r="DC95" s="31">
        <f t="shared" si="580"/>
        <v>167</v>
      </c>
      <c r="DD95" s="31">
        <f t="shared" si="580"/>
        <v>169.89999999999998</v>
      </c>
      <c r="DE95" s="31">
        <f t="shared" si="580"/>
        <v>154.56537658530902</v>
      </c>
      <c r="DF95" s="32">
        <f t="shared" si="580"/>
        <v>154.42166279829507</v>
      </c>
      <c r="DG95" s="42"/>
      <c r="DH95" s="42"/>
      <c r="DI95" s="42"/>
      <c r="DJ95" s="42"/>
      <c r="DK95"/>
      <c r="DL95"/>
      <c r="DM95"/>
      <c r="DN95"/>
      <c r="DO95"/>
      <c r="DP95"/>
      <c r="DQ95" s="42"/>
      <c r="DR95" s="42"/>
    </row>
    <row r="96" spans="1:122" s="42" customFormat="1" ht="14.25" hidden="1" outlineLevel="1">
      <c r="B96" s="19" t="s">
        <v>261</v>
      </c>
      <c r="C96" s="34"/>
      <c r="D96" s="20">
        <f t="shared" ref="D96:R96" si="581">D95/D85</f>
        <v>-0.61912751677852063</v>
      </c>
      <c r="E96" s="21">
        <f t="shared" si="581"/>
        <v>0.11708552503409306</v>
      </c>
      <c r="F96" s="21">
        <f t="shared" si="581"/>
        <v>-5.7776801405975665E-2</v>
      </c>
      <c r="G96" s="37">
        <f t="shared" si="581"/>
        <v>7.9318694163813944E-2</v>
      </c>
      <c r="H96" s="21">
        <f t="shared" si="581"/>
        <v>0.12859668863526771</v>
      </c>
      <c r="I96" s="21">
        <f t="shared" si="581"/>
        <v>5.3660358565736969E-2</v>
      </c>
      <c r="J96" s="21">
        <f t="shared" si="581"/>
        <v>3.7943377806703524E-2</v>
      </c>
      <c r="K96" s="37">
        <f t="shared" si="581"/>
        <v>-7.026044821320436E-2</v>
      </c>
      <c r="L96" s="21">
        <f t="shared" si="581"/>
        <v>3.4132581100141036E-2</v>
      </c>
      <c r="M96" s="21">
        <f t="shared" si="581"/>
        <v>-1.5377179705684087E-2</v>
      </c>
      <c r="N96" s="21">
        <f t="shared" si="581"/>
        <v>7.1168422088788194E-2</v>
      </c>
      <c r="O96" s="37">
        <f t="shared" si="581"/>
        <v>1.8518115073745615E-3</v>
      </c>
      <c r="P96" s="21">
        <f t="shared" si="581"/>
        <v>0.16664882799957192</v>
      </c>
      <c r="Q96" s="21">
        <f t="shared" si="581"/>
        <v>0.36180597925564079</v>
      </c>
      <c r="R96" s="21">
        <f t="shared" si="581"/>
        <v>0.13076614520657853</v>
      </c>
      <c r="S96" s="37">
        <f>S95/S85</f>
        <v>-3.2336730774384301E-2</v>
      </c>
      <c r="T96" s="21">
        <f>T95/T85</f>
        <v>1.9866545344252348E-2</v>
      </c>
      <c r="U96" s="21">
        <f>U95/U85</f>
        <v>2.2829283392663647E-2</v>
      </c>
      <c r="V96" s="21">
        <f>V95/V85</f>
        <v>2.5972109496052526E-2</v>
      </c>
      <c r="W96" s="37">
        <f>W95/W85</f>
        <v>6.7036765476066419E-3</v>
      </c>
      <c r="X96" s="21">
        <f t="shared" ref="X96:AW96" si="582">X95/X85</f>
        <v>2.4258990347655256E-2</v>
      </c>
      <c r="Y96" s="21">
        <f t="shared" si="582"/>
        <v>3.4186776535216783E-2</v>
      </c>
      <c r="Z96" s="21">
        <f t="shared" si="582"/>
        <v>3.4526529576034519E-2</v>
      </c>
      <c r="AA96" s="21">
        <f t="shared" si="582"/>
        <v>2.0780660132304258E-3</v>
      </c>
      <c r="AB96" s="20">
        <f t="shared" si="582"/>
        <v>5.592179021480783E-2</v>
      </c>
      <c r="AC96" s="21">
        <f t="shared" si="582"/>
        <v>2.4418964982956284E-2</v>
      </c>
      <c r="AD96" s="21">
        <f t="shared" si="582"/>
        <v>2.8575291837562553E-2</v>
      </c>
      <c r="AE96" s="21">
        <f t="shared" si="582"/>
        <v>7.2944676468906372E-3</v>
      </c>
      <c r="AF96" s="20">
        <f t="shared" si="582"/>
        <v>8.8932806324110672E-2</v>
      </c>
      <c r="AG96" s="21">
        <f t="shared" si="582"/>
        <v>9.7743404482662138E-2</v>
      </c>
      <c r="AH96" s="21">
        <f t="shared" si="582"/>
        <v>8.2291201429209482E-2</v>
      </c>
      <c r="AI96" s="21">
        <f t="shared" si="582"/>
        <v>3.9794455066921607E-2</v>
      </c>
      <c r="AJ96" s="20">
        <f t="shared" si="582"/>
        <v>0.1000432207052602</v>
      </c>
      <c r="AK96" s="21">
        <f t="shared" si="582"/>
        <v>8.5273213823267024E-2</v>
      </c>
      <c r="AL96" s="21">
        <f t="shared" si="582"/>
        <v>5.5356331127834731E-2</v>
      </c>
      <c r="AM96" s="37">
        <f t="shared" si="582"/>
        <v>6.6775848891800396E-2</v>
      </c>
      <c r="AN96" s="20">
        <f t="shared" si="582"/>
        <v>0.10852580900725212</v>
      </c>
      <c r="AO96" s="21">
        <f t="shared" si="582"/>
        <v>6.0986109982942086E-2</v>
      </c>
      <c r="AP96" s="21">
        <f t="shared" si="582"/>
        <v>7.9005060184483028E-2</v>
      </c>
      <c r="AQ96" s="37">
        <f t="shared" si="582"/>
        <v>1.311694351367052E-4</v>
      </c>
      <c r="AR96" s="20">
        <f t="shared" si="582"/>
        <v>8.7219227545963368E-2</v>
      </c>
      <c r="AS96" s="21">
        <f t="shared" si="582"/>
        <v>8.0706179066834818E-2</v>
      </c>
      <c r="AT96" s="21">
        <f t="shared" si="582"/>
        <v>8.9439655172413784E-2</v>
      </c>
      <c r="AU96" s="37">
        <f t="shared" si="582"/>
        <v>8.3555555555555563E-2</v>
      </c>
      <c r="AV96" s="20">
        <f t="shared" si="582"/>
        <v>0.11510204081632652</v>
      </c>
      <c r="AW96" s="21">
        <f t="shared" si="582"/>
        <v>0.10753676470588237</v>
      </c>
      <c r="AX96" s="21">
        <f t="shared" ref="AX96:BC96" si="583">AX95/AX85</f>
        <v>0.11867704280155643</v>
      </c>
      <c r="AY96" s="37">
        <f t="shared" si="583"/>
        <v>9.4402277039848173E-2</v>
      </c>
      <c r="AZ96" s="20">
        <f t="shared" si="583"/>
        <v>0.14630409804672537</v>
      </c>
      <c r="BA96" s="21">
        <f t="shared" si="583"/>
        <v>0.15291051259774108</v>
      </c>
      <c r="BB96" s="21">
        <f t="shared" si="583"/>
        <v>0.12616300707108297</v>
      </c>
      <c r="BC96" s="37">
        <f t="shared" si="583"/>
        <v>0.12353706111833554</v>
      </c>
      <c r="BD96" s="20">
        <f t="shared" ref="BD96:BI96" si="584">BD95/BD85</f>
        <v>0.16015169194865814</v>
      </c>
      <c r="BE96" s="21">
        <f t="shared" si="584"/>
        <v>0.15317700453857788</v>
      </c>
      <c r="BF96" s="21">
        <f t="shared" si="584"/>
        <v>0.13625592417061608</v>
      </c>
      <c r="BG96" s="37">
        <f t="shared" si="584"/>
        <v>0.13478991596638654</v>
      </c>
      <c r="BH96" s="20">
        <f t="shared" si="584"/>
        <v>0.15637240132570052</v>
      </c>
      <c r="BI96" s="859">
        <f t="shared" si="584"/>
        <v>0.14112343966712898</v>
      </c>
      <c r="BJ96" s="859">
        <f t="shared" ref="BJ96:BS96" si="585">BJ95/BJ85</f>
        <v>0.13498885705189434</v>
      </c>
      <c r="BK96" s="885">
        <f t="shared" si="585"/>
        <v>0.11971631205673758</v>
      </c>
      <c r="BL96" s="880">
        <f t="shared" si="585"/>
        <v>0.1142710735331795</v>
      </c>
      <c r="BM96" s="881">
        <f t="shared" si="585"/>
        <v>0.11924465342581403</v>
      </c>
      <c r="BN96" s="881">
        <f t="shared" si="585"/>
        <v>0.11966824169336915</v>
      </c>
      <c r="BO96" s="885">
        <f t="shared" si="585"/>
        <v>0.11770401397093826</v>
      </c>
      <c r="BP96" s="20">
        <f t="shared" si="585"/>
        <v>0.10666492209568772</v>
      </c>
      <c r="BQ96" s="21">
        <f t="shared" si="585"/>
        <v>0.10750626925758186</v>
      </c>
      <c r="BR96" s="21">
        <f t="shared" si="585"/>
        <v>0.10749200202184617</v>
      </c>
      <c r="BS96" s="37">
        <f t="shared" si="585"/>
        <v>0.1068618361685751</v>
      </c>
      <c r="BT96" s="880">
        <f t="shared" ref="BT96:BW96" si="586">BT95/BT85</f>
        <v>0.10652980557150264</v>
      </c>
      <c r="BU96" s="881">
        <f t="shared" si="586"/>
        <v>0.10699025392749394</v>
      </c>
      <c r="BV96" s="881">
        <f t="shared" si="586"/>
        <v>0.10687649386154804</v>
      </c>
      <c r="BW96" s="885">
        <f t="shared" si="586"/>
        <v>0.10628419259437691</v>
      </c>
      <c r="BX96" s="108"/>
      <c r="BY96" s="21">
        <f>BY95/BY85</f>
        <v>-5.1795360660946893E-2</v>
      </c>
      <c r="BZ96" s="21">
        <f>BZ95/BZ85</f>
        <v>1.1260177065237896E-2</v>
      </c>
      <c r="CA96" s="21">
        <f>CA95/CA85</f>
        <v>6.3396700143471915E-2</v>
      </c>
      <c r="CB96" s="21">
        <f>CB95/CB85</f>
        <v>8.9829067066234156E-2</v>
      </c>
      <c r="CC96" s="21">
        <f>CC95/CC85</f>
        <v>1.7872718091536503E-2</v>
      </c>
      <c r="CD96" s="21">
        <f t="shared" ref="CD96:CJ96" si="587">CD95/CD85</f>
        <v>2.2230528818698175E-2</v>
      </c>
      <c r="CE96" s="21">
        <f t="shared" si="587"/>
        <v>2.6470249741051964E-2</v>
      </c>
      <c r="CF96" s="21">
        <f t="shared" si="587"/>
        <v>7.271637273160593E-2</v>
      </c>
      <c r="CG96" s="21">
        <f t="shared" si="587"/>
        <v>7.6176173665498254E-2</v>
      </c>
      <c r="CH96" s="21">
        <f t="shared" si="587"/>
        <v>6.1332453298131917E-2</v>
      </c>
      <c r="CI96" s="37">
        <f t="shared" si="587"/>
        <v>8.5323918762606421E-2</v>
      </c>
      <c r="CJ96" s="880">
        <f t="shared" si="587"/>
        <v>0.10732852590977693</v>
      </c>
      <c r="CK96" s="881">
        <f t="shared" ref="CK96:CO96" si="588">CK95/CK85</f>
        <v>0.13609966279505442</v>
      </c>
      <c r="CL96" s="881">
        <f t="shared" si="588"/>
        <v>0.14681751446584329</v>
      </c>
      <c r="CM96" s="881">
        <f t="shared" si="588"/>
        <v>0.13769523661512162</v>
      </c>
      <c r="CN96" s="881">
        <f t="shared" si="588"/>
        <v>0.1174795631961266</v>
      </c>
      <c r="CO96" s="881">
        <f t="shared" si="588"/>
        <v>0.10711148413559474</v>
      </c>
      <c r="CP96" s="885">
        <f t="shared" ref="CP96" si="589">CP95/CP85</f>
        <v>0.10665831475202156</v>
      </c>
      <c r="CQ96" s="106"/>
      <c r="CR96" s="20">
        <f>CR95/CR85</f>
        <v>0.11196107830237702</v>
      </c>
      <c r="CS96" s="21">
        <f>CS95/CS85</f>
        <v>3.9184736378237217E-2</v>
      </c>
      <c r="CT96" s="21">
        <f>CT95/CT85</f>
        <v>1.946856471884378E-2</v>
      </c>
      <c r="CU96" s="21">
        <f t="shared" ref="CU96:CZ96" si="590">CU95/CU85</f>
        <v>2.9623715780406332E-2</v>
      </c>
      <c r="CV96" s="21">
        <f t="shared" si="590"/>
        <v>4.411966163224771E-2</v>
      </c>
      <c r="CW96" s="21">
        <f t="shared" si="590"/>
        <v>7.8767080237834824E-2</v>
      </c>
      <c r="CX96" s="21">
        <f t="shared" si="590"/>
        <v>7.8585455594610581E-2</v>
      </c>
      <c r="CY96" s="21">
        <f t="shared" si="590"/>
        <v>5.6977838243334286E-2</v>
      </c>
      <c r="CZ96" s="21">
        <f t="shared" si="590"/>
        <v>9.3834438712846954E-2</v>
      </c>
      <c r="DA96" s="880">
        <f t="shared" ref="DA96:DF96" si="591">DA95/DA85</f>
        <v>0.11988025581711803</v>
      </c>
      <c r="DB96" s="881">
        <f t="shared" si="591"/>
        <v>0.14095536413469073</v>
      </c>
      <c r="DC96" s="881">
        <f t="shared" si="591"/>
        <v>0.14559721011333912</v>
      </c>
      <c r="DD96" s="881">
        <f t="shared" si="591"/>
        <v>0.1262915334869546</v>
      </c>
      <c r="DE96" s="881">
        <f t="shared" si="591"/>
        <v>0.1153266578117811</v>
      </c>
      <c r="DF96" s="885">
        <f t="shared" si="591"/>
        <v>0.10707244653964743</v>
      </c>
      <c r="DG96" s="7"/>
      <c r="DH96" s="7"/>
      <c r="DI96" s="7"/>
      <c r="DJ96" s="7"/>
      <c r="DK96"/>
      <c r="DL96"/>
      <c r="DM96"/>
      <c r="DN96"/>
      <c r="DO96"/>
      <c r="DP96"/>
      <c r="DQ96" s="7"/>
      <c r="DR96" s="7"/>
    </row>
    <row r="97" spans="1:122" s="7" customFormat="1" ht="15" collapsed="1">
      <c r="A97" s="505"/>
      <c r="B97" s="14"/>
      <c r="C97" s="24"/>
      <c r="D97" s="39"/>
      <c r="E97" s="39"/>
      <c r="F97" s="39"/>
      <c r="G97" s="40"/>
      <c r="H97" s="39"/>
      <c r="I97" s="39"/>
      <c r="J97" s="39"/>
      <c r="K97" s="40"/>
      <c r="L97" s="39"/>
      <c r="M97" s="39"/>
      <c r="N97" s="39"/>
      <c r="O97" s="40"/>
      <c r="P97" s="39"/>
      <c r="Q97" s="39"/>
      <c r="R97" s="39"/>
      <c r="S97" s="40"/>
      <c r="T97" s="39"/>
      <c r="U97" s="39"/>
      <c r="V97" s="39"/>
      <c r="W97" s="40"/>
      <c r="X97" s="39"/>
      <c r="Y97" s="39"/>
      <c r="Z97" s="39"/>
      <c r="AA97" s="39"/>
      <c r="AB97" s="38"/>
      <c r="AC97" s="39"/>
      <c r="AD97" s="39"/>
      <c r="AE97" s="39"/>
      <c r="AF97" s="38"/>
      <c r="AG97" s="39"/>
      <c r="AH97" s="39"/>
      <c r="AI97" s="39"/>
      <c r="AJ97" s="460"/>
      <c r="AK97" s="39"/>
      <c r="AL97" s="39"/>
      <c r="AM97" s="40"/>
      <c r="AN97" s="460"/>
      <c r="AO97" s="39"/>
      <c r="AP97" s="39"/>
      <c r="AQ97" s="40"/>
      <c r="AR97" s="460"/>
      <c r="AS97" s="39"/>
      <c r="AT97" s="39"/>
      <c r="AU97" s="40"/>
      <c r="AV97" s="460"/>
      <c r="AW97" s="39"/>
      <c r="AX97" s="39"/>
      <c r="AY97" s="40"/>
      <c r="AZ97" s="460"/>
      <c r="BA97" s="39"/>
      <c r="BB97" s="39"/>
      <c r="BC97" s="40"/>
      <c r="BD97" s="460"/>
      <c r="BE97" s="39"/>
      <c r="BF97" s="39"/>
      <c r="BG97" s="40"/>
      <c r="BH97" s="460"/>
      <c r="BI97" s="39"/>
      <c r="BJ97" s="39"/>
      <c r="BK97" s="40"/>
      <c r="BL97" s="460"/>
      <c r="BM97" s="39"/>
      <c r="BN97" s="39"/>
      <c r="BO97" s="40"/>
      <c r="BP97" s="38"/>
      <c r="BQ97" s="39"/>
      <c r="BR97" s="39"/>
      <c r="BS97" s="40"/>
      <c r="BT97" s="38"/>
      <c r="BU97" s="39"/>
      <c r="BV97" s="39"/>
      <c r="BW97" s="40"/>
      <c r="BX97" s="108"/>
      <c r="BY97" s="38"/>
      <c r="BZ97" s="39"/>
      <c r="CA97" s="39"/>
      <c r="CB97" s="39"/>
      <c r="CC97" s="39"/>
      <c r="CD97" s="39"/>
      <c r="CE97" s="39"/>
      <c r="CF97" s="39"/>
      <c r="CG97" s="39"/>
      <c r="CH97" s="39"/>
      <c r="CI97" s="40"/>
      <c r="CJ97" s="38"/>
      <c r="CK97" s="39"/>
      <c r="CL97" s="39"/>
      <c r="CM97" s="39"/>
      <c r="CN97" s="39"/>
      <c r="CO97" s="39"/>
      <c r="CP97" s="40"/>
      <c r="CQ97" s="106"/>
      <c r="CR97" s="56"/>
      <c r="CS97" s="57"/>
      <c r="CT97" s="57"/>
      <c r="CU97" s="57"/>
      <c r="CV97" s="57"/>
      <c r="CW97" s="57"/>
      <c r="CX97" s="57"/>
      <c r="CY97" s="57"/>
      <c r="CZ97" s="57"/>
      <c r="DA97" s="56"/>
      <c r="DB97" s="57"/>
      <c r="DC97" s="57"/>
      <c r="DD97" s="57"/>
      <c r="DE97" s="57"/>
      <c r="DF97" s="58"/>
      <c r="DK97"/>
      <c r="DL97"/>
      <c r="DM97"/>
      <c r="DN97"/>
      <c r="DO97"/>
      <c r="DP97"/>
    </row>
    <row r="98" spans="1:122" s="55" customFormat="1" ht="15">
      <c r="B98" s="46" t="s">
        <v>249</v>
      </c>
      <c r="C98" s="47"/>
      <c r="D98" s="48">
        <f>D81-D88-397.139</f>
        <v>-396.34800000000001</v>
      </c>
      <c r="E98" s="49">
        <f t="shared" ref="E98:X98" si="592">E81-E88</f>
        <v>-5.9550000000000063</v>
      </c>
      <c r="F98" s="49">
        <f t="shared" si="592"/>
        <v>-6.1859999999999813</v>
      </c>
      <c r="G98" s="50">
        <f t="shared" si="592"/>
        <v>-42.927000000000007</v>
      </c>
      <c r="H98" s="49">
        <f t="shared" si="592"/>
        <v>4.1719999999999979</v>
      </c>
      <c r="I98" s="49">
        <f t="shared" si="592"/>
        <v>-9.4209999999999905</v>
      </c>
      <c r="J98" s="49">
        <f t="shared" si="592"/>
        <v>13.030000000000006</v>
      </c>
      <c r="K98" s="50">
        <f t="shared" si="592"/>
        <v>14.63099999999995</v>
      </c>
      <c r="L98" s="49">
        <f t="shared" si="592"/>
        <v>13.917000000000009</v>
      </c>
      <c r="M98" s="49">
        <f t="shared" si="592"/>
        <v>-83.676000000000002</v>
      </c>
      <c r="N98" s="49">
        <f t="shared" si="592"/>
        <v>7.38900000000001</v>
      </c>
      <c r="O98" s="50">
        <f t="shared" si="592"/>
        <v>87.98099999999998</v>
      </c>
      <c r="P98" s="49">
        <f t="shared" si="592"/>
        <v>4.2869999999999902</v>
      </c>
      <c r="Q98" s="49">
        <f t="shared" si="592"/>
        <v>0.9260000000000117</v>
      </c>
      <c r="R98" s="49">
        <f t="shared" si="592"/>
        <v>3.0049999999999946</v>
      </c>
      <c r="S98" s="50">
        <f>S81-S88</f>
        <v>-96.370299999999972</v>
      </c>
      <c r="T98" s="49">
        <f t="shared" si="592"/>
        <v>12.037000000000003</v>
      </c>
      <c r="U98" s="49">
        <f t="shared" si="592"/>
        <v>12.197000000000015</v>
      </c>
      <c r="V98" s="49">
        <f t="shared" si="592"/>
        <v>11.423000000000005</v>
      </c>
      <c r="W98" s="50">
        <f t="shared" si="592"/>
        <v>21.992999999999899</v>
      </c>
      <c r="X98" s="49">
        <f t="shared" si="592"/>
        <v>19.077999999999989</v>
      </c>
      <c r="Y98" s="49">
        <f t="shared" ref="Y98:AJ98" si="593">Y81-Y88</f>
        <v>16.672999999999995</v>
      </c>
      <c r="Z98" s="49">
        <f t="shared" si="593"/>
        <v>20.465999999999994</v>
      </c>
      <c r="AA98" s="49">
        <f t="shared" si="593"/>
        <v>54.789000000000087</v>
      </c>
      <c r="AB98" s="48">
        <f t="shared" si="593"/>
        <v>23.585000000000008</v>
      </c>
      <c r="AC98" s="49">
        <f t="shared" si="593"/>
        <v>-5.6779999999999813</v>
      </c>
      <c r="AD98" s="49">
        <f t="shared" si="593"/>
        <v>18.739999999999988</v>
      </c>
      <c r="AE98" s="49">
        <f t="shared" si="593"/>
        <v>58.336999999999961</v>
      </c>
      <c r="AF98" s="48">
        <f t="shared" si="593"/>
        <v>28.009999999999998</v>
      </c>
      <c r="AG98" s="49">
        <f t="shared" si="593"/>
        <v>27.743999999999986</v>
      </c>
      <c r="AH98" s="49">
        <f t="shared" si="593"/>
        <v>34.735999999999997</v>
      </c>
      <c r="AI98" s="49">
        <f t="shared" si="593"/>
        <v>46.804000000000038</v>
      </c>
      <c r="AJ98" s="48">
        <f t="shared" si="593"/>
        <v>60.868000000000016</v>
      </c>
      <c r="AK98" s="49">
        <f t="shared" ref="AK98:AP98" si="594">AK81-AK88</f>
        <v>49.959999999999987</v>
      </c>
      <c r="AL98" s="49">
        <f t="shared" si="594"/>
        <v>51.548000000000002</v>
      </c>
      <c r="AM98" s="50">
        <f t="shared" si="594"/>
        <v>64.208999999999975</v>
      </c>
      <c r="AN98" s="48">
        <f t="shared" si="594"/>
        <v>57.126000000000033</v>
      </c>
      <c r="AO98" s="49">
        <f t="shared" si="594"/>
        <v>34.032999999999994</v>
      </c>
      <c r="AP98" s="49">
        <f t="shared" si="594"/>
        <v>49.317000000000007</v>
      </c>
      <c r="AQ98" s="50">
        <f t="shared" ref="AQ98:AV98" si="595">AQ81-AQ88</f>
        <v>61.602000000000004</v>
      </c>
      <c r="AR98" s="48">
        <f t="shared" si="595"/>
        <v>66.492999999999995</v>
      </c>
      <c r="AS98" s="49">
        <f t="shared" si="595"/>
        <v>61.699999999999982</v>
      </c>
      <c r="AT98" s="49">
        <f t="shared" si="595"/>
        <v>65.700000000000017</v>
      </c>
      <c r="AU98" s="50">
        <f t="shared" si="595"/>
        <v>84.200000000000017</v>
      </c>
      <c r="AV98" s="48">
        <f t="shared" si="595"/>
        <v>94.5</v>
      </c>
      <c r="AW98" s="49">
        <f t="shared" ref="AW98:BB98" si="596">AW81-AW88</f>
        <v>76.899999999999977</v>
      </c>
      <c r="AX98" s="49">
        <f t="shared" si="596"/>
        <v>111.4</v>
      </c>
      <c r="AY98" s="50">
        <f t="shared" si="596"/>
        <v>174.90000000000003</v>
      </c>
      <c r="AZ98" s="48">
        <f t="shared" si="596"/>
        <v>195.2</v>
      </c>
      <c r="BA98" s="49">
        <f t="shared" si="596"/>
        <v>166.50000000000003</v>
      </c>
      <c r="BB98" s="49">
        <f t="shared" si="596"/>
        <v>207.40000000000003</v>
      </c>
      <c r="BC98" s="50">
        <f t="shared" ref="BC98:BH98" si="597">BC81-BC88</f>
        <v>229.19999999999993</v>
      </c>
      <c r="BD98" s="48">
        <f t="shared" si="597"/>
        <v>355.3</v>
      </c>
      <c r="BE98" s="49">
        <f t="shared" si="597"/>
        <v>208.10000000000005</v>
      </c>
      <c r="BF98" s="49">
        <f t="shared" si="597"/>
        <v>185.00000000000006</v>
      </c>
      <c r="BG98" s="50">
        <f t="shared" si="597"/>
        <v>246.79999999999995</v>
      </c>
      <c r="BH98" s="48">
        <f t="shared" si="597"/>
        <v>257.79999999999995</v>
      </c>
      <c r="BI98" s="49">
        <f t="shared" ref="BI98:BS98" si="598">BI81-BI88</f>
        <v>224.90000000000003</v>
      </c>
      <c r="BJ98" s="49">
        <f t="shared" si="598"/>
        <v>246.19999999999996</v>
      </c>
      <c r="BK98" s="50">
        <f t="shared" si="598"/>
        <v>281.30000000000007</v>
      </c>
      <c r="BL98" s="48">
        <f t="shared" si="598"/>
        <v>70.400000000000091</v>
      </c>
      <c r="BM98" s="49">
        <f t="shared" si="598"/>
        <v>267.23757325960008</v>
      </c>
      <c r="BN98" s="49">
        <f t="shared" si="598"/>
        <v>255.40637691584212</v>
      </c>
      <c r="BO98" s="50">
        <f t="shared" si="598"/>
        <v>321.24036251067599</v>
      </c>
      <c r="BP98" s="48">
        <f t="shared" si="598"/>
        <v>341.79010886412186</v>
      </c>
      <c r="BQ98" s="49">
        <f t="shared" si="598"/>
        <v>303.1944279236177</v>
      </c>
      <c r="BR98" s="49">
        <f>BR81-BR88</f>
        <v>303.77666586420264</v>
      </c>
      <c r="BS98" s="50">
        <f t="shared" si="598"/>
        <v>331.90858274937045</v>
      </c>
      <c r="BT98" s="48">
        <f t="shared" ref="BT98:BW98" si="599">BT81-BT88</f>
        <v>348.91528864746499</v>
      </c>
      <c r="BU98" s="938">
        <f t="shared" si="599"/>
        <v>325.76425350277395</v>
      </c>
      <c r="BV98" s="938">
        <f t="shared" si="599"/>
        <v>331.19566257277899</v>
      </c>
      <c r="BW98" s="939">
        <f t="shared" si="599"/>
        <v>362.65204712592134</v>
      </c>
      <c r="BX98" s="108"/>
      <c r="BY98" s="940">
        <f>BY81-BY88-397.139</f>
        <v>-451.41600000000005</v>
      </c>
      <c r="BZ98" s="938">
        <f>BZ81-BZ88</f>
        <v>22.411999999999871</v>
      </c>
      <c r="CA98" s="938">
        <f>CA81-CA88</f>
        <v>25.611000000000097</v>
      </c>
      <c r="CB98" s="938">
        <f>CB81-CB88</f>
        <v>-88.152299999999983</v>
      </c>
      <c r="CC98" s="938">
        <f>CC81-CC88</f>
        <v>57.649999999999906</v>
      </c>
      <c r="CD98" s="938">
        <f t="shared" ref="CD98:CJ98" si="600">CD81-CD88</f>
        <v>111.00600000000007</v>
      </c>
      <c r="CE98" s="938">
        <f t="shared" si="600"/>
        <v>94.983999999999952</v>
      </c>
      <c r="CF98" s="938">
        <f t="shared" si="600"/>
        <v>137.29400000000004</v>
      </c>
      <c r="CG98" s="938">
        <f t="shared" si="600"/>
        <v>226.58500000000009</v>
      </c>
      <c r="CH98" s="938">
        <f t="shared" si="600"/>
        <v>202.07800000000026</v>
      </c>
      <c r="CI98" s="939">
        <f t="shared" si="600"/>
        <v>278.09300000000002</v>
      </c>
      <c r="CJ98" s="940">
        <f t="shared" si="600"/>
        <v>457.70000000000016</v>
      </c>
      <c r="CK98" s="938">
        <f t="shared" ref="CK98:CP98" si="601">CK81-CK88</f>
        <v>798.2999999999995</v>
      </c>
      <c r="CL98" s="938">
        <f t="shared" si="601"/>
        <v>995.2000000000005</v>
      </c>
      <c r="CM98" s="938">
        <f t="shared" si="601"/>
        <v>1010.2</v>
      </c>
      <c r="CN98" s="938">
        <f t="shared" si="601"/>
        <v>914.28431268611826</v>
      </c>
      <c r="CO98" s="938">
        <f t="shared" si="601"/>
        <v>1280.6697854013125</v>
      </c>
      <c r="CP98" s="939">
        <f t="shared" si="601"/>
        <v>1368.5272518489401</v>
      </c>
      <c r="CQ98" s="106"/>
      <c r="CR98" s="48">
        <f>CR81-CR88</f>
        <v>15.981000000000122</v>
      </c>
      <c r="CS98" s="49">
        <f>CS81-CS88</f>
        <v>-80.402300000000039</v>
      </c>
      <c r="CT98" s="49">
        <f>CT81-CT88</f>
        <v>64.690999999999974</v>
      </c>
      <c r="CU98" s="49">
        <f t="shared" ref="CU98:CZ98" si="602">CU81-CU88</f>
        <v>115.51299999999999</v>
      </c>
      <c r="CV98" s="49">
        <f t="shared" si="602"/>
        <v>99.408999999999921</v>
      </c>
      <c r="CW98" s="49">
        <f t="shared" si="602"/>
        <v>170.15200000000007</v>
      </c>
      <c r="CX98" s="49">
        <f t="shared" si="602"/>
        <v>222.84300000000002</v>
      </c>
      <c r="CY98" s="49">
        <f t="shared" si="602"/>
        <v>211.44499999999999</v>
      </c>
      <c r="CZ98" s="49">
        <f t="shared" si="602"/>
        <v>306.10000000000008</v>
      </c>
      <c r="DA98" s="48">
        <f t="shared" ref="DA98:DF98" si="603">DA81-DA88</f>
        <v>558.39999999999964</v>
      </c>
      <c r="DB98" s="49">
        <f t="shared" si="603"/>
        <v>958.39999999999975</v>
      </c>
      <c r="DC98" s="49">
        <f t="shared" si="603"/>
        <v>897.7</v>
      </c>
      <c r="DD98" s="49">
        <f t="shared" si="603"/>
        <v>822.7999999999995</v>
      </c>
      <c r="DE98" s="49">
        <f t="shared" si="603"/>
        <v>1185.6744215502399</v>
      </c>
      <c r="DF98" s="50">
        <f t="shared" si="603"/>
        <v>1287.7949651846557</v>
      </c>
      <c r="DG98" s="7"/>
      <c r="DH98" s="7"/>
      <c r="DI98" s="7"/>
      <c r="DJ98" s="7"/>
      <c r="DK98"/>
      <c r="DL98"/>
      <c r="DM98"/>
      <c r="DN98"/>
      <c r="DO98"/>
      <c r="DP98"/>
      <c r="DQ98" s="7"/>
      <c r="DR98" s="7"/>
    </row>
    <row r="99" spans="1:122" s="55" customFormat="1" ht="15">
      <c r="B99" s="19" t="s">
        <v>254</v>
      </c>
      <c r="C99" s="47"/>
      <c r="D99" s="20">
        <f t="shared" ref="D99:AI99" si="604">D98/D8</f>
        <v>-2.4741750627364323</v>
      </c>
      <c r="E99" s="21">
        <f t="shared" si="604"/>
        <v>-3.7842200249104029E-2</v>
      </c>
      <c r="F99" s="21">
        <f t="shared" si="604"/>
        <v>-4.1185360754731927E-2</v>
      </c>
      <c r="G99" s="37">
        <f t="shared" si="604"/>
        <v>-0.28611896128825853</v>
      </c>
      <c r="H99" s="21">
        <f t="shared" si="604"/>
        <v>2.3825296388514505E-2</v>
      </c>
      <c r="I99" s="21">
        <f t="shared" si="604"/>
        <v>-5.1348714510740065E-2</v>
      </c>
      <c r="J99" s="21">
        <f t="shared" si="604"/>
        <v>6.2832425968164296E-2</v>
      </c>
      <c r="K99" s="37">
        <f t="shared" si="604"/>
        <v>6.7094058248152885E-2</v>
      </c>
      <c r="L99" s="21">
        <f t="shared" si="604"/>
        <v>6.321311773255818E-2</v>
      </c>
      <c r="M99" s="21">
        <f t="shared" si="604"/>
        <v>-0.79249893450774267</v>
      </c>
      <c r="N99" s="21">
        <f t="shared" si="604"/>
        <v>3.857840987406809E-2</v>
      </c>
      <c r="O99" s="37">
        <f t="shared" si="604"/>
        <v>0.31982158825710483</v>
      </c>
      <c r="P99" s="21">
        <f t="shared" si="604"/>
        <v>2.1616034287154876E-2</v>
      </c>
      <c r="Q99" s="21">
        <f t="shared" si="604"/>
        <v>4.9990822419210927E-3</v>
      </c>
      <c r="R99" s="21">
        <f t="shared" si="604"/>
        <v>1.5249317459834133E-2</v>
      </c>
      <c r="S99" s="37">
        <f>S98/S8</f>
        <v>-0.49898411975167362</v>
      </c>
      <c r="T99" s="21">
        <f t="shared" si="604"/>
        <v>6.1403866755088521E-2</v>
      </c>
      <c r="U99" s="21">
        <f t="shared" si="604"/>
        <v>6.7682148604406051E-2</v>
      </c>
      <c r="V99" s="21">
        <f t="shared" si="604"/>
        <v>6.5255641245358501E-2</v>
      </c>
      <c r="W99" s="37">
        <f t="shared" si="604"/>
        <v>0.1154767030359032</v>
      </c>
      <c r="X99" s="21">
        <f t="shared" si="604"/>
        <v>9.0617622890473176E-2</v>
      </c>
      <c r="Y99" s="21">
        <f t="shared" si="604"/>
        <v>8.2659091359787384E-2</v>
      </c>
      <c r="Z99" s="21">
        <f t="shared" si="604"/>
        <v>9.5097811439988814E-2</v>
      </c>
      <c r="AA99" s="21">
        <f t="shared" si="604"/>
        <v>0.23558473723588175</v>
      </c>
      <c r="AB99" s="20">
        <f t="shared" si="604"/>
        <v>0.11218771999923896</v>
      </c>
      <c r="AC99" s="21">
        <f t="shared" si="604"/>
        <v>-3.2822706514827334E-2</v>
      </c>
      <c r="AD99" s="21">
        <f t="shared" si="604"/>
        <v>9.8005888720955101E-2</v>
      </c>
      <c r="AE99" s="21">
        <f t="shared" si="604"/>
        <v>0.25570029717812259</v>
      </c>
      <c r="AF99" s="20">
        <f t="shared" si="604"/>
        <v>0.11426217069568977</v>
      </c>
      <c r="AG99" s="21">
        <f t="shared" si="604"/>
        <v>0.11654302732947427</v>
      </c>
      <c r="AH99" s="21">
        <f t="shared" si="604"/>
        <v>0.12614300758978828</v>
      </c>
      <c r="AI99" s="21">
        <f t="shared" si="604"/>
        <v>0.14939846720058239</v>
      </c>
      <c r="AJ99" s="20">
        <f t="shared" ref="AJ99:BO99" si="605">AJ98/AJ8</f>
        <v>0.18163046073048464</v>
      </c>
      <c r="AK99" s="21">
        <f t="shared" si="605"/>
        <v>0.15352892188647582</v>
      </c>
      <c r="AL99" s="21">
        <f t="shared" si="605"/>
        <v>0.14476725408972829</v>
      </c>
      <c r="AM99" s="37">
        <f t="shared" si="605"/>
        <v>0.15959842511856345</v>
      </c>
      <c r="AN99" s="20">
        <f t="shared" si="605"/>
        <v>0.14508558947528835</v>
      </c>
      <c r="AO99" s="21">
        <f t="shared" si="605"/>
        <v>9.3320354273492542E-2</v>
      </c>
      <c r="AP99" s="21">
        <f t="shared" si="605"/>
        <v>0.12676653694497711</v>
      </c>
      <c r="AQ99" s="37">
        <f t="shared" si="605"/>
        <v>0.14628377656353522</v>
      </c>
      <c r="AR99" s="20">
        <f t="shared" si="605"/>
        <v>0.14654976714867882</v>
      </c>
      <c r="AS99" s="21">
        <f t="shared" si="605"/>
        <v>0.14510818438381934</v>
      </c>
      <c r="AT99" s="21">
        <f t="shared" si="605"/>
        <v>0.15065351983490027</v>
      </c>
      <c r="AU99" s="37">
        <f t="shared" si="605"/>
        <v>0.17651991614255769</v>
      </c>
      <c r="AV99" s="20">
        <f t="shared" si="605"/>
        <v>0.18705463182897863</v>
      </c>
      <c r="AW99" s="21">
        <f t="shared" si="605"/>
        <v>0.15987525987525983</v>
      </c>
      <c r="AX99" s="21">
        <f t="shared" si="605"/>
        <v>0.18977853492333902</v>
      </c>
      <c r="AY99" s="37">
        <f t="shared" si="605"/>
        <v>0.24352548036758567</v>
      </c>
      <c r="AZ99" s="20">
        <f t="shared" si="605"/>
        <v>0.24233395406579764</v>
      </c>
      <c r="BA99" s="21">
        <f t="shared" si="605"/>
        <v>0.21847526571316103</v>
      </c>
      <c r="BB99" s="21">
        <f t="shared" si="605"/>
        <v>0.25604938271604943</v>
      </c>
      <c r="BC99" s="37">
        <f t="shared" si="605"/>
        <v>0.26021798365122611</v>
      </c>
      <c r="BD99" s="20">
        <f t="shared" si="605"/>
        <v>0.38336210617177385</v>
      </c>
      <c r="BE99" s="21">
        <f t="shared" si="605"/>
        <v>0.26848148625983748</v>
      </c>
      <c r="BF99" s="21">
        <f t="shared" ref="BF99:BK99" si="606">BF98/BF8</f>
        <v>0.24610882000798198</v>
      </c>
      <c r="BG99" s="37">
        <f t="shared" si="606"/>
        <v>0.29542734019631312</v>
      </c>
      <c r="BH99" s="20">
        <f t="shared" si="606"/>
        <v>0.28196434430712014</v>
      </c>
      <c r="BI99" s="859">
        <f t="shared" si="606"/>
        <v>0.26406011506398969</v>
      </c>
      <c r="BJ99" s="859">
        <f t="shared" si="606"/>
        <v>0.27331261101243337</v>
      </c>
      <c r="BK99" s="885">
        <f t="shared" si="606"/>
        <v>0.2856997765590088</v>
      </c>
      <c r="BL99" s="880">
        <f t="shared" ref="BL99" si="607">BL98/BL8</f>
        <v>6.6926513927179465E-2</v>
      </c>
      <c r="BM99" s="881">
        <f t="shared" si="605"/>
        <v>0.29603782552271746</v>
      </c>
      <c r="BN99" s="881">
        <f t="shared" si="605"/>
        <v>0.29420664294807969</v>
      </c>
      <c r="BO99" s="885">
        <f t="shared" si="605"/>
        <v>0.31139129176526276</v>
      </c>
      <c r="BP99" s="20">
        <f t="shared" ref="BP99:BW99" si="608">BP98/BP8</f>
        <v>0.31820718347418298</v>
      </c>
      <c r="BQ99" s="21">
        <f t="shared" si="608"/>
        <v>0.31000870137264175</v>
      </c>
      <c r="BR99" s="21">
        <f t="shared" si="608"/>
        <v>0.31051187405988701</v>
      </c>
      <c r="BS99" s="37">
        <f t="shared" si="608"/>
        <v>0.31541067175839854</v>
      </c>
      <c r="BT99" s="880">
        <f t="shared" si="608"/>
        <v>0.31814794812258484</v>
      </c>
      <c r="BU99" s="881">
        <f t="shared" si="608"/>
        <v>0.3141002601889904</v>
      </c>
      <c r="BV99" s="881">
        <f t="shared" si="608"/>
        <v>0.3152349839501089</v>
      </c>
      <c r="BW99" s="885">
        <f t="shared" si="608"/>
        <v>0.31920467580975453</v>
      </c>
      <c r="BX99" s="108"/>
      <c r="BY99" s="20">
        <f t="shared" ref="BY99:CN99" si="609">BY98/BY8</f>
        <v>-0.73069607908201673</v>
      </c>
      <c r="BZ99" s="21">
        <f t="shared" si="609"/>
        <v>2.8585896077028192E-2</v>
      </c>
      <c r="CA99" s="21">
        <f t="shared" si="609"/>
        <v>3.2321980486413687E-2</v>
      </c>
      <c r="CB99" s="21">
        <f t="shared" si="609"/>
        <v>-0.11392865912762518</v>
      </c>
      <c r="CC99" s="21">
        <f t="shared" si="609"/>
        <v>7.7722233007614369E-2</v>
      </c>
      <c r="CD99" s="21">
        <f t="shared" si="609"/>
        <v>0.12907419271944631</v>
      </c>
      <c r="CE99" s="21">
        <f t="shared" si="609"/>
        <v>0.11834876902776924</v>
      </c>
      <c r="CF99" s="21">
        <f t="shared" si="609"/>
        <v>0.12809080383524177</v>
      </c>
      <c r="CG99" s="21">
        <f t="shared" si="609"/>
        <v>0.15968812943910948</v>
      </c>
      <c r="CH99" s="21">
        <f t="shared" si="609"/>
        <v>0.12882853993513899</v>
      </c>
      <c r="CI99" s="37">
        <f t="shared" si="609"/>
        <v>0.15518383413605741</v>
      </c>
      <c r="CJ99" s="880">
        <f t="shared" si="609"/>
        <v>0.19974687963690327</v>
      </c>
      <c r="CK99" s="881">
        <f t="shared" si="609"/>
        <v>0.24499754480726724</v>
      </c>
      <c r="CL99" s="881">
        <f t="shared" si="609"/>
        <v>0.30258437214958966</v>
      </c>
      <c r="CM99" s="881">
        <f t="shared" si="609"/>
        <v>0.27666100673714195</v>
      </c>
      <c r="CN99" s="881">
        <f t="shared" si="609"/>
        <v>0.23720765924511644</v>
      </c>
      <c r="CO99" s="881">
        <f>CO98/CO8</f>
        <v>0.31367850360903421</v>
      </c>
      <c r="CP99" s="885">
        <f>CP98/CP8</f>
        <v>0.3167458490789119</v>
      </c>
      <c r="CQ99" s="106"/>
      <c r="CR99" s="20">
        <f t="shared" ref="CR99:DD99" si="610">CR98/CR8</f>
        <v>2.0740108184432813E-2</v>
      </c>
      <c r="CS99" s="21">
        <f t="shared" si="610"/>
        <v>-0.10422163314775333</v>
      </c>
      <c r="CT99" s="21">
        <f t="shared" si="610"/>
        <v>8.5542157522608325E-2</v>
      </c>
      <c r="CU99" s="21">
        <f t="shared" si="610"/>
        <v>0.13436243765353978</v>
      </c>
      <c r="CV99" s="21">
        <f t="shared" si="610"/>
        <v>0.11869915592719639</v>
      </c>
      <c r="CW99" s="21">
        <f t="shared" si="610"/>
        <v>0.1464515923572362</v>
      </c>
      <c r="CX99" s="21">
        <f t="shared" si="610"/>
        <v>0.15082007821097473</v>
      </c>
      <c r="CY99" s="21">
        <f t="shared" si="610"/>
        <v>0.12983524135373248</v>
      </c>
      <c r="CZ99" s="21">
        <f t="shared" si="610"/>
        <v>0.16604285326823981</v>
      </c>
      <c r="DA99" s="880">
        <f t="shared" si="610"/>
        <v>0.21545703592236742</v>
      </c>
      <c r="DB99" s="881">
        <f t="shared" si="610"/>
        <v>0.28357546527798322</v>
      </c>
      <c r="DC99" s="881">
        <f t="shared" si="610"/>
        <v>0.27398138257286742</v>
      </c>
      <c r="DD99" s="881">
        <f t="shared" si="610"/>
        <v>0.21715492214304552</v>
      </c>
      <c r="DE99" s="881">
        <f>DE98/DE8</f>
        <v>0.30585622879501606</v>
      </c>
      <c r="DF99" s="885">
        <f>DF98/DF8</f>
        <v>0.31368760522532385</v>
      </c>
      <c r="DG99" s="7"/>
      <c r="DH99" s="7"/>
      <c r="DI99" s="7"/>
      <c r="DJ99" s="7"/>
      <c r="DK99"/>
      <c r="DL99"/>
      <c r="DM99"/>
      <c r="DN99"/>
      <c r="DO99"/>
      <c r="DP99"/>
      <c r="DQ99" s="7"/>
      <c r="DR99" s="7"/>
    </row>
    <row r="100" spans="1:122" s="7" customFormat="1" ht="14.25" hidden="1" outlineLevel="1">
      <c r="A100" s="505"/>
      <c r="B100" s="14" t="s">
        <v>44</v>
      </c>
      <c r="C100" s="24"/>
      <c r="D100" s="30">
        <f t="shared" ref="D100:BD100" si="611">(-D9+D17+D35+D46+D54+D55-D58+D78)-D91</f>
        <v>-2.7210000000000001</v>
      </c>
      <c r="E100" s="31">
        <f t="shared" si="611"/>
        <v>8.2520000000000007</v>
      </c>
      <c r="F100" s="31">
        <f t="shared" si="611"/>
        <v>1.371</v>
      </c>
      <c r="G100" s="32">
        <f t="shared" si="611"/>
        <v>31.9</v>
      </c>
      <c r="H100" s="31">
        <f t="shared" si="611"/>
        <v>1.2490000000000001</v>
      </c>
      <c r="I100" s="31">
        <f t="shared" si="611"/>
        <v>17.021999999999998</v>
      </c>
      <c r="J100" s="31">
        <f t="shared" si="611"/>
        <v>1.752</v>
      </c>
      <c r="K100" s="32">
        <f t="shared" si="611"/>
        <v>4.8059999999999992</v>
      </c>
      <c r="L100" s="31">
        <f t="shared" si="611"/>
        <v>6.6269999999999998</v>
      </c>
      <c r="M100" s="31">
        <f t="shared" si="611"/>
        <v>3.8439999999999999</v>
      </c>
      <c r="N100" s="31">
        <f t="shared" si="611"/>
        <v>2.0469999999999997</v>
      </c>
      <c r="O100" s="32">
        <f t="shared" si="611"/>
        <v>3.6510000000000002</v>
      </c>
      <c r="P100" s="31">
        <f t="shared" si="611"/>
        <v>3.4989999999999997</v>
      </c>
      <c r="Q100" s="31">
        <f t="shared" si="611"/>
        <v>0.12000000000000011</v>
      </c>
      <c r="R100" s="31">
        <f t="shared" si="611"/>
        <v>1.3290000000000002</v>
      </c>
      <c r="S100" s="32">
        <f t="shared" si="611"/>
        <v>102.889</v>
      </c>
      <c r="T100" s="31">
        <f t="shared" si="611"/>
        <v>7.3520000000000003</v>
      </c>
      <c r="U100" s="31">
        <f t="shared" si="611"/>
        <v>0.43000000000000005</v>
      </c>
      <c r="V100" s="31">
        <f t="shared" si="611"/>
        <v>1.7779999999999998</v>
      </c>
      <c r="W100" s="31">
        <f t="shared" si="611"/>
        <v>-3.0270000000000001</v>
      </c>
      <c r="X100" s="30">
        <f t="shared" si="611"/>
        <v>3.7679999999999998</v>
      </c>
      <c r="Y100" s="31">
        <f t="shared" si="611"/>
        <v>3.0179999999999998</v>
      </c>
      <c r="Z100" s="31">
        <f t="shared" si="611"/>
        <v>2.3520000000000003</v>
      </c>
      <c r="AA100" s="31">
        <f t="shared" si="611"/>
        <v>-25.975999999999999</v>
      </c>
      <c r="AB100" s="30">
        <f t="shared" si="611"/>
        <v>-2.5330000000000004</v>
      </c>
      <c r="AC100" s="31">
        <f t="shared" si="611"/>
        <v>21.418999999999997</v>
      </c>
      <c r="AD100" s="31">
        <f t="shared" si="611"/>
        <v>2.8130000000000002</v>
      </c>
      <c r="AE100" s="31">
        <f t="shared" si="611"/>
        <v>-23.634</v>
      </c>
      <c r="AF100" s="30">
        <f t="shared" si="611"/>
        <v>11.636000000000001</v>
      </c>
      <c r="AG100" s="31">
        <f t="shared" si="611"/>
        <v>7.7210000000000001</v>
      </c>
      <c r="AH100" s="31">
        <f t="shared" si="611"/>
        <v>14.577999999999999</v>
      </c>
      <c r="AI100" s="31">
        <f t="shared" si="611"/>
        <v>17.475999999999999</v>
      </c>
      <c r="AJ100" s="30">
        <f t="shared" si="611"/>
        <v>9.9280000000000008</v>
      </c>
      <c r="AK100" s="31">
        <f t="shared" si="611"/>
        <v>13.619</v>
      </c>
      <c r="AL100" s="31">
        <f t="shared" si="611"/>
        <v>23.264000000000003</v>
      </c>
      <c r="AM100" s="32">
        <f t="shared" si="611"/>
        <v>21.265000000000001</v>
      </c>
      <c r="AN100" s="30">
        <f t="shared" si="611"/>
        <v>16.015000000000001</v>
      </c>
      <c r="AO100" s="31">
        <f t="shared" si="611"/>
        <v>23.768000000000001</v>
      </c>
      <c r="AP100" s="31">
        <f t="shared" si="611"/>
        <v>17.48</v>
      </c>
      <c r="AQ100" s="32">
        <f t="shared" si="611"/>
        <v>22.248000000000001</v>
      </c>
      <c r="AR100" s="30">
        <f t="shared" si="611"/>
        <v>21.73</v>
      </c>
      <c r="AS100" s="31">
        <f t="shared" si="611"/>
        <v>11.2</v>
      </c>
      <c r="AT100" s="31">
        <f t="shared" si="611"/>
        <v>18.8</v>
      </c>
      <c r="AU100" s="32">
        <f t="shared" si="611"/>
        <v>18.899999999999999</v>
      </c>
      <c r="AV100" s="30">
        <f t="shared" si="611"/>
        <v>13.9</v>
      </c>
      <c r="AW100" s="31">
        <f t="shared" si="611"/>
        <v>20.2</v>
      </c>
      <c r="AX100" s="31">
        <f t="shared" si="611"/>
        <v>24.5</v>
      </c>
      <c r="AY100" s="32">
        <f t="shared" si="611"/>
        <v>16</v>
      </c>
      <c r="AZ100" s="30">
        <f t="shared" si="611"/>
        <v>27.700000000000003</v>
      </c>
      <c r="BA100" s="31">
        <f t="shared" si="611"/>
        <v>28.5</v>
      </c>
      <c r="BB100" s="31">
        <f t="shared" si="611"/>
        <v>27.400000000000002</v>
      </c>
      <c r="BC100" s="32">
        <f t="shared" si="611"/>
        <v>40.400000000000006</v>
      </c>
      <c r="BD100" s="30">
        <f t="shared" si="611"/>
        <v>-67.400000000000006</v>
      </c>
      <c r="BE100" s="31">
        <f>(-BE9+BE17+BE35+BE46+BE54+BE55-BE58+BE78)-BE91</f>
        <v>15.8</v>
      </c>
      <c r="BF100" s="31">
        <f t="shared" ref="BF100:CO100" si="612">(-BF9+BF17+BF35+BF46+BF54+BF55-BF58+BF78)-BF91</f>
        <v>33.700000000000003</v>
      </c>
      <c r="BG100" s="32">
        <f t="shared" si="612"/>
        <v>10.6</v>
      </c>
      <c r="BH100" s="30">
        <f t="shared" si="612"/>
        <v>22.2</v>
      </c>
      <c r="BI100" s="31">
        <f t="shared" si="612"/>
        <v>22.8</v>
      </c>
      <c r="BJ100" s="31">
        <f>(-BJ9+BJ17+BJ35+BJ46+BJ54+BJ55-BJ58+BJ78)-BJ91</f>
        <v>25.5</v>
      </c>
      <c r="BK100" s="32">
        <f t="shared" ref="BK100:BL100" si="613">(-BK9+BK17+BK35+BK46+BK54+BK55-BK58+BK78)-BK91</f>
        <v>29</v>
      </c>
      <c r="BL100" s="30">
        <f t="shared" si="613"/>
        <v>275.3</v>
      </c>
      <c r="BM100" s="31">
        <f t="shared" si="612"/>
        <v>0</v>
      </c>
      <c r="BN100" s="31">
        <f t="shared" si="612"/>
        <v>0</v>
      </c>
      <c r="BO100" s="32">
        <f t="shared" si="612"/>
        <v>0</v>
      </c>
      <c r="BP100" s="30">
        <f t="shared" si="612"/>
        <v>0</v>
      </c>
      <c r="BQ100" s="31">
        <f t="shared" si="612"/>
        <v>0</v>
      </c>
      <c r="BR100" s="31">
        <f t="shared" si="612"/>
        <v>0</v>
      </c>
      <c r="BS100" s="32">
        <f t="shared" si="612"/>
        <v>0</v>
      </c>
      <c r="BT100" s="30">
        <f t="shared" ref="BT100:BW100" si="614">(-BT9+BT17+BT35+BT46+BT54+BT55-BT58+BT78)-BT91</f>
        <v>0</v>
      </c>
      <c r="BU100" s="31">
        <f t="shared" si="614"/>
        <v>0</v>
      </c>
      <c r="BV100" s="31">
        <f t="shared" si="614"/>
        <v>0</v>
      </c>
      <c r="BW100" s="32">
        <f t="shared" si="614"/>
        <v>0</v>
      </c>
      <c r="BX100" s="108"/>
      <c r="BY100" s="937">
        <f t="shared" si="612"/>
        <v>38.802000000000007</v>
      </c>
      <c r="BZ100" s="935">
        <f t="shared" si="612"/>
        <v>24.829000000000001</v>
      </c>
      <c r="CA100" s="935">
        <f t="shared" si="612"/>
        <v>16.169</v>
      </c>
      <c r="CB100" s="935">
        <f t="shared" si="612"/>
        <v>107.837</v>
      </c>
      <c r="CC100" s="935">
        <f t="shared" si="612"/>
        <v>6.5329999999999995</v>
      </c>
      <c r="CD100" s="935">
        <f t="shared" si="612"/>
        <v>-16.838000000000001</v>
      </c>
      <c r="CE100" s="935">
        <f t="shared" si="612"/>
        <v>-1.9350000000000023</v>
      </c>
      <c r="CF100" s="935">
        <f t="shared" si="612"/>
        <v>51.411000000000001</v>
      </c>
      <c r="CG100" s="935">
        <f t="shared" si="612"/>
        <v>68.076000000000008</v>
      </c>
      <c r="CH100" s="935">
        <f t="shared" si="612"/>
        <v>79.510999999999996</v>
      </c>
      <c r="CI100" s="936">
        <f t="shared" si="612"/>
        <v>70.63</v>
      </c>
      <c r="CJ100" s="937">
        <f t="shared" si="612"/>
        <v>74.599999999999994</v>
      </c>
      <c r="CK100" s="31">
        <f t="shared" si="612"/>
        <v>124</v>
      </c>
      <c r="CL100" s="935">
        <f t="shared" si="612"/>
        <v>-7.3000000000000114</v>
      </c>
      <c r="CM100" s="935">
        <f t="shared" si="612"/>
        <v>99.500000000000014</v>
      </c>
      <c r="CN100" s="31">
        <f t="shared" si="612"/>
        <v>275.3</v>
      </c>
      <c r="CO100" s="31">
        <f t="shared" si="612"/>
        <v>0</v>
      </c>
      <c r="CP100" s="32">
        <f t="shared" ref="CP100" si="615">(-CP9+CP17+CP35+CP46+CP54+CP55-CP58+CP78)-CP91</f>
        <v>0</v>
      </c>
      <c r="CQ100" s="106"/>
      <c r="CR100" s="30">
        <f t="shared" ref="CR100:CZ100" si="616">(-CR9+CR17+CR35+CR46+CR54+CR55-CR58+CR78)-CR91</f>
        <v>13.041</v>
      </c>
      <c r="CS100" s="31">
        <f t="shared" si="616"/>
        <v>111.69000000000001</v>
      </c>
      <c r="CT100" s="31">
        <f t="shared" si="616"/>
        <v>2.9489999999999998</v>
      </c>
      <c r="CU100" s="31">
        <f t="shared" si="616"/>
        <v>-23.138999999999999</v>
      </c>
      <c r="CV100" s="31">
        <f t="shared" si="616"/>
        <v>12.233999999999998</v>
      </c>
      <c r="CW100" s="31">
        <f t="shared" si="616"/>
        <v>49.703000000000003</v>
      </c>
      <c r="CX100" s="31">
        <f t="shared" si="616"/>
        <v>74.162999999999997</v>
      </c>
      <c r="CY100" s="31">
        <f t="shared" si="616"/>
        <v>85.225999999999999</v>
      </c>
      <c r="CZ100" s="31">
        <f t="shared" si="616"/>
        <v>62.8</v>
      </c>
      <c r="DA100" s="30">
        <f t="shared" ref="DA100:DF100" si="617">(-DA9+DA17+DA35+DA46+DA54+DA55-DA58+DA78)-DA91</f>
        <v>88.4</v>
      </c>
      <c r="DB100" s="31">
        <f t="shared" si="617"/>
        <v>28.900000000000013</v>
      </c>
      <c r="DC100" s="31">
        <f t="shared" si="617"/>
        <v>82.299999999999983</v>
      </c>
      <c r="DD100" s="31">
        <f t="shared" si="617"/>
        <v>352.6</v>
      </c>
      <c r="DE100" s="31">
        <f t="shared" si="617"/>
        <v>0</v>
      </c>
      <c r="DF100" s="32">
        <f t="shared" si="617"/>
        <v>0</v>
      </c>
      <c r="DK100"/>
      <c r="DL100"/>
      <c r="DM100"/>
      <c r="DN100"/>
      <c r="DO100"/>
      <c r="DP100"/>
    </row>
    <row r="101" spans="1:122" s="7" customFormat="1" ht="14.25" hidden="1" outlineLevel="1">
      <c r="A101" s="505"/>
      <c r="B101" s="14" t="s">
        <v>45</v>
      </c>
      <c r="C101" s="24"/>
      <c r="D101" s="30">
        <f t="shared" ref="D101:R101" si="618">D111</f>
        <v>0</v>
      </c>
      <c r="E101" s="31">
        <f t="shared" si="618"/>
        <v>0</v>
      </c>
      <c r="F101" s="31">
        <f t="shared" si="618"/>
        <v>0</v>
      </c>
      <c r="G101" s="32">
        <f t="shared" si="618"/>
        <v>0</v>
      </c>
      <c r="H101" s="31">
        <f t="shared" si="618"/>
        <v>0</v>
      </c>
      <c r="I101" s="31">
        <f t="shared" si="618"/>
        <v>0</v>
      </c>
      <c r="J101" s="31">
        <f t="shared" si="618"/>
        <v>0</v>
      </c>
      <c r="K101" s="32">
        <f t="shared" si="618"/>
        <v>0</v>
      </c>
      <c r="L101" s="31">
        <f t="shared" si="618"/>
        <v>0</v>
      </c>
      <c r="M101" s="31">
        <f t="shared" si="618"/>
        <v>0</v>
      </c>
      <c r="N101" s="31">
        <f t="shared" si="618"/>
        <v>0</v>
      </c>
      <c r="O101" s="32">
        <f t="shared" si="618"/>
        <v>0</v>
      </c>
      <c r="P101" s="31">
        <f t="shared" si="618"/>
        <v>0</v>
      </c>
      <c r="Q101" s="31">
        <f t="shared" si="618"/>
        <v>0</v>
      </c>
      <c r="R101" s="31">
        <f t="shared" si="618"/>
        <v>0</v>
      </c>
      <c r="S101" s="32">
        <f>S111</f>
        <v>0</v>
      </c>
      <c r="T101" s="31">
        <f>T111</f>
        <v>0</v>
      </c>
      <c r="U101" s="31">
        <f>U111</f>
        <v>0</v>
      </c>
      <c r="V101" s="31">
        <f>V111</f>
        <v>0</v>
      </c>
      <c r="W101" s="31">
        <f>W111</f>
        <v>0</v>
      </c>
      <c r="X101" s="30">
        <f t="shared" ref="X101:AJ101" si="619">X111</f>
        <v>0</v>
      </c>
      <c r="Y101" s="31">
        <f t="shared" si="619"/>
        <v>0</v>
      </c>
      <c r="Z101" s="31">
        <f t="shared" si="619"/>
        <v>0</v>
      </c>
      <c r="AA101" s="31">
        <f t="shared" si="619"/>
        <v>0</v>
      </c>
      <c r="AB101" s="30">
        <f t="shared" si="619"/>
        <v>0</v>
      </c>
      <c r="AC101" s="31">
        <f t="shared" si="619"/>
        <v>0</v>
      </c>
      <c r="AD101" s="31">
        <f t="shared" si="619"/>
        <v>0</v>
      </c>
      <c r="AE101" s="31">
        <f t="shared" si="619"/>
        <v>0</v>
      </c>
      <c r="AF101" s="30">
        <f t="shared" si="619"/>
        <v>0</v>
      </c>
      <c r="AG101" s="31">
        <f t="shared" si="619"/>
        <v>0</v>
      </c>
      <c r="AH101" s="31">
        <f t="shared" si="619"/>
        <v>0</v>
      </c>
      <c r="AI101" s="31">
        <f t="shared" si="619"/>
        <v>0</v>
      </c>
      <c r="AJ101" s="30">
        <f t="shared" si="619"/>
        <v>0</v>
      </c>
      <c r="AK101" s="31">
        <f t="shared" ref="AK101:AP101" si="620">AK111</f>
        <v>0</v>
      </c>
      <c r="AL101" s="31">
        <f t="shared" si="620"/>
        <v>0</v>
      </c>
      <c r="AM101" s="32">
        <f t="shared" si="620"/>
        <v>0</v>
      </c>
      <c r="AN101" s="30">
        <f t="shared" si="620"/>
        <v>0</v>
      </c>
      <c r="AO101" s="31">
        <f t="shared" si="620"/>
        <v>0</v>
      </c>
      <c r="AP101" s="31">
        <f t="shared" si="620"/>
        <v>0</v>
      </c>
      <c r="AQ101" s="32">
        <f>AQ111</f>
        <v>0</v>
      </c>
      <c r="AR101" s="30">
        <f>AR111</f>
        <v>0</v>
      </c>
      <c r="AS101" s="31">
        <f>AS111</f>
        <v>0</v>
      </c>
      <c r="AT101" s="31">
        <f>AT111</f>
        <v>0</v>
      </c>
      <c r="AU101" s="32">
        <f>AU111</f>
        <v>0</v>
      </c>
      <c r="AV101" s="30">
        <f t="shared" ref="AV101:BB101" si="621">AV111</f>
        <v>0</v>
      </c>
      <c r="AW101" s="31">
        <f t="shared" si="621"/>
        <v>0</v>
      </c>
      <c r="AX101" s="31">
        <f t="shared" si="621"/>
        <v>0</v>
      </c>
      <c r="AY101" s="32">
        <f t="shared" si="621"/>
        <v>0</v>
      </c>
      <c r="AZ101" s="30">
        <f t="shared" si="621"/>
        <v>0</v>
      </c>
      <c r="BA101" s="31">
        <f t="shared" si="621"/>
        <v>0</v>
      </c>
      <c r="BB101" s="31">
        <f t="shared" si="621"/>
        <v>0</v>
      </c>
      <c r="BC101" s="32">
        <f t="shared" ref="BC101:BH101" si="622">BC111</f>
        <v>0</v>
      </c>
      <c r="BD101" s="30">
        <f t="shared" si="622"/>
        <v>0</v>
      </c>
      <c r="BE101" s="31">
        <f t="shared" si="622"/>
        <v>0</v>
      </c>
      <c r="BF101" s="31">
        <f t="shared" si="622"/>
        <v>0</v>
      </c>
      <c r="BG101" s="32">
        <f t="shared" si="622"/>
        <v>0</v>
      </c>
      <c r="BH101" s="30">
        <f t="shared" si="622"/>
        <v>0</v>
      </c>
      <c r="BI101" s="31">
        <f t="shared" ref="BI101:BS101" si="623">BI111</f>
        <v>0</v>
      </c>
      <c r="BJ101" s="31">
        <f t="shared" si="623"/>
        <v>0</v>
      </c>
      <c r="BK101" s="32">
        <f t="shared" si="623"/>
        <v>0</v>
      </c>
      <c r="BL101" s="30">
        <f t="shared" si="623"/>
        <v>0</v>
      </c>
      <c r="BM101" s="31">
        <f t="shared" si="623"/>
        <v>0</v>
      </c>
      <c r="BN101" s="31">
        <f t="shared" si="623"/>
        <v>0</v>
      </c>
      <c r="BO101" s="32">
        <f t="shared" si="623"/>
        <v>0</v>
      </c>
      <c r="BP101" s="30">
        <f t="shared" si="623"/>
        <v>0</v>
      </c>
      <c r="BQ101" s="31">
        <f t="shared" si="623"/>
        <v>0</v>
      </c>
      <c r="BR101" s="31">
        <f t="shared" si="623"/>
        <v>0</v>
      </c>
      <c r="BS101" s="32">
        <f t="shared" si="623"/>
        <v>0</v>
      </c>
      <c r="BT101" s="30">
        <f t="shared" ref="BT101:BW101" si="624">BT111</f>
        <v>0</v>
      </c>
      <c r="BU101" s="31">
        <f t="shared" si="624"/>
        <v>0</v>
      </c>
      <c r="BV101" s="31">
        <f t="shared" si="624"/>
        <v>0</v>
      </c>
      <c r="BW101" s="32">
        <f t="shared" si="624"/>
        <v>0</v>
      </c>
      <c r="BX101" s="108"/>
      <c r="BY101" s="30">
        <f>BY111</f>
        <v>0</v>
      </c>
      <c r="BZ101" s="31">
        <f>BZ111</f>
        <v>0</v>
      </c>
      <c r="CA101" s="31">
        <f>CA111</f>
        <v>0</v>
      </c>
      <c r="CB101" s="31">
        <f>CB111</f>
        <v>0</v>
      </c>
      <c r="CC101" s="31">
        <f>CC111</f>
        <v>0</v>
      </c>
      <c r="CD101" s="31">
        <f t="shared" ref="CD101:CJ101" si="625">CD111</f>
        <v>0</v>
      </c>
      <c r="CE101" s="31">
        <f t="shared" si="625"/>
        <v>0</v>
      </c>
      <c r="CF101" s="31">
        <f t="shared" si="625"/>
        <v>0</v>
      </c>
      <c r="CG101" s="31">
        <f t="shared" si="625"/>
        <v>0</v>
      </c>
      <c r="CH101" s="31">
        <f t="shared" si="625"/>
        <v>0</v>
      </c>
      <c r="CI101" s="32">
        <f t="shared" si="625"/>
        <v>0</v>
      </c>
      <c r="CJ101" s="30">
        <f t="shared" si="625"/>
        <v>0</v>
      </c>
      <c r="CK101" s="31">
        <f t="shared" ref="CK101:CP101" si="626">CK111</f>
        <v>0</v>
      </c>
      <c r="CL101" s="31">
        <f t="shared" si="626"/>
        <v>0</v>
      </c>
      <c r="CM101" s="31">
        <f t="shared" si="626"/>
        <v>0</v>
      </c>
      <c r="CN101" s="31">
        <f t="shared" si="626"/>
        <v>0</v>
      </c>
      <c r="CO101" s="31">
        <f t="shared" si="626"/>
        <v>0</v>
      </c>
      <c r="CP101" s="32">
        <f t="shared" si="626"/>
        <v>0</v>
      </c>
      <c r="CQ101" s="106"/>
      <c r="CR101" s="30">
        <f>CR111</f>
        <v>0</v>
      </c>
      <c r="CS101" s="31">
        <f>CS111</f>
        <v>0</v>
      </c>
      <c r="CT101" s="31">
        <f>CT111</f>
        <v>0</v>
      </c>
      <c r="CU101" s="31">
        <f t="shared" ref="CU101:CZ101" si="627">CU111</f>
        <v>0</v>
      </c>
      <c r="CV101" s="31">
        <f t="shared" si="627"/>
        <v>0</v>
      </c>
      <c r="CW101" s="31">
        <f t="shared" si="627"/>
        <v>0</v>
      </c>
      <c r="CX101" s="31">
        <f t="shared" si="627"/>
        <v>0</v>
      </c>
      <c r="CY101" s="31">
        <f t="shared" si="627"/>
        <v>0</v>
      </c>
      <c r="CZ101" s="31">
        <f t="shared" si="627"/>
        <v>0</v>
      </c>
      <c r="DA101" s="30">
        <f t="shared" ref="DA101:DF101" si="628">DA111</f>
        <v>0</v>
      </c>
      <c r="DB101" s="31">
        <f t="shared" si="628"/>
        <v>0</v>
      </c>
      <c r="DC101" s="31">
        <f t="shared" si="628"/>
        <v>0</v>
      </c>
      <c r="DD101" s="31">
        <f t="shared" si="628"/>
        <v>0</v>
      </c>
      <c r="DE101" s="31">
        <f t="shared" si="628"/>
        <v>0</v>
      </c>
      <c r="DF101" s="32">
        <f t="shared" si="628"/>
        <v>0</v>
      </c>
      <c r="DK101"/>
      <c r="DL101"/>
      <c r="DM101"/>
      <c r="DN101"/>
      <c r="DO101"/>
      <c r="DP101"/>
    </row>
    <row r="102" spans="1:122" s="7" customFormat="1" ht="15" collapsed="1">
      <c r="A102" s="505"/>
      <c r="B102" s="46" t="s">
        <v>250</v>
      </c>
      <c r="C102" s="47"/>
      <c r="D102" s="48">
        <f t="shared" ref="D102:R102" si="629">D83-D93-D101</f>
        <v>-1.9300000000000055</v>
      </c>
      <c r="E102" s="49">
        <f t="shared" si="629"/>
        <v>2.2970000000000033</v>
      </c>
      <c r="F102" s="49">
        <f t="shared" si="629"/>
        <v>-4.8149999999999791</v>
      </c>
      <c r="G102" s="50">
        <f t="shared" si="629"/>
        <v>-11.027000000000005</v>
      </c>
      <c r="H102" s="49">
        <f t="shared" si="629"/>
        <v>5.4209999999999967</v>
      </c>
      <c r="I102" s="49">
        <f t="shared" si="629"/>
        <v>7.6010000000000124</v>
      </c>
      <c r="J102" s="49">
        <f t="shared" si="629"/>
        <v>14.782000000000007</v>
      </c>
      <c r="K102" s="50">
        <f t="shared" si="629"/>
        <v>19.436999999999944</v>
      </c>
      <c r="L102" s="49">
        <f t="shared" si="629"/>
        <v>20.544000000000004</v>
      </c>
      <c r="M102" s="49">
        <f t="shared" si="629"/>
        <v>-78.946000000000012</v>
      </c>
      <c r="N102" s="49">
        <f t="shared" si="629"/>
        <v>9.4360000000000106</v>
      </c>
      <c r="O102" s="50">
        <f t="shared" si="629"/>
        <v>91.631999999999991</v>
      </c>
      <c r="P102" s="49">
        <f t="shared" si="629"/>
        <v>10.81699999999999</v>
      </c>
      <c r="Q102" s="49">
        <f t="shared" si="629"/>
        <v>4.6340000000000074</v>
      </c>
      <c r="R102" s="49">
        <f t="shared" si="629"/>
        <v>8.0039999999999996</v>
      </c>
      <c r="S102" s="50">
        <f>S83-S93-S101</f>
        <v>10.448700000000009</v>
      </c>
      <c r="T102" s="49">
        <f>T83-T93-T101</f>
        <v>21.414999999999999</v>
      </c>
      <c r="U102" s="49">
        <f>U83-U93-U101</f>
        <v>16.672000000000004</v>
      </c>
      <c r="V102" s="49">
        <f>V83-V93-V101</f>
        <v>16.846</v>
      </c>
      <c r="W102" s="49">
        <f>W83-W93-W101</f>
        <v>22.986999999999902</v>
      </c>
      <c r="X102" s="48">
        <f t="shared" ref="X102:AU102" si="630">X83-X93-X101</f>
        <v>27.852999999999991</v>
      </c>
      <c r="Y102" s="49">
        <f t="shared" si="630"/>
        <v>25.33400000000001</v>
      </c>
      <c r="Z102" s="49">
        <f t="shared" si="630"/>
        <v>28.930000000000003</v>
      </c>
      <c r="AA102" s="49">
        <f t="shared" si="630"/>
        <v>35.26300000000009</v>
      </c>
      <c r="AB102" s="48">
        <f t="shared" si="630"/>
        <v>27.641000000000012</v>
      </c>
      <c r="AC102" s="49">
        <f t="shared" si="630"/>
        <v>20.005000000000013</v>
      </c>
      <c r="AD102" s="49">
        <f t="shared" si="630"/>
        <v>27.020999999999997</v>
      </c>
      <c r="AE102" s="49">
        <f t="shared" si="630"/>
        <v>41.847999999999963</v>
      </c>
      <c r="AF102" s="48">
        <f t="shared" si="630"/>
        <v>47.73</v>
      </c>
      <c r="AG102" s="49">
        <f t="shared" si="630"/>
        <v>44.184999999999981</v>
      </c>
      <c r="AH102" s="49">
        <f t="shared" si="630"/>
        <v>58.748999999999981</v>
      </c>
      <c r="AI102" s="49">
        <f t="shared" si="630"/>
        <v>78.78300000000003</v>
      </c>
      <c r="AJ102" s="48">
        <f>AJ83-AJ93-AJ101</f>
        <v>84.686999999999998</v>
      </c>
      <c r="AK102" s="49">
        <f t="shared" si="630"/>
        <v>78.739000000000004</v>
      </c>
      <c r="AL102" s="49">
        <f t="shared" si="630"/>
        <v>93.037999999999982</v>
      </c>
      <c r="AM102" s="50">
        <f t="shared" si="630"/>
        <v>103.821</v>
      </c>
      <c r="AN102" s="48">
        <f>AN83-AN93-AN101</f>
        <v>96.241000000000014</v>
      </c>
      <c r="AO102" s="49">
        <f t="shared" si="630"/>
        <v>79.762330720111237</v>
      </c>
      <c r="AP102" s="49">
        <f t="shared" si="630"/>
        <v>86.078000000000003</v>
      </c>
      <c r="AQ102" s="50">
        <f t="shared" si="630"/>
        <v>103.499</v>
      </c>
      <c r="AR102" s="48">
        <f>AR83-AR93-AR101</f>
        <v>106.60600000000002</v>
      </c>
      <c r="AS102" s="49">
        <f>AS83-AS93-AS101</f>
        <v>91.899999999999963</v>
      </c>
      <c r="AT102" s="49">
        <f t="shared" si="630"/>
        <v>103.80000000000003</v>
      </c>
      <c r="AU102" s="50">
        <f t="shared" si="630"/>
        <v>121.20000000000002</v>
      </c>
      <c r="AV102" s="48">
        <f t="shared" ref="AV102:BB102" si="631">AV83-AV93-AV101</f>
        <v>127.69999999999999</v>
      </c>
      <c r="AW102" s="49">
        <f t="shared" si="631"/>
        <v>118.59999999999998</v>
      </c>
      <c r="AX102" s="49">
        <f t="shared" si="631"/>
        <v>160.79999999999995</v>
      </c>
      <c r="AY102" s="50">
        <f t="shared" si="631"/>
        <v>216.10000000000008</v>
      </c>
      <c r="AZ102" s="48">
        <f t="shared" si="631"/>
        <v>244.8</v>
      </c>
      <c r="BA102" s="49">
        <f t="shared" si="631"/>
        <v>224.60000000000002</v>
      </c>
      <c r="BB102" s="49">
        <f t="shared" si="631"/>
        <v>262.50000000000006</v>
      </c>
      <c r="BC102" s="50">
        <f t="shared" ref="BC102:BH102" si="632">BC83-BC93-BC101</f>
        <v>296.09999999999985</v>
      </c>
      <c r="BD102" s="48">
        <f t="shared" si="632"/>
        <v>311.2</v>
      </c>
      <c r="BE102" s="49">
        <f t="shared" si="632"/>
        <v>242.3</v>
      </c>
      <c r="BF102" s="49">
        <f t="shared" si="632"/>
        <v>238.10000000000002</v>
      </c>
      <c r="BG102" s="50">
        <f t="shared" si="632"/>
        <v>277.60000000000002</v>
      </c>
      <c r="BH102" s="48">
        <f t="shared" si="632"/>
        <v>301.59999999999997</v>
      </c>
      <c r="BI102" s="49">
        <f t="shared" ref="BI102:BS102" si="633">BI83-BI93-BI101</f>
        <v>272</v>
      </c>
      <c r="BJ102" s="49">
        <f t="shared" si="633"/>
        <v>292.69999999999993</v>
      </c>
      <c r="BK102" s="50">
        <f t="shared" si="633"/>
        <v>338.80000000000007</v>
      </c>
      <c r="BL102" s="48">
        <f t="shared" si="633"/>
        <v>371.50000000000017</v>
      </c>
      <c r="BM102" s="49">
        <f t="shared" si="633"/>
        <v>292.73757325960008</v>
      </c>
      <c r="BN102" s="49">
        <f t="shared" si="633"/>
        <v>280.90637691584209</v>
      </c>
      <c r="BO102" s="50">
        <f t="shared" si="633"/>
        <v>346.74036251067599</v>
      </c>
      <c r="BP102" s="48">
        <f t="shared" si="633"/>
        <v>367.29010886412186</v>
      </c>
      <c r="BQ102" s="49">
        <f t="shared" si="633"/>
        <v>328.6944279236177</v>
      </c>
      <c r="BR102" s="49">
        <f t="shared" si="633"/>
        <v>329.27666586420264</v>
      </c>
      <c r="BS102" s="50">
        <f t="shared" si="633"/>
        <v>357.40858274937045</v>
      </c>
      <c r="BT102" s="48">
        <f t="shared" ref="BT102:BW102" si="634">BT83-BT93-BT101</f>
        <v>374.41528864746499</v>
      </c>
      <c r="BU102" s="938">
        <f t="shared" si="634"/>
        <v>351.26425350277395</v>
      </c>
      <c r="BV102" s="938">
        <f t="shared" si="634"/>
        <v>356.69566257277899</v>
      </c>
      <c r="BW102" s="939">
        <f t="shared" si="634"/>
        <v>388.15204712592134</v>
      </c>
      <c r="BX102" s="108"/>
      <c r="BY102" s="940">
        <f>BY83-BY93-BY101</f>
        <v>-15.475000000000021</v>
      </c>
      <c r="BZ102" s="938">
        <f>BZ83-BZ93-BZ101</f>
        <v>47.240999999999858</v>
      </c>
      <c r="CA102" s="938">
        <f>CA83-CA93-CA101</f>
        <v>41.780000000000072</v>
      </c>
      <c r="CB102" s="938">
        <f>CB83-CB93-CB101</f>
        <v>33.903700000000015</v>
      </c>
      <c r="CC102" s="938">
        <f>CC83-CC93-CC101</f>
        <v>77.919999999999888</v>
      </c>
      <c r="CD102" s="938">
        <f t="shared" ref="CD102:CJ102" si="635">CD83-CD93-CD101</f>
        <v>117.38000000000017</v>
      </c>
      <c r="CE102" s="938">
        <f t="shared" si="635"/>
        <v>116.51499999999997</v>
      </c>
      <c r="CF102" s="938">
        <f t="shared" si="635"/>
        <v>229.44699999999997</v>
      </c>
      <c r="CG102" s="938">
        <f t="shared" si="635"/>
        <v>360.28500000000008</v>
      </c>
      <c r="CH102" s="938">
        <f t="shared" si="635"/>
        <v>365.58033072011142</v>
      </c>
      <c r="CI102" s="939">
        <f t="shared" si="635"/>
        <v>423.50600000000003</v>
      </c>
      <c r="CJ102" s="940">
        <f t="shared" si="635"/>
        <v>623.20000000000016</v>
      </c>
      <c r="CK102" s="49">
        <f t="shared" ref="CK102:CP102" si="636">CK83-CK93-CK101</f>
        <v>1027.9999999999995</v>
      </c>
      <c r="CL102" s="938">
        <f t="shared" si="636"/>
        <v>1069.2000000000005</v>
      </c>
      <c r="CM102" s="938">
        <f t="shared" si="636"/>
        <v>1205.0999999999999</v>
      </c>
      <c r="CN102" s="938">
        <f t="shared" si="636"/>
        <v>1291.8843126861182</v>
      </c>
      <c r="CO102" s="938">
        <f t="shared" si="636"/>
        <v>1382.6697854013125</v>
      </c>
      <c r="CP102" s="939">
        <f t="shared" si="636"/>
        <v>1470.5272518489401</v>
      </c>
      <c r="CQ102" s="106"/>
      <c r="CR102" s="48">
        <f>CR83-CR93-CR101</f>
        <v>32.939000000000185</v>
      </c>
      <c r="CS102" s="49">
        <f>CS83-CS93-CS101</f>
        <v>44.501699999999921</v>
      </c>
      <c r="CT102" s="49">
        <f>CT83-CT93-CT101</f>
        <v>84.357999999999976</v>
      </c>
      <c r="CU102" s="49">
        <f t="shared" ref="CU102:CZ102" si="637">CU83-CU93-CU101</f>
        <v>117.16799999999998</v>
      </c>
      <c r="CV102" s="49">
        <f t="shared" si="637"/>
        <v>136.60399999999993</v>
      </c>
      <c r="CW102" s="49">
        <f t="shared" si="637"/>
        <v>266.40400000000011</v>
      </c>
      <c r="CX102" s="49">
        <f t="shared" si="637"/>
        <v>371.83900000000006</v>
      </c>
      <c r="CY102" s="49">
        <f t="shared" si="637"/>
        <v>375.94533072011131</v>
      </c>
      <c r="CZ102" s="49">
        <f t="shared" si="637"/>
        <v>444.60000000000008</v>
      </c>
      <c r="DA102" s="48">
        <f t="shared" ref="DA102:DF102" si="638">DA83-DA93-DA101</f>
        <v>740.29999999999973</v>
      </c>
      <c r="DB102" s="49">
        <f t="shared" si="638"/>
        <v>1094.3999999999994</v>
      </c>
      <c r="DC102" s="49">
        <f t="shared" si="638"/>
        <v>1059.6000000000001</v>
      </c>
      <c r="DD102" s="49">
        <f t="shared" si="638"/>
        <v>1275</v>
      </c>
      <c r="DE102" s="49">
        <f t="shared" si="638"/>
        <v>1287.6744215502399</v>
      </c>
      <c r="DF102" s="50">
        <f t="shared" si="638"/>
        <v>1389.7949651846557</v>
      </c>
      <c r="DK102"/>
      <c r="DL102"/>
      <c r="DM102"/>
      <c r="DN102"/>
      <c r="DO102"/>
      <c r="DP102"/>
    </row>
    <row r="103" spans="1:122" s="7" customFormat="1" ht="15">
      <c r="A103" s="505"/>
      <c r="B103" s="19" t="s">
        <v>251</v>
      </c>
      <c r="C103" s="47"/>
      <c r="D103" s="20">
        <f t="shared" ref="D103:AI103" si="639">D102/D10</f>
        <v>-1.2047891931033656E-2</v>
      </c>
      <c r="E103" s="21">
        <f t="shared" si="639"/>
        <v>1.4596731145624178E-2</v>
      </c>
      <c r="F103" s="21">
        <f t="shared" si="639"/>
        <v>-3.2057470422572579E-2</v>
      </c>
      <c r="G103" s="21">
        <f t="shared" si="639"/>
        <v>-7.3497653833848806E-2</v>
      </c>
      <c r="H103" s="20">
        <f t="shared" si="639"/>
        <v>3.095803732553622E-2</v>
      </c>
      <c r="I103" s="21">
        <f t="shared" si="639"/>
        <v>4.1428890669370159E-2</v>
      </c>
      <c r="J103" s="21">
        <f t="shared" si="639"/>
        <v>7.1280807418373338E-2</v>
      </c>
      <c r="K103" s="37">
        <f t="shared" si="639"/>
        <v>8.9133156323515011E-2</v>
      </c>
      <c r="L103" s="21">
        <f t="shared" si="639"/>
        <v>9.3313953488372112E-2</v>
      </c>
      <c r="M103" s="21">
        <f t="shared" si="639"/>
        <v>-0.74770090448453863</v>
      </c>
      <c r="N103" s="21">
        <f t="shared" si="639"/>
        <v>4.9265919010922511E-2</v>
      </c>
      <c r="O103" s="37">
        <f t="shared" si="639"/>
        <v>0.33309341534166509</v>
      </c>
      <c r="P103" s="21">
        <f t="shared" si="639"/>
        <v>5.454178747006172E-2</v>
      </c>
      <c r="Q103" s="21">
        <f t="shared" si="639"/>
        <v>2.5017005517345668E-2</v>
      </c>
      <c r="R103" s="21">
        <f t="shared" si="639"/>
        <v>4.0617483177541637E-2</v>
      </c>
      <c r="S103" s="37">
        <f>S102/S10</f>
        <v>5.2725676309853663E-2</v>
      </c>
      <c r="T103" s="21">
        <f t="shared" si="639"/>
        <v>0.10924348314033566</v>
      </c>
      <c r="U103" s="21">
        <f t="shared" si="639"/>
        <v>9.2514288885189519E-2</v>
      </c>
      <c r="V103" s="21">
        <f t="shared" si="639"/>
        <v>9.617767120550369E-2</v>
      </c>
      <c r="W103" s="21">
        <f t="shared" si="639"/>
        <v>0.12069581106198826</v>
      </c>
      <c r="X103" s="20">
        <f t="shared" si="639"/>
        <v>0.13229754955280165</v>
      </c>
      <c r="Y103" s="21">
        <f t="shared" si="639"/>
        <v>0.12559739821920801</v>
      </c>
      <c r="Z103" s="21">
        <f t="shared" si="639"/>
        <v>0.13442683890153803</v>
      </c>
      <c r="AA103" s="21">
        <f t="shared" si="639"/>
        <v>0.1516257750488037</v>
      </c>
      <c r="AB103" s="20">
        <f t="shared" si="639"/>
        <v>0.13148105866012144</v>
      </c>
      <c r="AC103" s="21">
        <f t="shared" si="639"/>
        <v>0.11564252268917286</v>
      </c>
      <c r="AD103" s="21">
        <f t="shared" si="639"/>
        <v>0.14131361361413711</v>
      </c>
      <c r="AE103" s="21">
        <f t="shared" si="639"/>
        <v>0.18342640239145092</v>
      </c>
      <c r="AF103" s="20">
        <f t="shared" si="639"/>
        <v>0.19470665502696438</v>
      </c>
      <c r="AG103" s="21">
        <f t="shared" si="639"/>
        <v>0.18560602878290158</v>
      </c>
      <c r="AH103" s="21">
        <f t="shared" si="639"/>
        <v>0.21334568035733734</v>
      </c>
      <c r="AI103" s="21">
        <f t="shared" si="639"/>
        <v>0.25147550297973414</v>
      </c>
      <c r="AJ103" s="20">
        <f t="shared" ref="AJ103:BO103" si="640">AJ102/AJ10</f>
        <v>0.25270649319646693</v>
      </c>
      <c r="AK103" s="21">
        <f t="shared" si="640"/>
        <v>0.24196784988829512</v>
      </c>
      <c r="AL103" s="21">
        <f t="shared" si="640"/>
        <v>0.2612876500737204</v>
      </c>
      <c r="AM103" s="37">
        <f t="shared" si="640"/>
        <v>0.25805834219866969</v>
      </c>
      <c r="AN103" s="20">
        <f t="shared" si="640"/>
        <v>0.24442779499161887</v>
      </c>
      <c r="AO103" s="21">
        <f t="shared" si="640"/>
        <v>0.21871268946258807</v>
      </c>
      <c r="AP103" s="21">
        <f t="shared" si="640"/>
        <v>0.22125859170569456</v>
      </c>
      <c r="AQ103" s="37">
        <f t="shared" si="640"/>
        <v>0.24577488702557271</v>
      </c>
      <c r="AR103" s="20">
        <f t="shared" si="640"/>
        <v>0.23495833360883187</v>
      </c>
      <c r="AS103" s="21">
        <f t="shared" si="640"/>
        <v>0.21613358419567255</v>
      </c>
      <c r="AT103" s="21">
        <f t="shared" si="640"/>
        <v>0.23801880302682876</v>
      </c>
      <c r="AU103" s="37">
        <f t="shared" si="640"/>
        <v>0.25408805031446546</v>
      </c>
      <c r="AV103" s="20">
        <f t="shared" si="640"/>
        <v>0.25277117973079966</v>
      </c>
      <c r="AW103" s="21">
        <f t="shared" si="640"/>
        <v>0.24656964656964653</v>
      </c>
      <c r="AX103" s="21">
        <f t="shared" si="640"/>
        <v>0.2739352640545144</v>
      </c>
      <c r="AY103" s="37">
        <f t="shared" si="640"/>
        <v>0.30089111668059043</v>
      </c>
      <c r="AZ103" s="20">
        <f t="shared" si="640"/>
        <v>0.30391061452513968</v>
      </c>
      <c r="BA103" s="21">
        <f t="shared" si="640"/>
        <v>0.2947119800551109</v>
      </c>
      <c r="BB103" s="21">
        <f t="shared" si="640"/>
        <v>0.32407407407407413</v>
      </c>
      <c r="BC103" s="37">
        <f t="shared" si="640"/>
        <v>0.33617166212534044</v>
      </c>
      <c r="BD103" s="20">
        <f t="shared" si="640"/>
        <v>0.33577902460077685</v>
      </c>
      <c r="BE103" s="21">
        <f t="shared" si="640"/>
        <v>0.31260482518384725</v>
      </c>
      <c r="BF103" s="21">
        <f t="shared" ref="BF103:BK103" si="641">BF102/BF10</f>
        <v>0.31674870294000268</v>
      </c>
      <c r="BG103" s="37">
        <f t="shared" si="641"/>
        <v>0.33229590615274124</v>
      </c>
      <c r="BH103" s="20">
        <f t="shared" si="641"/>
        <v>0.32986984578365963</v>
      </c>
      <c r="BI103" s="859">
        <f t="shared" si="641"/>
        <v>0.31936127744510978</v>
      </c>
      <c r="BJ103" s="859">
        <f t="shared" si="641"/>
        <v>0.32493339253996439</v>
      </c>
      <c r="BK103" s="885">
        <f t="shared" si="641"/>
        <v>0.34409912654885239</v>
      </c>
      <c r="BL103" s="880">
        <f t="shared" ref="BL103" si="642">BL102/BL10</f>
        <v>0.35317045346515841</v>
      </c>
      <c r="BM103" s="881">
        <f t="shared" si="640"/>
        <v>0.32428596615186495</v>
      </c>
      <c r="BN103" s="881">
        <f t="shared" si="640"/>
        <v>0.32358049604356476</v>
      </c>
      <c r="BO103" s="885">
        <f t="shared" si="640"/>
        <v>0.33610947436832933</v>
      </c>
      <c r="BP103" s="20">
        <f t="shared" ref="BP103:BW103" si="643">BP102/BP10</f>
        <v>0.34194772765071879</v>
      </c>
      <c r="BQ103" s="21">
        <f t="shared" si="643"/>
        <v>0.33608181207965609</v>
      </c>
      <c r="BR103" s="21">
        <f t="shared" si="643"/>
        <v>0.33657724931180555</v>
      </c>
      <c r="BS103" s="37">
        <f t="shared" si="643"/>
        <v>0.33964316391999039</v>
      </c>
      <c r="BT103" s="880">
        <f t="shared" si="643"/>
        <v>0.34139935882623806</v>
      </c>
      <c r="BU103" s="881">
        <f t="shared" si="643"/>
        <v>0.3386872323588852</v>
      </c>
      <c r="BV103" s="881">
        <f t="shared" si="643"/>
        <v>0.33950611125981922</v>
      </c>
      <c r="BW103" s="885">
        <f t="shared" si="643"/>
        <v>0.34164965936260472</v>
      </c>
      <c r="BX103" s="108"/>
      <c r="BY103" s="20">
        <f t="shared" ref="BY103:CN103" si="644">BY102/BY10</f>
        <v>-2.5049005404757969E-2</v>
      </c>
      <c r="BZ103" s="21">
        <f t="shared" si="644"/>
        <v>6.0254609877516171E-2</v>
      </c>
      <c r="CA103" s="21">
        <f t="shared" si="644"/>
        <v>5.2727825728099684E-2</v>
      </c>
      <c r="CB103" s="21">
        <f t="shared" si="644"/>
        <v>4.3533927076431604E-2</v>
      </c>
      <c r="CC103" s="21">
        <f t="shared" si="644"/>
        <v>0.10503485210602144</v>
      </c>
      <c r="CD103" s="21">
        <f t="shared" si="644"/>
        <v>0.13648567412039547</v>
      </c>
      <c r="CE103" s="21">
        <f t="shared" si="644"/>
        <v>0.14517610148309754</v>
      </c>
      <c r="CF103" s="21">
        <f t="shared" si="644"/>
        <v>0.21406653362553865</v>
      </c>
      <c r="CG103" s="21">
        <f t="shared" si="644"/>
        <v>0.25391459149974421</v>
      </c>
      <c r="CH103" s="21">
        <f t="shared" si="644"/>
        <v>0.23306436245250414</v>
      </c>
      <c r="CI103" s="37">
        <f t="shared" si="644"/>
        <v>0.23632843998096006</v>
      </c>
      <c r="CJ103" s="880">
        <f t="shared" si="644"/>
        <v>0.27197346600331679</v>
      </c>
      <c r="CK103" s="881">
        <f t="shared" si="644"/>
        <v>0.31549226614289211</v>
      </c>
      <c r="CL103" s="881">
        <f t="shared" si="644"/>
        <v>0.32508361204013386</v>
      </c>
      <c r="CM103" s="881">
        <f t="shared" si="644"/>
        <v>0.33003779372295555</v>
      </c>
      <c r="CN103" s="881">
        <f t="shared" si="644"/>
        <v>0.33517457269658452</v>
      </c>
      <c r="CO103" s="881">
        <f>CO102/CO10</f>
        <v>0.33866168641918809</v>
      </c>
      <c r="CP103" s="885">
        <f>CP102/CP10</f>
        <v>0.34035376522555744</v>
      </c>
      <c r="CQ103" s="106"/>
      <c r="CR103" s="20">
        <f t="shared" ref="CR103:DD103" si="645">CR102/CR10</f>
        <v>4.2748164913774547E-2</v>
      </c>
      <c r="CS103" s="21">
        <f t="shared" si="645"/>
        <v>5.731114124660483E-2</v>
      </c>
      <c r="CT103" s="21">
        <f t="shared" si="645"/>
        <v>0.11153272550346925</v>
      </c>
      <c r="CU103" s="21">
        <f t="shared" si="645"/>
        <v>0.13628750093054415</v>
      </c>
      <c r="CV103" s="21">
        <f t="shared" si="645"/>
        <v>0.16311178561577663</v>
      </c>
      <c r="CW103" s="21">
        <f t="shared" si="645"/>
        <v>0.22929668772824974</v>
      </c>
      <c r="CX103" s="21">
        <f t="shared" si="645"/>
        <v>0.25166052809327927</v>
      </c>
      <c r="CY103" s="21">
        <f t="shared" si="645"/>
        <v>0.23084467710210424</v>
      </c>
      <c r="CZ103" s="21">
        <f t="shared" si="645"/>
        <v>0.2411716842961758</v>
      </c>
      <c r="DA103" s="880">
        <f t="shared" si="645"/>
        <v>0.28564262839063154</v>
      </c>
      <c r="DB103" s="881">
        <f t="shared" si="645"/>
        <v>0.32381572328904917</v>
      </c>
      <c r="DC103" s="881">
        <f t="shared" si="645"/>
        <v>0.32339386540515797</v>
      </c>
      <c r="DD103" s="881">
        <f t="shared" si="645"/>
        <v>0.33650039588281866</v>
      </c>
      <c r="DE103" s="881">
        <f>DE102/DE10</f>
        <v>0.33216811911673011</v>
      </c>
      <c r="DF103" s="885">
        <f>DF102/DF10</f>
        <v>0.33853328066123856</v>
      </c>
      <c r="DK103"/>
      <c r="DL103"/>
      <c r="DM103"/>
      <c r="DN103"/>
      <c r="DO103"/>
      <c r="DP103"/>
    </row>
    <row r="104" spans="1:122" s="7" customFormat="1" ht="15" hidden="1" outlineLevel="1">
      <c r="A104" s="505"/>
      <c r="B104" s="46" t="s">
        <v>252</v>
      </c>
      <c r="C104" s="47"/>
      <c r="D104" s="48">
        <f t="shared" ref="D104:S104" si="646">D85-D95-D101</f>
        <v>-1.9300000000000055</v>
      </c>
      <c r="E104" s="49">
        <f t="shared" si="646"/>
        <v>4.5320000000000027</v>
      </c>
      <c r="F104" s="49">
        <f t="shared" si="646"/>
        <v>-4.8149999999999791</v>
      </c>
      <c r="G104" s="49">
        <f t="shared" si="646"/>
        <v>-11.027000000000005</v>
      </c>
      <c r="H104" s="48">
        <f t="shared" si="646"/>
        <v>5.4209999999999967</v>
      </c>
      <c r="I104" s="49">
        <f t="shared" si="646"/>
        <v>7.6010000000000124</v>
      </c>
      <c r="J104" s="49">
        <f t="shared" si="646"/>
        <v>14.782000000000007</v>
      </c>
      <c r="K104" s="50">
        <f t="shared" si="646"/>
        <v>19.436999999999944</v>
      </c>
      <c r="L104" s="49">
        <f t="shared" si="646"/>
        <v>20.544000000000004</v>
      </c>
      <c r="M104" s="49">
        <f t="shared" si="646"/>
        <v>-79.832000000000008</v>
      </c>
      <c r="N104" s="49">
        <f t="shared" si="646"/>
        <v>9.4360000000000106</v>
      </c>
      <c r="O104" s="50">
        <f t="shared" si="646"/>
        <v>91.631999999999991</v>
      </c>
      <c r="P104" s="49">
        <f t="shared" si="646"/>
        <v>7.7859999999999978</v>
      </c>
      <c r="Q104" s="49">
        <f t="shared" si="646"/>
        <v>1.0460000000000131</v>
      </c>
      <c r="R104" s="49">
        <f t="shared" si="646"/>
        <v>4.3339999999999961</v>
      </c>
      <c r="S104" s="50">
        <f t="shared" si="646"/>
        <v>11.556700000000006</v>
      </c>
      <c r="T104" s="49">
        <f t="shared" ref="T104:AJ104" si="647">T85-T95-T101</f>
        <v>19.389000000000003</v>
      </c>
      <c r="U104" s="49">
        <f t="shared" si="647"/>
        <v>12.627000000000017</v>
      </c>
      <c r="V104" s="49">
        <f t="shared" si="647"/>
        <v>13.201000000000004</v>
      </c>
      <c r="W104" s="49">
        <f t="shared" si="647"/>
        <v>18.965999999999902</v>
      </c>
      <c r="X104" s="48">
        <f t="shared" si="647"/>
        <v>22.845999999999986</v>
      </c>
      <c r="Y104" s="49">
        <f t="shared" si="647"/>
        <v>19.691000000000003</v>
      </c>
      <c r="Z104" s="49">
        <f t="shared" si="647"/>
        <v>22.818000000000008</v>
      </c>
      <c r="AA104" s="49">
        <f t="shared" si="647"/>
        <v>28.813000000000091</v>
      </c>
      <c r="AB104" s="48">
        <f t="shared" si="647"/>
        <v>21.052000000000007</v>
      </c>
      <c r="AC104" s="49">
        <f t="shared" si="647"/>
        <v>15.741000000000016</v>
      </c>
      <c r="AD104" s="49">
        <f t="shared" si="647"/>
        <v>21.552999999999987</v>
      </c>
      <c r="AE104" s="49">
        <f t="shared" si="647"/>
        <v>34.702999999999953</v>
      </c>
      <c r="AF104" s="48">
        <f t="shared" si="647"/>
        <v>39.645999999999994</v>
      </c>
      <c r="AG104" s="49">
        <f t="shared" si="647"/>
        <v>35.464999999999989</v>
      </c>
      <c r="AH104" s="49">
        <f t="shared" si="647"/>
        <v>49.313999999999993</v>
      </c>
      <c r="AI104" s="49">
        <f t="shared" si="647"/>
        <v>64.28000000000003</v>
      </c>
      <c r="AJ104" s="48">
        <f t="shared" si="647"/>
        <v>70.796000000000006</v>
      </c>
      <c r="AK104" s="49">
        <f t="shared" ref="AK104:AP104" si="648">AK85-AK95-AK101</f>
        <v>63.579000000000001</v>
      </c>
      <c r="AL104" s="49">
        <f t="shared" si="648"/>
        <v>74.811999999999983</v>
      </c>
      <c r="AM104" s="50">
        <f t="shared" si="648"/>
        <v>85.474000000000004</v>
      </c>
      <c r="AN104" s="48">
        <f t="shared" si="648"/>
        <v>73.14100000000002</v>
      </c>
      <c r="AO104" s="49">
        <f t="shared" si="648"/>
        <v>57.800999999999995</v>
      </c>
      <c r="AP104" s="49">
        <f t="shared" si="648"/>
        <v>66.796999999999997</v>
      </c>
      <c r="AQ104" s="50">
        <f t="shared" ref="AQ104:AV104" si="649">AQ85-AQ95-AQ101</f>
        <v>83.85</v>
      </c>
      <c r="AR104" s="48">
        <f t="shared" si="649"/>
        <v>88.223000000000013</v>
      </c>
      <c r="AS104" s="49">
        <f t="shared" si="649"/>
        <v>72.899999999999977</v>
      </c>
      <c r="AT104" s="49">
        <f t="shared" si="649"/>
        <v>84.500000000000014</v>
      </c>
      <c r="AU104" s="50">
        <f t="shared" si="649"/>
        <v>103.10000000000001</v>
      </c>
      <c r="AV104" s="48">
        <f t="shared" si="649"/>
        <v>108.4</v>
      </c>
      <c r="AW104" s="49">
        <f t="shared" ref="AW104:BB104" si="650">AW85-AW95-AW101</f>
        <v>97.09999999999998</v>
      </c>
      <c r="AX104" s="49">
        <f t="shared" si="650"/>
        <v>135.89999999999998</v>
      </c>
      <c r="AY104" s="50">
        <f t="shared" si="650"/>
        <v>190.90000000000006</v>
      </c>
      <c r="AZ104" s="48">
        <f t="shared" si="650"/>
        <v>222.90000000000003</v>
      </c>
      <c r="BA104" s="49">
        <f t="shared" si="650"/>
        <v>195.00000000000006</v>
      </c>
      <c r="BB104" s="49">
        <f t="shared" si="650"/>
        <v>234.80000000000004</v>
      </c>
      <c r="BC104" s="50">
        <f t="shared" ref="BC104:BH104" si="651">BC85-BC95-BC101</f>
        <v>269.59999999999991</v>
      </c>
      <c r="BD104" s="48">
        <f t="shared" si="651"/>
        <v>287.89999999999998</v>
      </c>
      <c r="BE104" s="49">
        <f t="shared" si="651"/>
        <v>223.90000000000003</v>
      </c>
      <c r="BF104" s="49">
        <f t="shared" si="651"/>
        <v>218.70000000000007</v>
      </c>
      <c r="BG104" s="50">
        <f t="shared" si="651"/>
        <v>257.39999999999998</v>
      </c>
      <c r="BH104" s="48">
        <f t="shared" si="651"/>
        <v>280</v>
      </c>
      <c r="BI104" s="49">
        <f t="shared" ref="BI104:BS104" si="652">BI85-BI95-BI101</f>
        <v>247.70000000000005</v>
      </c>
      <c r="BJ104" s="49">
        <f t="shared" si="652"/>
        <v>271.69999999999993</v>
      </c>
      <c r="BK104" s="50">
        <f t="shared" si="652"/>
        <v>310.30000000000007</v>
      </c>
      <c r="BL104" s="48">
        <f t="shared" si="652"/>
        <v>345.7000000000001</v>
      </c>
      <c r="BM104" s="49">
        <f t="shared" si="652"/>
        <v>267.23757325960008</v>
      </c>
      <c r="BN104" s="49">
        <f t="shared" si="652"/>
        <v>255.40637691584212</v>
      </c>
      <c r="BO104" s="50">
        <f t="shared" si="652"/>
        <v>321.24036251067599</v>
      </c>
      <c r="BP104" s="48">
        <f t="shared" si="652"/>
        <v>341.79010886412186</v>
      </c>
      <c r="BQ104" s="49">
        <f t="shared" si="652"/>
        <v>303.1944279236177</v>
      </c>
      <c r="BR104" s="49">
        <f t="shared" si="652"/>
        <v>303.77666586420264</v>
      </c>
      <c r="BS104" s="50">
        <f t="shared" si="652"/>
        <v>331.90858274937045</v>
      </c>
      <c r="BT104" s="48">
        <f t="shared" ref="BT104:BW104" si="653">BT85-BT95-BT101</f>
        <v>348.91528864746499</v>
      </c>
      <c r="BU104" s="938">
        <f t="shared" si="653"/>
        <v>325.76425350277395</v>
      </c>
      <c r="BV104" s="938">
        <f t="shared" si="653"/>
        <v>331.19566257277899</v>
      </c>
      <c r="BW104" s="939">
        <f t="shared" si="653"/>
        <v>362.65204712592134</v>
      </c>
      <c r="BX104" s="108"/>
      <c r="BY104" s="940">
        <f>BY85-BY95-BY101</f>
        <v>-13.240000000000007</v>
      </c>
      <c r="BZ104" s="938">
        <f>BZ85-BZ95-BZ101</f>
        <v>47.240999999999858</v>
      </c>
      <c r="CA104" s="938">
        <f>CA85-CA95-CA101</f>
        <v>41.780000000000072</v>
      </c>
      <c r="CB104" s="938">
        <f>CB85-CB95-CB101</f>
        <v>24.722700000000028</v>
      </c>
      <c r="CC104" s="938">
        <f>CC85-CC95-CC101</f>
        <v>64.182999999999893</v>
      </c>
      <c r="CD104" s="938">
        <f t="shared" ref="CD104:CJ104" si="654">CD85-CD95-CD101</f>
        <v>94.16800000000012</v>
      </c>
      <c r="CE104" s="938">
        <f t="shared" si="654"/>
        <v>93.048999999999964</v>
      </c>
      <c r="CF104" s="938">
        <f t="shared" si="654"/>
        <v>188.70499999999998</v>
      </c>
      <c r="CG104" s="938">
        <f t="shared" si="654"/>
        <v>294.66100000000006</v>
      </c>
      <c r="CH104" s="938">
        <f t="shared" si="654"/>
        <v>281.58900000000017</v>
      </c>
      <c r="CI104" s="939">
        <f t="shared" si="654"/>
        <v>348.72300000000001</v>
      </c>
      <c r="CJ104" s="940">
        <f t="shared" si="654"/>
        <v>532.30000000000018</v>
      </c>
      <c r="CK104" s="938">
        <f t="shared" ref="CK104:CP104" si="655">CK85-CK95-CK101</f>
        <v>922.2999999999995</v>
      </c>
      <c r="CL104" s="938">
        <f t="shared" si="655"/>
        <v>987.90000000000055</v>
      </c>
      <c r="CM104" s="938">
        <f t="shared" si="655"/>
        <v>1109.6999999999998</v>
      </c>
      <c r="CN104" s="938">
        <f t="shared" si="655"/>
        <v>1189.5843126861182</v>
      </c>
      <c r="CO104" s="938">
        <f t="shared" si="655"/>
        <v>1280.6697854013125</v>
      </c>
      <c r="CP104" s="939">
        <f t="shared" si="655"/>
        <v>1368.5272518489401</v>
      </c>
      <c r="CQ104" s="106"/>
      <c r="CR104" s="48">
        <f>CR85-CR95-CR101</f>
        <v>29.022000000000155</v>
      </c>
      <c r="CS104" s="49">
        <f>CS85-CS95-CS101</f>
        <v>31.287699999999951</v>
      </c>
      <c r="CT104" s="49">
        <f>CT85-CT95-CT101</f>
        <v>67.639999999999986</v>
      </c>
      <c r="CU104" s="49">
        <f t="shared" ref="CU104:CZ104" si="656">CU85-CU95-CU101</f>
        <v>92.373999999999995</v>
      </c>
      <c r="CV104" s="49">
        <f t="shared" si="656"/>
        <v>111.64299999999993</v>
      </c>
      <c r="CW104" s="49">
        <f t="shared" si="656"/>
        <v>219.85500000000008</v>
      </c>
      <c r="CX104" s="49">
        <f t="shared" si="656"/>
        <v>297.00600000000003</v>
      </c>
      <c r="CY104" s="49">
        <f t="shared" si="656"/>
        <v>296.67100000000005</v>
      </c>
      <c r="CZ104" s="49">
        <f t="shared" si="656"/>
        <v>368.90000000000009</v>
      </c>
      <c r="DA104" s="48">
        <f t="shared" ref="DA104:DF104" si="657">DA85-DA95-DA101</f>
        <v>646.79999999999973</v>
      </c>
      <c r="DB104" s="49">
        <f t="shared" si="657"/>
        <v>987.2999999999995</v>
      </c>
      <c r="DC104" s="49">
        <f t="shared" si="657"/>
        <v>980.00000000000023</v>
      </c>
      <c r="DD104" s="49">
        <f t="shared" si="657"/>
        <v>1175.3999999999996</v>
      </c>
      <c r="DE104" s="49">
        <f t="shared" si="657"/>
        <v>1185.6744215502399</v>
      </c>
      <c r="DF104" s="50">
        <f t="shared" si="657"/>
        <v>1287.7949651846557</v>
      </c>
      <c r="DG104" s="42"/>
      <c r="DH104" s="42"/>
      <c r="DI104" s="42"/>
      <c r="DJ104" s="42"/>
      <c r="DK104"/>
      <c r="DL104"/>
      <c r="DM104"/>
      <c r="DN104"/>
      <c r="DO104"/>
      <c r="DP104"/>
      <c r="DQ104" s="42"/>
      <c r="DR104" s="42"/>
    </row>
    <row r="105" spans="1:122" s="42" customFormat="1" ht="14.25" hidden="1" outlineLevel="1">
      <c r="B105" s="19" t="s">
        <v>253</v>
      </c>
      <c r="C105" s="34"/>
      <c r="D105" s="20">
        <f t="shared" ref="D105:AI105" si="658">D104/D10</f>
        <v>-1.2047891931033656E-2</v>
      </c>
      <c r="E105" s="21">
        <f t="shared" si="658"/>
        <v>2.8799471289494435E-2</v>
      </c>
      <c r="F105" s="21">
        <f t="shared" si="658"/>
        <v>-3.2057470422572579E-2</v>
      </c>
      <c r="G105" s="37">
        <f t="shared" si="658"/>
        <v>-7.3497653833848806E-2</v>
      </c>
      <c r="H105" s="21">
        <f t="shared" si="658"/>
        <v>3.095803732553622E-2</v>
      </c>
      <c r="I105" s="21">
        <f t="shared" si="658"/>
        <v>4.1428890669370159E-2</v>
      </c>
      <c r="J105" s="21">
        <f t="shared" si="658"/>
        <v>7.1280807418373338E-2</v>
      </c>
      <c r="K105" s="37">
        <f t="shared" si="658"/>
        <v>8.9133156323515011E-2</v>
      </c>
      <c r="L105" s="21">
        <f t="shared" si="658"/>
        <v>9.3313953488372112E-2</v>
      </c>
      <c r="M105" s="21">
        <f t="shared" si="658"/>
        <v>-0.75609224795188723</v>
      </c>
      <c r="N105" s="21">
        <f t="shared" si="658"/>
        <v>4.9265919010922511E-2</v>
      </c>
      <c r="O105" s="37">
        <f t="shared" si="658"/>
        <v>0.33309341534166509</v>
      </c>
      <c r="P105" s="21">
        <f t="shared" si="658"/>
        <v>3.9258792386234705E-2</v>
      </c>
      <c r="Q105" s="21">
        <f t="shared" si="658"/>
        <v>5.6469114741354888E-3</v>
      </c>
      <c r="R105" s="21">
        <f t="shared" si="658"/>
        <v>2.1993524749058635E-2</v>
      </c>
      <c r="S105" s="37">
        <f>S104/S10</f>
        <v>5.8316807201861054E-2</v>
      </c>
      <c r="T105" s="21">
        <f t="shared" si="658"/>
        <v>9.8908330357598342E-2</v>
      </c>
      <c r="U105" s="21">
        <f t="shared" si="658"/>
        <v>7.0068253704012082E-2</v>
      </c>
      <c r="V105" s="21">
        <f t="shared" si="658"/>
        <v>7.5367531614855432E-2</v>
      </c>
      <c r="W105" s="21">
        <f t="shared" si="658"/>
        <v>9.9583101431316268E-2</v>
      </c>
      <c r="X105" s="20">
        <f t="shared" si="658"/>
        <v>0.1085150546470149</v>
      </c>
      <c r="Y105" s="21">
        <f t="shared" si="658"/>
        <v>9.7621313978622573E-2</v>
      </c>
      <c r="Z105" s="21">
        <f t="shared" si="658"/>
        <v>0.10602667162306588</v>
      </c>
      <c r="AA105" s="21">
        <f t="shared" si="658"/>
        <v>0.12389171246011921</v>
      </c>
      <c r="AB105" s="20">
        <f t="shared" si="658"/>
        <v>0.10013889681678942</v>
      </c>
      <c r="AC105" s="21">
        <f t="shared" si="658"/>
        <v>9.0993699057749095E-2</v>
      </c>
      <c r="AD105" s="21">
        <f t="shared" si="658"/>
        <v>0.11271723156898321</v>
      </c>
      <c r="AE105" s="21">
        <f t="shared" si="658"/>
        <v>0.1521087373874622</v>
      </c>
      <c r="AF105" s="20">
        <f t="shared" si="658"/>
        <v>0.16172931165302806</v>
      </c>
      <c r="AG105" s="21">
        <f t="shared" si="658"/>
        <v>0.14897629989330327</v>
      </c>
      <c r="AH105" s="21">
        <f t="shared" si="658"/>
        <v>0.17908268874605074</v>
      </c>
      <c r="AI105" s="21">
        <f t="shared" si="658"/>
        <v>0.20518189624077926</v>
      </c>
      <c r="AJ105" s="20">
        <f t="shared" ref="AJ105:BO105" si="659">AJ104/AJ10</f>
        <v>0.21125566961088568</v>
      </c>
      <c r="AK105" s="21">
        <f t="shared" si="659"/>
        <v>0.19538061098118994</v>
      </c>
      <c r="AL105" s="21">
        <f t="shared" si="659"/>
        <v>0.21010180439514142</v>
      </c>
      <c r="AM105" s="37">
        <f t="shared" si="659"/>
        <v>0.21245488620885078</v>
      </c>
      <c r="AN105" s="20">
        <f t="shared" si="659"/>
        <v>0.18575963834002138</v>
      </c>
      <c r="AO105" s="21">
        <f t="shared" si="659"/>
        <v>0.15849351504017109</v>
      </c>
      <c r="AP105" s="21">
        <f t="shared" si="659"/>
        <v>0.17169788041271031</v>
      </c>
      <c r="AQ105" s="37">
        <f t="shared" si="659"/>
        <v>0.1991152018579336</v>
      </c>
      <c r="AR105" s="20">
        <f t="shared" si="659"/>
        <v>0.19444242412220675</v>
      </c>
      <c r="AS105" s="21">
        <f t="shared" si="659"/>
        <v>0.1714487300094073</v>
      </c>
      <c r="AT105" s="21">
        <f t="shared" si="659"/>
        <v>0.19376289841779409</v>
      </c>
      <c r="AU105" s="37">
        <f t="shared" si="659"/>
        <v>0.21614255765199164</v>
      </c>
      <c r="AV105" s="20">
        <f t="shared" si="659"/>
        <v>0.21456848772763262</v>
      </c>
      <c r="AW105" s="21">
        <f t="shared" si="659"/>
        <v>0.20187110187110183</v>
      </c>
      <c r="AX105" s="21">
        <f t="shared" si="659"/>
        <v>0.23151618398637133</v>
      </c>
      <c r="AY105" s="37">
        <f t="shared" si="659"/>
        <v>0.26580339738234482</v>
      </c>
      <c r="AZ105" s="20">
        <f t="shared" si="659"/>
        <v>0.27672253258845442</v>
      </c>
      <c r="BA105" s="21">
        <f t="shared" si="659"/>
        <v>0.25587193281721565</v>
      </c>
      <c r="BB105" s="21">
        <f t="shared" si="659"/>
        <v>0.2898765432098766</v>
      </c>
      <c r="BC105" s="37">
        <f t="shared" si="659"/>
        <v>0.30608537693006349</v>
      </c>
      <c r="BD105" s="20">
        <f t="shared" si="659"/>
        <v>0.31063875701337934</v>
      </c>
      <c r="BE105" s="21">
        <f t="shared" si="659"/>
        <v>0.28886595278028643</v>
      </c>
      <c r="BF105" s="21">
        <f t="shared" ref="BF105:BK105" si="660">BF104/BF10</f>
        <v>0.29094053478781434</v>
      </c>
      <c r="BG105" s="37">
        <f t="shared" si="660"/>
        <v>0.30811587263586304</v>
      </c>
      <c r="BH105" s="20">
        <f t="shared" si="660"/>
        <v>0.30624521491851692</v>
      </c>
      <c r="BI105" s="859">
        <f t="shared" si="660"/>
        <v>0.29083010449688862</v>
      </c>
      <c r="BJ105" s="859">
        <f t="shared" si="660"/>
        <v>0.30162078152753102</v>
      </c>
      <c r="BK105" s="885">
        <f t="shared" si="660"/>
        <v>0.31515336177127773</v>
      </c>
      <c r="BL105" s="880">
        <f t="shared" ref="BL105" si="661">BL104/BL10</f>
        <v>0.32864340716798179</v>
      </c>
      <c r="BM105" s="881">
        <f t="shared" si="659"/>
        <v>0.29603782552271746</v>
      </c>
      <c r="BN105" s="881">
        <f t="shared" si="659"/>
        <v>0.29420664294807969</v>
      </c>
      <c r="BO105" s="885">
        <f t="shared" si="659"/>
        <v>0.31139129176526276</v>
      </c>
      <c r="BP105" s="20">
        <f t="shared" ref="BP105:BW105" si="662">BP104/BP10</f>
        <v>0.31820718347418298</v>
      </c>
      <c r="BQ105" s="21">
        <f t="shared" si="662"/>
        <v>0.31000870137264175</v>
      </c>
      <c r="BR105" s="21">
        <f t="shared" si="662"/>
        <v>0.31051187405988701</v>
      </c>
      <c r="BS105" s="37">
        <f t="shared" si="662"/>
        <v>0.31541067175839854</v>
      </c>
      <c r="BT105" s="880">
        <f t="shared" si="662"/>
        <v>0.31814794812258484</v>
      </c>
      <c r="BU105" s="881">
        <f t="shared" si="662"/>
        <v>0.3141002601889904</v>
      </c>
      <c r="BV105" s="881">
        <f t="shared" si="662"/>
        <v>0.3152349839501089</v>
      </c>
      <c r="BW105" s="885">
        <f t="shared" si="662"/>
        <v>0.31920467580975453</v>
      </c>
      <c r="BX105" s="108"/>
      <c r="BY105" s="20">
        <f t="shared" ref="BY105:CN105" si="663">BY104/BY10</f>
        <v>-2.1431265367301795E-2</v>
      </c>
      <c r="BZ105" s="21">
        <f t="shared" si="663"/>
        <v>6.0254609877516171E-2</v>
      </c>
      <c r="CA105" s="21">
        <f t="shared" si="663"/>
        <v>5.2727825728099684E-2</v>
      </c>
      <c r="CB105" s="21">
        <f t="shared" si="663"/>
        <v>3.1745096226444204E-2</v>
      </c>
      <c r="CC105" s="21">
        <f t="shared" si="663"/>
        <v>8.6517606682761455E-2</v>
      </c>
      <c r="CD105" s="21">
        <f t="shared" si="663"/>
        <v>0.10949550997247742</v>
      </c>
      <c r="CE105" s="21">
        <f t="shared" si="663"/>
        <v>0.11593778540875201</v>
      </c>
      <c r="CF105" s="21">
        <f t="shared" si="663"/>
        <v>0.17605558245611089</v>
      </c>
      <c r="CG105" s="21">
        <f t="shared" si="663"/>
        <v>0.207665396688472</v>
      </c>
      <c r="CH105" s="21">
        <f t="shared" si="663"/>
        <v>0.17951830348576206</v>
      </c>
      <c r="CI105" s="37">
        <f t="shared" si="663"/>
        <v>0.19459739077009613</v>
      </c>
      <c r="CJ105" s="880">
        <f t="shared" si="663"/>
        <v>0.23230339530418093</v>
      </c>
      <c r="CK105" s="881">
        <f t="shared" si="663"/>
        <v>0.28305303216302469</v>
      </c>
      <c r="CL105" s="881">
        <f t="shared" si="663"/>
        <v>0.30036485253876571</v>
      </c>
      <c r="CM105" s="881">
        <f t="shared" si="663"/>
        <v>0.30391082872322939</v>
      </c>
      <c r="CN105" s="881">
        <f t="shared" si="663"/>
        <v>0.3086332187609776</v>
      </c>
      <c r="CO105" s="881">
        <f>CO104/CO10</f>
        <v>0.31367850360903421</v>
      </c>
      <c r="CP105" s="885">
        <f>CP104/CP10</f>
        <v>0.3167458490789119</v>
      </c>
      <c r="CQ105" s="106"/>
      <c r="CR105" s="20">
        <f t="shared" ref="CR105:DD105" si="664">CR104/CR10</f>
        <v>3.766469055306975E-2</v>
      </c>
      <c r="CS105" s="21">
        <f t="shared" si="664"/>
        <v>4.0293602131635381E-2</v>
      </c>
      <c r="CT105" s="21">
        <f t="shared" si="664"/>
        <v>8.9429260450160752E-2</v>
      </c>
      <c r="CU105" s="21">
        <f t="shared" si="664"/>
        <v>0.10744761036254001</v>
      </c>
      <c r="CV105" s="21">
        <f t="shared" si="664"/>
        <v>0.13330714387208389</v>
      </c>
      <c r="CW105" s="21">
        <f t="shared" si="664"/>
        <v>0.18923148030995909</v>
      </c>
      <c r="CX105" s="21">
        <f t="shared" si="664"/>
        <v>0.2010135752486224</v>
      </c>
      <c r="CY105" s="21">
        <f t="shared" si="664"/>
        <v>0.18216723444703434</v>
      </c>
      <c r="CZ105" s="21">
        <f t="shared" si="664"/>
        <v>0.20010848928668298</v>
      </c>
      <c r="DA105" s="880">
        <f t="shared" si="664"/>
        <v>0.24956592198171076</v>
      </c>
      <c r="DB105" s="881">
        <f t="shared" si="664"/>
        <v>0.29212652010533469</v>
      </c>
      <c r="DC105" s="881">
        <f t="shared" si="664"/>
        <v>0.29909964901571806</v>
      </c>
      <c r="DD105" s="881">
        <f t="shared" si="664"/>
        <v>0.31021377672209016</v>
      </c>
      <c r="DE105" s="881">
        <f>DE104/DE10</f>
        <v>0.30585622879501606</v>
      </c>
      <c r="DF105" s="885">
        <f>DF104/DF10</f>
        <v>0.31368760522532385</v>
      </c>
      <c r="DG105" s="7"/>
      <c r="DH105" s="7"/>
      <c r="DI105" s="7"/>
      <c r="DJ105" s="7"/>
      <c r="DK105"/>
      <c r="DL105"/>
      <c r="DM105"/>
      <c r="DN105"/>
      <c r="DO105"/>
      <c r="DP105"/>
      <c r="DQ105" s="7"/>
      <c r="DR105" s="7"/>
    </row>
    <row r="106" spans="1:122" s="7" customFormat="1" ht="14.25" hidden="1" outlineLevel="1">
      <c r="A106" s="505"/>
      <c r="B106" s="14"/>
      <c r="C106" s="24"/>
      <c r="D106" s="57"/>
      <c r="E106" s="57"/>
      <c r="F106" s="57"/>
      <c r="G106" s="58"/>
      <c r="H106" s="57"/>
      <c r="I106" s="57"/>
      <c r="J106" s="57"/>
      <c r="K106" s="58"/>
      <c r="L106" s="57"/>
      <c r="M106" s="57"/>
      <c r="N106" s="57"/>
      <c r="O106" s="58"/>
      <c r="P106" s="57"/>
      <c r="Q106" s="57"/>
      <c r="R106" s="57"/>
      <c r="S106" s="58"/>
      <c r="T106" s="57"/>
      <c r="U106" s="57"/>
      <c r="V106" s="57"/>
      <c r="W106" s="58"/>
      <c r="X106" s="57"/>
      <c r="Y106" s="57"/>
      <c r="Z106" s="57"/>
      <c r="AA106" s="57"/>
      <c r="AB106" s="56"/>
      <c r="AC106" s="57"/>
      <c r="AD106" s="57"/>
      <c r="AE106" s="57"/>
      <c r="AF106" s="56"/>
      <c r="AG106" s="57"/>
      <c r="AH106" s="385"/>
      <c r="AI106" s="57"/>
      <c r="AJ106" s="56"/>
      <c r="AK106" s="57"/>
      <c r="AL106" s="385"/>
      <c r="AM106" s="58"/>
      <c r="AN106" s="56"/>
      <c r="AO106" s="57"/>
      <c r="AP106" s="385"/>
      <c r="AQ106" s="58"/>
      <c r="AR106" s="56"/>
      <c r="AS106" s="57"/>
      <c r="AT106" s="385"/>
      <c r="AU106" s="58"/>
      <c r="AV106" s="56"/>
      <c r="AW106" s="57"/>
      <c r="AX106" s="385"/>
      <c r="AY106" s="58"/>
      <c r="AZ106" s="56"/>
      <c r="BA106" s="57"/>
      <c r="BB106" s="385"/>
      <c r="BC106" s="58"/>
      <c r="BD106" s="56"/>
      <c r="BE106" s="57"/>
      <c r="BF106" s="385"/>
      <c r="BG106" s="58"/>
      <c r="BH106" s="56"/>
      <c r="BI106" s="57"/>
      <c r="BJ106" s="385"/>
      <c r="BK106" s="58"/>
      <c r="BL106" s="56"/>
      <c r="BM106" s="57"/>
      <c r="BN106" s="57"/>
      <c r="BO106" s="58"/>
      <c r="BP106" s="56"/>
      <c r="BQ106" s="57"/>
      <c r="BR106" s="57"/>
      <c r="BS106" s="58"/>
      <c r="BT106" s="56"/>
      <c r="BU106" s="57"/>
      <c r="BV106" s="57"/>
      <c r="BW106" s="58"/>
      <c r="BX106" s="108"/>
      <c r="BY106" s="56"/>
      <c r="BZ106" s="57"/>
      <c r="CA106" s="57"/>
      <c r="CB106" s="57"/>
      <c r="CC106" s="57"/>
      <c r="CD106" s="57"/>
      <c r="CE106" s="57"/>
      <c r="CF106" s="57"/>
      <c r="CG106" s="57"/>
      <c r="CH106" s="57"/>
      <c r="CI106" s="58"/>
      <c r="CJ106" s="56"/>
      <c r="CK106" s="57"/>
      <c r="CL106" s="57"/>
      <c r="CM106" s="57"/>
      <c r="CN106" s="57"/>
      <c r="CO106" s="57"/>
      <c r="CP106" s="58"/>
      <c r="CQ106" s="106"/>
      <c r="CR106" s="56"/>
      <c r="CS106" s="57"/>
      <c r="CT106" s="57"/>
      <c r="CU106" s="57"/>
      <c r="CV106" s="57"/>
      <c r="CW106" s="57"/>
      <c r="CX106" s="57"/>
      <c r="CY106" s="57"/>
      <c r="CZ106" s="57"/>
      <c r="DA106" s="56"/>
      <c r="DB106" s="57"/>
      <c r="DC106" s="57"/>
      <c r="DD106" s="57"/>
      <c r="DE106" s="57"/>
      <c r="DF106" s="58"/>
      <c r="DK106"/>
      <c r="DL106"/>
      <c r="DM106"/>
      <c r="DN106"/>
      <c r="DO106"/>
      <c r="DP106"/>
    </row>
    <row r="107" spans="1:122" s="7" customFormat="1" ht="14.25" hidden="1" outlineLevel="1">
      <c r="A107" s="505"/>
      <c r="B107" s="14" t="s">
        <v>46</v>
      </c>
      <c r="C107" s="24"/>
      <c r="D107" s="30">
        <f t="shared" ref="D107:AI107" si="665">(D16+D34+D45+D56)-D90</f>
        <v>0</v>
      </c>
      <c r="E107" s="31">
        <f t="shared" si="665"/>
        <v>0</v>
      </c>
      <c r="F107" s="31">
        <f t="shared" si="665"/>
        <v>0</v>
      </c>
      <c r="G107" s="32">
        <f t="shared" si="665"/>
        <v>0</v>
      </c>
      <c r="H107" s="31">
        <f t="shared" si="665"/>
        <v>0</v>
      </c>
      <c r="I107" s="31">
        <f t="shared" si="665"/>
        <v>0</v>
      </c>
      <c r="J107" s="31">
        <f t="shared" si="665"/>
        <v>0</v>
      </c>
      <c r="K107" s="32">
        <f t="shared" si="665"/>
        <v>0</v>
      </c>
      <c r="L107" s="31">
        <f t="shared" si="665"/>
        <v>0</v>
      </c>
      <c r="M107" s="31">
        <f t="shared" si="665"/>
        <v>0</v>
      </c>
      <c r="N107" s="31">
        <f t="shared" si="665"/>
        <v>0</v>
      </c>
      <c r="O107" s="32">
        <f t="shared" si="665"/>
        <v>0</v>
      </c>
      <c r="P107" s="31">
        <f t="shared" si="665"/>
        <v>3.0309999999999997</v>
      </c>
      <c r="Q107" s="31">
        <f t="shared" si="665"/>
        <v>3.5880000000000001</v>
      </c>
      <c r="R107" s="31">
        <f t="shared" si="665"/>
        <v>3.67</v>
      </c>
      <c r="S107" s="32">
        <f>(S16+S34+S45+S56)-S90</f>
        <v>3.9299999999999997</v>
      </c>
      <c r="T107" s="31">
        <f t="shared" si="665"/>
        <v>2.0259999999999998</v>
      </c>
      <c r="U107" s="31">
        <f t="shared" si="665"/>
        <v>4.0449999999999999</v>
      </c>
      <c r="V107" s="31">
        <f t="shared" si="665"/>
        <v>3.645</v>
      </c>
      <c r="W107" s="32">
        <f t="shared" si="665"/>
        <v>4.0210000000000008</v>
      </c>
      <c r="X107" s="31">
        <f t="shared" si="665"/>
        <v>5.0069999999999997</v>
      </c>
      <c r="Y107" s="31">
        <f t="shared" si="665"/>
        <v>5.6429999999999998</v>
      </c>
      <c r="Z107" s="31">
        <f t="shared" si="665"/>
        <v>6.1120000000000001</v>
      </c>
      <c r="AA107" s="31">
        <f t="shared" si="665"/>
        <v>6.45</v>
      </c>
      <c r="AB107" s="30">
        <f t="shared" si="665"/>
        <v>6.5890000000000004</v>
      </c>
      <c r="AC107" s="31">
        <f t="shared" si="665"/>
        <v>4.2640000000000002</v>
      </c>
      <c r="AD107" s="31">
        <f t="shared" si="665"/>
        <v>5.468</v>
      </c>
      <c r="AE107" s="31">
        <f t="shared" si="665"/>
        <v>7.1449999999999996</v>
      </c>
      <c r="AF107" s="30">
        <f t="shared" si="665"/>
        <v>8.0839999999999996</v>
      </c>
      <c r="AG107" s="31">
        <f t="shared" si="665"/>
        <v>8.7200000000000006</v>
      </c>
      <c r="AH107" s="31">
        <f t="shared" si="665"/>
        <v>9.4349999999999987</v>
      </c>
      <c r="AI107" s="31">
        <f t="shared" si="665"/>
        <v>14.502999999999997</v>
      </c>
      <c r="AJ107" s="30">
        <f t="shared" ref="AJ107:BO107" si="666">(AJ16+AJ34+AJ45+AJ56)-AJ90</f>
        <v>13.280999999999999</v>
      </c>
      <c r="AK107" s="31">
        <f t="shared" si="666"/>
        <v>16.738</v>
      </c>
      <c r="AL107" s="31">
        <f t="shared" si="666"/>
        <v>14.542999999999999</v>
      </c>
      <c r="AM107" s="32">
        <f t="shared" si="666"/>
        <v>15.65</v>
      </c>
      <c r="AN107" s="30">
        <f t="shared" si="666"/>
        <v>15.817</v>
      </c>
      <c r="AO107" s="31">
        <f t="shared" si="666"/>
        <v>18.659330720111274</v>
      </c>
      <c r="AP107" s="31">
        <f t="shared" si="666"/>
        <v>14.411</v>
      </c>
      <c r="AQ107" s="32">
        <f t="shared" si="666"/>
        <v>18.489000000000001</v>
      </c>
      <c r="AR107" s="30">
        <f t="shared" si="666"/>
        <v>17.706000000000003</v>
      </c>
      <c r="AS107" s="31">
        <f t="shared" si="666"/>
        <v>18.299999999999997</v>
      </c>
      <c r="AT107" s="31">
        <f t="shared" si="666"/>
        <v>18.100000000000001</v>
      </c>
      <c r="AU107" s="32">
        <f t="shared" si="666"/>
        <v>17.599999999999994</v>
      </c>
      <c r="AV107" s="30">
        <f t="shared" si="666"/>
        <v>18.799999999999997</v>
      </c>
      <c r="AW107" s="31">
        <f t="shared" si="666"/>
        <v>20.799999999999997</v>
      </c>
      <c r="AX107" s="31">
        <f t="shared" si="666"/>
        <v>22.8</v>
      </c>
      <c r="AY107" s="32">
        <f t="shared" si="666"/>
        <v>23.6</v>
      </c>
      <c r="AZ107" s="30">
        <f t="shared" si="666"/>
        <v>21.7</v>
      </c>
      <c r="BA107" s="31">
        <f t="shared" si="666"/>
        <v>26.799999999999997</v>
      </c>
      <c r="BB107" s="31">
        <f t="shared" si="666"/>
        <v>25.9</v>
      </c>
      <c r="BC107" s="32">
        <f t="shared" si="666"/>
        <v>25.5</v>
      </c>
      <c r="BD107" s="30">
        <f t="shared" si="666"/>
        <v>23.3</v>
      </c>
      <c r="BE107" s="31">
        <f t="shared" ref="BE107:BJ107" si="667">(BE16+BE34+BE45+BE56)-BE90</f>
        <v>17.100000000000001</v>
      </c>
      <c r="BF107" s="31">
        <f t="shared" si="667"/>
        <v>16.099999999999998</v>
      </c>
      <c r="BG107" s="32">
        <f t="shared" si="667"/>
        <v>19.700000000000003</v>
      </c>
      <c r="BH107" s="30">
        <f t="shared" si="667"/>
        <v>21.6</v>
      </c>
      <c r="BI107" s="31">
        <f t="shared" si="667"/>
        <v>22.1</v>
      </c>
      <c r="BJ107" s="31">
        <f t="shared" si="667"/>
        <v>20.6</v>
      </c>
      <c r="BK107" s="32">
        <f t="shared" ref="BK107:BL107" si="668">(BK16+BK34+BK45+BK56)-BK90</f>
        <v>24.2</v>
      </c>
      <c r="BL107" s="30">
        <f t="shared" si="668"/>
        <v>25.799999999999997</v>
      </c>
      <c r="BM107" s="31">
        <f t="shared" si="666"/>
        <v>25.5</v>
      </c>
      <c r="BN107" s="31">
        <f t="shared" si="666"/>
        <v>25.5</v>
      </c>
      <c r="BO107" s="32">
        <f t="shared" si="666"/>
        <v>25.5</v>
      </c>
      <c r="BP107" s="30">
        <f t="shared" ref="BP107:BW107" si="669">(BP16+BP34+BP45+BP56)-BP90</f>
        <v>25.5</v>
      </c>
      <c r="BQ107" s="31">
        <f t="shared" si="669"/>
        <v>25.5</v>
      </c>
      <c r="BR107" s="31">
        <f t="shared" si="669"/>
        <v>25.5</v>
      </c>
      <c r="BS107" s="32">
        <f t="shared" si="669"/>
        <v>25.5</v>
      </c>
      <c r="BT107" s="30">
        <f t="shared" si="669"/>
        <v>25.5</v>
      </c>
      <c r="BU107" s="31">
        <f t="shared" si="669"/>
        <v>25.5</v>
      </c>
      <c r="BV107" s="31">
        <f t="shared" si="669"/>
        <v>25.5</v>
      </c>
      <c r="BW107" s="32">
        <f t="shared" si="669"/>
        <v>25.5</v>
      </c>
      <c r="BX107" s="108"/>
      <c r="BY107" s="30">
        <f t="shared" ref="BY107:CN107" si="670">(BY16+BY34+BY45+BY56)-BY90</f>
        <v>0</v>
      </c>
      <c r="BZ107" s="31">
        <f t="shared" si="670"/>
        <v>0</v>
      </c>
      <c r="CA107" s="31">
        <f t="shared" si="670"/>
        <v>0</v>
      </c>
      <c r="CB107" s="935">
        <f t="shared" si="670"/>
        <v>14.218999999999998</v>
      </c>
      <c r="CC107" s="935">
        <f t="shared" si="670"/>
        <v>13.736999999999998</v>
      </c>
      <c r="CD107" s="935">
        <f t="shared" si="670"/>
        <v>23.211999999999996</v>
      </c>
      <c r="CE107" s="935">
        <f t="shared" si="670"/>
        <v>23.466000000000001</v>
      </c>
      <c r="CF107" s="935">
        <f t="shared" si="670"/>
        <v>40.741999999999997</v>
      </c>
      <c r="CG107" s="935">
        <f t="shared" si="670"/>
        <v>60.212000000000003</v>
      </c>
      <c r="CH107" s="935">
        <f t="shared" si="670"/>
        <v>67.37633072011127</v>
      </c>
      <c r="CI107" s="936">
        <f t="shared" si="670"/>
        <v>71.705999999999989</v>
      </c>
      <c r="CJ107" s="30">
        <f t="shared" si="670"/>
        <v>86</v>
      </c>
      <c r="CK107" s="935">
        <f t="shared" si="670"/>
        <v>99.9</v>
      </c>
      <c r="CL107" s="935">
        <f t="shared" si="670"/>
        <v>76.199999999999989</v>
      </c>
      <c r="CM107" s="935">
        <f t="shared" si="670"/>
        <v>88.5</v>
      </c>
      <c r="CN107" s="31">
        <f t="shared" si="670"/>
        <v>102.30000000000001</v>
      </c>
      <c r="CO107" s="31">
        <f>(CO16+CO34+CO45+CO56)-CO90</f>
        <v>102</v>
      </c>
      <c r="CP107" s="32">
        <f>(CP16+CP34+CP45+CP56)-CP90</f>
        <v>102</v>
      </c>
      <c r="CQ107" s="106"/>
      <c r="CR107" s="30">
        <f t="shared" ref="CR107:DD107" si="671">(CR16+CR34+CR45)-CR90</f>
        <v>3.0309999999999997</v>
      </c>
      <c r="CS107" s="31">
        <f t="shared" si="671"/>
        <v>13.213999999999999</v>
      </c>
      <c r="CT107" s="31">
        <f t="shared" si="671"/>
        <v>16.718</v>
      </c>
      <c r="CU107" s="31">
        <f t="shared" si="671"/>
        <v>24.793999999999997</v>
      </c>
      <c r="CV107" s="31">
        <f t="shared" si="671"/>
        <v>24.960999999999999</v>
      </c>
      <c r="CW107" s="31">
        <f t="shared" si="671"/>
        <v>45.939</v>
      </c>
      <c r="CX107" s="31">
        <f t="shared" si="671"/>
        <v>62.747999999999998</v>
      </c>
      <c r="CY107" s="31">
        <f t="shared" si="671"/>
        <v>69.26533072011128</v>
      </c>
      <c r="CZ107" s="31">
        <f t="shared" si="671"/>
        <v>72.8</v>
      </c>
      <c r="DA107" s="30">
        <f t="shared" si="671"/>
        <v>88.899999999999991</v>
      </c>
      <c r="DB107" s="31">
        <f t="shared" si="671"/>
        <v>101.5</v>
      </c>
      <c r="DC107" s="31">
        <f t="shared" si="671"/>
        <v>74.5</v>
      </c>
      <c r="DD107" s="31">
        <f t="shared" si="671"/>
        <v>92.699999999999989</v>
      </c>
      <c r="DE107" s="31">
        <f>(DE16+DE34+DE45)-DE90</f>
        <v>102</v>
      </c>
      <c r="DF107" s="32">
        <f>(DF16+DF34+DF45)-DF90</f>
        <v>102</v>
      </c>
      <c r="DK107"/>
      <c r="DL107"/>
      <c r="DM107"/>
      <c r="DN107"/>
      <c r="DO107"/>
      <c r="DP107"/>
    </row>
    <row r="108" spans="1:122" s="7" customFormat="1" ht="14.25" hidden="1" outlineLevel="1">
      <c r="A108" s="505"/>
      <c r="B108" s="14"/>
      <c r="C108" s="24"/>
      <c r="D108" s="39"/>
      <c r="E108" s="39"/>
      <c r="F108" s="39"/>
      <c r="G108" s="40"/>
      <c r="H108" s="39"/>
      <c r="I108" s="39"/>
      <c r="J108" s="39"/>
      <c r="K108" s="40"/>
      <c r="L108" s="39"/>
      <c r="M108" s="39"/>
      <c r="N108" s="39"/>
      <c r="O108" s="40"/>
      <c r="P108" s="39"/>
      <c r="Q108" s="39"/>
      <c r="R108" s="39"/>
      <c r="S108" s="40"/>
      <c r="T108" s="39"/>
      <c r="U108" s="39"/>
      <c r="V108" s="39"/>
      <c r="W108" s="40"/>
      <c r="X108" s="39"/>
      <c r="Y108" s="39"/>
      <c r="Z108" s="39"/>
      <c r="AA108" s="39"/>
      <c r="AB108" s="38"/>
      <c r="AC108" s="39"/>
      <c r="AD108" s="39"/>
      <c r="AE108" s="39"/>
      <c r="AF108" s="38"/>
      <c r="AG108" s="39"/>
      <c r="AH108" s="39"/>
      <c r="AI108" s="39"/>
      <c r="AJ108" s="38"/>
      <c r="AK108" s="39"/>
      <c r="AL108" s="39"/>
      <c r="AM108" s="40"/>
      <c r="AN108" s="38"/>
      <c r="AO108" s="39"/>
      <c r="AP108" s="39"/>
      <c r="AQ108" s="40"/>
      <c r="AR108" s="38"/>
      <c r="AS108" s="39"/>
      <c r="AT108" s="39"/>
      <c r="AU108" s="40"/>
      <c r="AV108" s="38"/>
      <c r="AW108" s="39"/>
      <c r="AX108" s="39"/>
      <c r="AY108" s="40"/>
      <c r="AZ108" s="38"/>
      <c r="BA108" s="39"/>
      <c r="BB108" s="39"/>
      <c r="BC108" s="40"/>
      <c r="BD108" s="38"/>
      <c r="BE108" s="39"/>
      <c r="BF108" s="39"/>
      <c r="BG108" s="40"/>
      <c r="BH108" s="38"/>
      <c r="BI108" s="39"/>
      <c r="BJ108" s="39"/>
      <c r="BK108" s="40"/>
      <c r="BL108" s="38"/>
      <c r="BM108" s="39"/>
      <c r="BN108" s="39"/>
      <c r="BO108" s="40"/>
      <c r="BP108" s="38"/>
      <c r="BQ108" s="39"/>
      <c r="BR108" s="39"/>
      <c r="BS108" s="40"/>
      <c r="BT108" s="38"/>
      <c r="BU108" s="39"/>
      <c r="BV108" s="39"/>
      <c r="BW108" s="40"/>
      <c r="BX108" s="108"/>
      <c r="BY108" s="56"/>
      <c r="BZ108" s="57"/>
      <c r="CA108" s="57"/>
      <c r="CB108" s="57"/>
      <c r="CC108" s="57"/>
      <c r="CD108" s="57"/>
      <c r="CE108" s="57"/>
      <c r="CF108" s="57"/>
      <c r="CG108" s="57"/>
      <c r="CH108" s="57"/>
      <c r="CI108" s="58"/>
      <c r="CJ108" s="56"/>
      <c r="CK108" s="57"/>
      <c r="CL108" s="57"/>
      <c r="CM108" s="57"/>
      <c r="CN108" s="57"/>
      <c r="CO108" s="57"/>
      <c r="CP108" s="58"/>
      <c r="CQ108" s="106"/>
      <c r="CR108" s="56"/>
      <c r="CS108" s="57"/>
      <c r="CT108" s="57"/>
      <c r="CU108" s="57"/>
      <c r="CV108" s="57"/>
      <c r="CW108" s="57"/>
      <c r="CX108" s="57"/>
      <c r="CY108" s="57"/>
      <c r="CZ108" s="57"/>
      <c r="DA108" s="56"/>
      <c r="DB108" s="57"/>
      <c r="DC108" s="57"/>
      <c r="DD108" s="57"/>
      <c r="DE108" s="57"/>
      <c r="DF108" s="58"/>
      <c r="DK108"/>
      <c r="DL108"/>
      <c r="DM108"/>
      <c r="DN108"/>
      <c r="DO108"/>
      <c r="DP108"/>
    </row>
    <row r="109" spans="1:122" s="7" customFormat="1" ht="14.25" hidden="1" outlineLevel="1">
      <c r="A109" s="505"/>
      <c r="B109" s="14" t="s">
        <v>47</v>
      </c>
      <c r="C109" s="24"/>
      <c r="D109" s="31">
        <f t="shared" ref="D109:AI109" si="672">D18+D36+D47+D58-D92</f>
        <v>0</v>
      </c>
      <c r="E109" s="31">
        <f t="shared" si="672"/>
        <v>0</v>
      </c>
      <c r="F109" s="31">
        <f t="shared" si="672"/>
        <v>0</v>
      </c>
      <c r="G109" s="32">
        <f t="shared" si="672"/>
        <v>0</v>
      </c>
      <c r="H109" s="31">
        <f t="shared" si="672"/>
        <v>0</v>
      </c>
      <c r="I109" s="31">
        <f t="shared" si="672"/>
        <v>0</v>
      </c>
      <c r="J109" s="31">
        <f t="shared" si="672"/>
        <v>0</v>
      </c>
      <c r="K109" s="32">
        <f t="shared" si="672"/>
        <v>0</v>
      </c>
      <c r="L109" s="31">
        <f t="shared" si="672"/>
        <v>0</v>
      </c>
      <c r="M109" s="31">
        <f t="shared" si="672"/>
        <v>0</v>
      </c>
      <c r="N109" s="31">
        <f t="shared" si="672"/>
        <v>0</v>
      </c>
      <c r="O109" s="32">
        <f t="shared" si="672"/>
        <v>0</v>
      </c>
      <c r="P109" s="31">
        <f t="shared" si="672"/>
        <v>0</v>
      </c>
      <c r="Q109" s="31">
        <f t="shared" si="672"/>
        <v>0</v>
      </c>
      <c r="R109" s="31">
        <f t="shared" si="672"/>
        <v>0</v>
      </c>
      <c r="S109" s="32">
        <f t="shared" si="672"/>
        <v>0</v>
      </c>
      <c r="T109" s="31">
        <f t="shared" si="672"/>
        <v>0</v>
      </c>
      <c r="U109" s="31">
        <f t="shared" si="672"/>
        <v>0</v>
      </c>
      <c r="V109" s="31">
        <f t="shared" si="672"/>
        <v>0</v>
      </c>
      <c r="W109" s="32">
        <f t="shared" si="672"/>
        <v>0</v>
      </c>
      <c r="X109" s="31">
        <f t="shared" si="672"/>
        <v>0</v>
      </c>
      <c r="Y109" s="31">
        <f t="shared" si="672"/>
        <v>0</v>
      </c>
      <c r="Z109" s="31">
        <f t="shared" si="672"/>
        <v>0</v>
      </c>
      <c r="AA109" s="32">
        <f t="shared" si="672"/>
        <v>0</v>
      </c>
      <c r="AB109" s="31">
        <f t="shared" si="672"/>
        <v>0</v>
      </c>
      <c r="AC109" s="31">
        <f t="shared" si="672"/>
        <v>0</v>
      </c>
      <c r="AD109" s="31">
        <f t="shared" si="672"/>
        <v>0</v>
      </c>
      <c r="AE109" s="31">
        <f t="shared" si="672"/>
        <v>0</v>
      </c>
      <c r="AF109" s="30">
        <f t="shared" si="672"/>
        <v>0</v>
      </c>
      <c r="AG109" s="31">
        <f t="shared" si="672"/>
        <v>0</v>
      </c>
      <c r="AH109" s="31">
        <f t="shared" si="672"/>
        <v>0</v>
      </c>
      <c r="AI109" s="31">
        <f t="shared" si="672"/>
        <v>0</v>
      </c>
      <c r="AJ109" s="30">
        <f t="shared" ref="AJ109:BO109" si="673">AJ18+AJ36+AJ47+AJ58-AJ92</f>
        <v>0</v>
      </c>
      <c r="AK109" s="31">
        <f t="shared" si="673"/>
        <v>0</v>
      </c>
      <c r="AL109" s="31">
        <f t="shared" si="673"/>
        <v>0</v>
      </c>
      <c r="AM109" s="32">
        <f t="shared" si="673"/>
        <v>0</v>
      </c>
      <c r="AN109" s="31">
        <f t="shared" si="673"/>
        <v>0</v>
      </c>
      <c r="AO109" s="31">
        <f t="shared" si="673"/>
        <v>0</v>
      </c>
      <c r="AP109" s="31">
        <f t="shared" si="673"/>
        <v>0</v>
      </c>
      <c r="AQ109" s="32">
        <f t="shared" si="673"/>
        <v>0</v>
      </c>
      <c r="AR109" s="31">
        <f t="shared" si="673"/>
        <v>0</v>
      </c>
      <c r="AS109" s="31">
        <f t="shared" si="673"/>
        <v>0</v>
      </c>
      <c r="AT109" s="31">
        <f t="shared" si="673"/>
        <v>0</v>
      </c>
      <c r="AU109" s="32">
        <f t="shared" si="673"/>
        <v>0</v>
      </c>
      <c r="AV109" s="30">
        <f t="shared" si="673"/>
        <v>0</v>
      </c>
      <c r="AW109" s="31">
        <f t="shared" si="673"/>
        <v>0</v>
      </c>
      <c r="AX109" s="31">
        <f t="shared" si="673"/>
        <v>0</v>
      </c>
      <c r="AY109" s="32">
        <f t="shared" si="673"/>
        <v>0</v>
      </c>
      <c r="AZ109" s="30">
        <f t="shared" si="673"/>
        <v>0</v>
      </c>
      <c r="BA109" s="31">
        <f t="shared" si="673"/>
        <v>0</v>
      </c>
      <c r="BB109" s="31">
        <f t="shared" si="673"/>
        <v>0</v>
      </c>
      <c r="BC109" s="32">
        <f t="shared" si="673"/>
        <v>0</v>
      </c>
      <c r="BD109" s="30">
        <f t="shared" si="673"/>
        <v>0</v>
      </c>
      <c r="BE109" s="31">
        <f t="shared" si="673"/>
        <v>0</v>
      </c>
      <c r="BF109" s="31">
        <f t="shared" ref="BF109:BK109" si="674">BF18+BF36+BF47+BF58-BF92</f>
        <v>0</v>
      </c>
      <c r="BG109" s="32">
        <f t="shared" si="674"/>
        <v>0</v>
      </c>
      <c r="BH109" s="30">
        <f t="shared" si="674"/>
        <v>0</v>
      </c>
      <c r="BI109" s="31">
        <f t="shared" si="674"/>
        <v>0</v>
      </c>
      <c r="BJ109" s="31">
        <f t="shared" si="674"/>
        <v>0</v>
      </c>
      <c r="BK109" s="32">
        <f t="shared" si="674"/>
        <v>0</v>
      </c>
      <c r="BL109" s="30">
        <f t="shared" ref="BL109" si="675">BL18+BL36+BL47+BL58-BL92</f>
        <v>0</v>
      </c>
      <c r="BM109" s="31">
        <f t="shared" si="673"/>
        <v>0</v>
      </c>
      <c r="BN109" s="31">
        <f t="shared" si="673"/>
        <v>0</v>
      </c>
      <c r="BO109" s="32">
        <f t="shared" si="673"/>
        <v>0</v>
      </c>
      <c r="BP109" s="30">
        <f t="shared" ref="BP109:BW109" si="676">BP18+BP36+BP47+BP58-BP92</f>
        <v>0</v>
      </c>
      <c r="BQ109" s="31">
        <f t="shared" si="676"/>
        <v>0</v>
      </c>
      <c r="BR109" s="31">
        <f t="shared" si="676"/>
        <v>0</v>
      </c>
      <c r="BS109" s="32">
        <f t="shared" si="676"/>
        <v>0</v>
      </c>
      <c r="BT109" s="30">
        <f t="shared" si="676"/>
        <v>0</v>
      </c>
      <c r="BU109" s="31">
        <f t="shared" si="676"/>
        <v>0</v>
      </c>
      <c r="BV109" s="31">
        <f t="shared" si="676"/>
        <v>0</v>
      </c>
      <c r="BW109" s="32">
        <f t="shared" si="676"/>
        <v>0</v>
      </c>
      <c r="BX109" s="106"/>
      <c r="BY109" s="30">
        <f t="shared" ref="BY109:CN109" si="677">BY18+BY36+BY47+BY58-BY92</f>
        <v>0</v>
      </c>
      <c r="BZ109" s="31">
        <f t="shared" si="677"/>
        <v>0</v>
      </c>
      <c r="CA109" s="31">
        <f t="shared" si="677"/>
        <v>0</v>
      </c>
      <c r="CB109" s="31">
        <f t="shared" si="677"/>
        <v>0</v>
      </c>
      <c r="CC109" s="31">
        <f t="shared" si="677"/>
        <v>0</v>
      </c>
      <c r="CD109" s="31">
        <f t="shared" si="677"/>
        <v>0</v>
      </c>
      <c r="CE109" s="31">
        <f t="shared" si="677"/>
        <v>0</v>
      </c>
      <c r="CF109" s="31">
        <f t="shared" si="677"/>
        <v>0</v>
      </c>
      <c r="CG109" s="31">
        <f t="shared" si="677"/>
        <v>0</v>
      </c>
      <c r="CH109" s="31">
        <f t="shared" si="677"/>
        <v>0</v>
      </c>
      <c r="CI109" s="32">
        <f t="shared" si="677"/>
        <v>0</v>
      </c>
      <c r="CJ109" s="30">
        <f t="shared" si="677"/>
        <v>0</v>
      </c>
      <c r="CK109" s="31">
        <f t="shared" si="677"/>
        <v>0</v>
      </c>
      <c r="CL109" s="31">
        <f t="shared" si="677"/>
        <v>0</v>
      </c>
      <c r="CM109" s="31">
        <f t="shared" si="677"/>
        <v>0</v>
      </c>
      <c r="CN109" s="31">
        <f t="shared" si="677"/>
        <v>0</v>
      </c>
      <c r="CO109" s="31">
        <f>CO18+CO36+CO47+CO58-CO92</f>
        <v>0</v>
      </c>
      <c r="CP109" s="32">
        <f>CP18+CP36+CP47+CP58-CP92</f>
        <v>0</v>
      </c>
      <c r="CQ109" s="106"/>
      <c r="CR109" s="30">
        <f t="shared" ref="CR109:DD109" si="678">CR18+CR36+CR47+CR58-CR92</f>
        <v>0</v>
      </c>
      <c r="CS109" s="31">
        <f t="shared" si="678"/>
        <v>0</v>
      </c>
      <c r="CT109" s="31">
        <f t="shared" si="678"/>
        <v>0</v>
      </c>
      <c r="CU109" s="31">
        <f t="shared" si="678"/>
        <v>0</v>
      </c>
      <c r="CV109" s="31">
        <f t="shared" si="678"/>
        <v>0</v>
      </c>
      <c r="CW109" s="31">
        <f t="shared" si="678"/>
        <v>0</v>
      </c>
      <c r="CX109" s="31">
        <f t="shared" si="678"/>
        <v>0</v>
      </c>
      <c r="CY109" s="31">
        <f t="shared" si="678"/>
        <v>0</v>
      </c>
      <c r="CZ109" s="31">
        <f t="shared" si="678"/>
        <v>0</v>
      </c>
      <c r="DA109" s="30">
        <f t="shared" si="678"/>
        <v>0</v>
      </c>
      <c r="DB109" s="31">
        <f t="shared" si="678"/>
        <v>0</v>
      </c>
      <c r="DC109" s="31">
        <f t="shared" si="678"/>
        <v>0</v>
      </c>
      <c r="DD109" s="31">
        <f t="shared" si="678"/>
        <v>0</v>
      </c>
      <c r="DE109" s="31">
        <f>DE18+DE36+DE47+DE58-DE92</f>
        <v>0</v>
      </c>
      <c r="DF109" s="32">
        <f>DF18+DF36+DF47+DF58-DF92</f>
        <v>0</v>
      </c>
      <c r="DK109"/>
      <c r="DL109"/>
      <c r="DM109"/>
      <c r="DN109"/>
      <c r="DO109"/>
      <c r="DP109"/>
    </row>
    <row r="110" spans="1:122" s="7" customFormat="1" ht="14.25" hidden="1" outlineLevel="1">
      <c r="A110" s="505"/>
      <c r="B110" s="25" t="s">
        <v>48</v>
      </c>
      <c r="C110" s="26"/>
      <c r="D110" s="31"/>
      <c r="E110" s="31"/>
      <c r="F110" s="31"/>
      <c r="G110" s="32"/>
      <c r="H110" s="31"/>
      <c r="I110" s="31"/>
      <c r="J110" s="31"/>
      <c r="K110" s="32"/>
      <c r="L110" s="31"/>
      <c r="M110" s="31"/>
      <c r="N110" s="31"/>
      <c r="O110" s="32"/>
      <c r="P110" s="31"/>
      <c r="Q110" s="31"/>
      <c r="R110" s="31"/>
      <c r="S110" s="32"/>
      <c r="T110" s="31"/>
      <c r="U110" s="31"/>
      <c r="V110" s="31"/>
      <c r="W110" s="32"/>
      <c r="X110" s="31">
        <v>0</v>
      </c>
      <c r="Y110" s="31">
        <v>0</v>
      </c>
      <c r="Z110" s="31">
        <v>0</v>
      </c>
      <c r="AA110" s="32">
        <v>0</v>
      </c>
      <c r="AB110" s="31">
        <v>0</v>
      </c>
      <c r="AC110" s="31">
        <v>0</v>
      </c>
      <c r="AD110" s="31">
        <v>0</v>
      </c>
      <c r="AE110" s="32">
        <v>0</v>
      </c>
      <c r="AF110" s="31">
        <v>0</v>
      </c>
      <c r="AG110" s="31">
        <v>0</v>
      </c>
      <c r="AH110" s="31">
        <v>0</v>
      </c>
      <c r="AI110" s="31">
        <v>0</v>
      </c>
      <c r="AJ110" s="31">
        <v>0</v>
      </c>
      <c r="AK110" s="31">
        <v>0</v>
      </c>
      <c r="AL110" s="31">
        <v>0</v>
      </c>
      <c r="AM110" s="32">
        <v>0</v>
      </c>
      <c r="AN110" s="31">
        <v>0</v>
      </c>
      <c r="AO110" s="31">
        <v>0</v>
      </c>
      <c r="AP110" s="31">
        <v>0</v>
      </c>
      <c r="AQ110" s="32">
        <v>0</v>
      </c>
      <c r="AR110" s="31">
        <v>0</v>
      </c>
      <c r="AS110" s="31">
        <v>0</v>
      </c>
      <c r="AT110" s="31">
        <v>0</v>
      </c>
      <c r="AU110" s="32">
        <v>0</v>
      </c>
      <c r="AV110" s="31">
        <v>0</v>
      </c>
      <c r="AW110" s="31">
        <v>0</v>
      </c>
      <c r="AX110" s="31">
        <v>0</v>
      </c>
      <c r="AY110" s="32">
        <v>0</v>
      </c>
      <c r="AZ110" s="31">
        <v>0</v>
      </c>
      <c r="BA110" s="31">
        <v>0</v>
      </c>
      <c r="BB110" s="31">
        <v>0</v>
      </c>
      <c r="BC110" s="32">
        <v>0</v>
      </c>
      <c r="BD110" s="31">
        <v>0</v>
      </c>
      <c r="BE110" s="31">
        <v>0</v>
      </c>
      <c r="BF110" s="31">
        <v>0</v>
      </c>
      <c r="BG110" s="32">
        <v>0</v>
      </c>
      <c r="BH110" s="31">
        <v>0</v>
      </c>
      <c r="BI110" s="31">
        <v>0</v>
      </c>
      <c r="BJ110" s="31">
        <v>0</v>
      </c>
      <c r="BK110" s="32">
        <v>0</v>
      </c>
      <c r="BL110" s="31">
        <v>0</v>
      </c>
      <c r="BM110" s="29">
        <f t="shared" ref="BM110:BS110" si="679">BL110</f>
        <v>0</v>
      </c>
      <c r="BN110" s="29">
        <f t="shared" si="679"/>
        <v>0</v>
      </c>
      <c r="BO110" s="388">
        <f t="shared" si="679"/>
        <v>0</v>
      </c>
      <c r="BP110" s="833">
        <f t="shared" si="679"/>
        <v>0</v>
      </c>
      <c r="BQ110" s="29">
        <f t="shared" si="679"/>
        <v>0</v>
      </c>
      <c r="BR110" s="29">
        <f t="shared" si="679"/>
        <v>0</v>
      </c>
      <c r="BS110" s="388">
        <f t="shared" si="679"/>
        <v>0</v>
      </c>
      <c r="BT110" s="833">
        <f t="shared" ref="BT110" si="680">BS110</f>
        <v>0</v>
      </c>
      <c r="BU110" s="29">
        <f t="shared" ref="BU110" si="681">BT110</f>
        <v>0</v>
      </c>
      <c r="BV110" s="29">
        <f t="shared" ref="BV110" si="682">BU110</f>
        <v>0</v>
      </c>
      <c r="BW110" s="388">
        <f t="shared" ref="BW110" si="683">BV110</f>
        <v>0</v>
      </c>
      <c r="BX110" s="106"/>
      <c r="BY110" s="30">
        <f>SUM(S110:V110)</f>
        <v>0</v>
      </c>
      <c r="BZ110" s="31">
        <f>SUM(W110:Z110)</f>
        <v>0</v>
      </c>
      <c r="CA110" s="31">
        <f>SUM(AA110:AD110)</f>
        <v>0</v>
      </c>
      <c r="CB110" s="31">
        <f>SUM(AE110:AH110)</f>
        <v>0</v>
      </c>
      <c r="CC110" s="31">
        <f>SUM(AI110:AL110)</f>
        <v>0</v>
      </c>
      <c r="CD110" s="31">
        <f>SUM(X110:AA110)</f>
        <v>0</v>
      </c>
      <c r="CE110" s="31">
        <f>SUM(AB110:AE110)</f>
        <v>0</v>
      </c>
      <c r="CF110" s="31">
        <f>SUM(AF110:AI110)</f>
        <v>0</v>
      </c>
      <c r="CG110" s="31">
        <f>SUM(AJ110:AM110)</f>
        <v>0</v>
      </c>
      <c r="CH110" s="31">
        <f>SUM(AN110:AQ110)</f>
        <v>0</v>
      </c>
      <c r="CI110" s="32">
        <f>SUM(AR110:AU110)</f>
        <v>0</v>
      </c>
      <c r="CJ110" s="30">
        <f>SUM(AV110:AY110)</f>
        <v>0</v>
      </c>
      <c r="CK110" s="31">
        <f>SUM(AZ110:BC110)</f>
        <v>0</v>
      </c>
      <c r="CL110" s="31">
        <f>SUM(BD110:BG110)</f>
        <v>0</v>
      </c>
      <c r="CM110" s="31">
        <f>SUM(BH110:BK110)</f>
        <v>0</v>
      </c>
      <c r="CN110" s="31">
        <f>SUM(BL110:BO110)</f>
        <v>0</v>
      </c>
      <c r="CO110" s="31">
        <f>SUM(BP110:BS110)</f>
        <v>0</v>
      </c>
      <c r="CP110" s="32">
        <f>SUM(BT110:BW110)</f>
        <v>0</v>
      </c>
      <c r="CQ110" s="106"/>
      <c r="CR110" s="193">
        <f>SUM(M110:P110)</f>
        <v>0</v>
      </c>
      <c r="CS110" s="75">
        <f>SUM(Q110:T110)</f>
        <v>0</v>
      </c>
      <c r="CT110" s="75">
        <f>SUM(U110:X110)</f>
        <v>0</v>
      </c>
      <c r="CU110" s="75">
        <f>SUM(Y110:AB110)</f>
        <v>0</v>
      </c>
      <c r="CV110" s="75">
        <f>SUM(AC110:AF110)</f>
        <v>0</v>
      </c>
      <c r="CW110" s="75">
        <f>SUM(AG110:AJ110)</f>
        <v>0</v>
      </c>
      <c r="CX110" s="75">
        <f>SUM(AK110:AN110)</f>
        <v>0</v>
      </c>
      <c r="CY110" s="75">
        <f>SUM(AO110:AR110)</f>
        <v>0</v>
      </c>
      <c r="CZ110" s="75">
        <f>SUM(AS110:AV110)</f>
        <v>0</v>
      </c>
      <c r="DA110" s="30">
        <f>SUM(AW110:AZ110)</f>
        <v>0</v>
      </c>
      <c r="DB110" s="31">
        <f>SUM(BA110:BD110)</f>
        <v>0</v>
      </c>
      <c r="DC110" s="31">
        <f>SUM(BE110:BH110)</f>
        <v>0</v>
      </c>
      <c r="DD110" s="31">
        <f>SUM(BI110:BL110)</f>
        <v>0</v>
      </c>
      <c r="DE110" s="31">
        <f>SUM(BM110:BP110)</f>
        <v>0</v>
      </c>
      <c r="DF110" s="32">
        <f>SUM(BQ110:BT110)</f>
        <v>0</v>
      </c>
      <c r="DK110"/>
      <c r="DL110"/>
      <c r="DM110"/>
      <c r="DN110"/>
      <c r="DO110"/>
      <c r="DP110"/>
    </row>
    <row r="111" spans="1:122" s="7" customFormat="1" ht="14.25" hidden="1" outlineLevel="1">
      <c r="A111" s="505"/>
      <c r="B111" s="14" t="s">
        <v>49</v>
      </c>
      <c r="C111" s="24"/>
      <c r="D111" s="30">
        <f t="shared" ref="D111:S111" si="684">D109+D110</f>
        <v>0</v>
      </c>
      <c r="E111" s="31">
        <f t="shared" si="684"/>
        <v>0</v>
      </c>
      <c r="F111" s="31">
        <f t="shared" si="684"/>
        <v>0</v>
      </c>
      <c r="G111" s="32">
        <f t="shared" si="684"/>
        <v>0</v>
      </c>
      <c r="H111" s="31">
        <f t="shared" si="684"/>
        <v>0</v>
      </c>
      <c r="I111" s="31">
        <f t="shared" si="684"/>
        <v>0</v>
      </c>
      <c r="J111" s="31">
        <f t="shared" si="684"/>
        <v>0</v>
      </c>
      <c r="K111" s="32">
        <f t="shared" si="684"/>
        <v>0</v>
      </c>
      <c r="L111" s="31">
        <f t="shared" si="684"/>
        <v>0</v>
      </c>
      <c r="M111" s="31">
        <f t="shared" si="684"/>
        <v>0</v>
      </c>
      <c r="N111" s="31">
        <f t="shared" si="684"/>
        <v>0</v>
      </c>
      <c r="O111" s="32">
        <f t="shared" si="684"/>
        <v>0</v>
      </c>
      <c r="P111" s="31">
        <f t="shared" si="684"/>
        <v>0</v>
      </c>
      <c r="Q111" s="31">
        <f t="shared" si="684"/>
        <v>0</v>
      </c>
      <c r="R111" s="31">
        <f t="shared" si="684"/>
        <v>0</v>
      </c>
      <c r="S111" s="32">
        <f t="shared" si="684"/>
        <v>0</v>
      </c>
      <c r="T111" s="31">
        <f>T109+T110</f>
        <v>0</v>
      </c>
      <c r="U111" s="31">
        <f>U109+U110</f>
        <v>0</v>
      </c>
      <c r="V111" s="31">
        <f>V109+V110</f>
        <v>0</v>
      </c>
      <c r="W111" s="32">
        <f>W109+W110</f>
        <v>0</v>
      </c>
      <c r="X111" s="31">
        <f t="shared" ref="X111:AW111" si="685">X109+X110</f>
        <v>0</v>
      </c>
      <c r="Y111" s="31">
        <f t="shared" si="685"/>
        <v>0</v>
      </c>
      <c r="Z111" s="31">
        <f t="shared" si="685"/>
        <v>0</v>
      </c>
      <c r="AA111" s="32">
        <f t="shared" si="685"/>
        <v>0</v>
      </c>
      <c r="AB111" s="31">
        <f t="shared" si="685"/>
        <v>0</v>
      </c>
      <c r="AC111" s="31">
        <f t="shared" si="685"/>
        <v>0</v>
      </c>
      <c r="AD111" s="31">
        <f t="shared" si="685"/>
        <v>0</v>
      </c>
      <c r="AE111" s="32">
        <f t="shared" si="685"/>
        <v>0</v>
      </c>
      <c r="AF111" s="31">
        <f t="shared" si="685"/>
        <v>0</v>
      </c>
      <c r="AG111" s="31">
        <f t="shared" si="685"/>
        <v>0</v>
      </c>
      <c r="AH111" s="31">
        <f t="shared" si="685"/>
        <v>0</v>
      </c>
      <c r="AI111" s="31">
        <f t="shared" si="685"/>
        <v>0</v>
      </c>
      <c r="AJ111" s="30">
        <f t="shared" si="685"/>
        <v>0</v>
      </c>
      <c r="AK111" s="31">
        <f t="shared" si="685"/>
        <v>0</v>
      </c>
      <c r="AL111" s="31">
        <f t="shared" si="685"/>
        <v>0</v>
      </c>
      <c r="AM111" s="32">
        <f t="shared" si="685"/>
        <v>0</v>
      </c>
      <c r="AN111" s="31">
        <f t="shared" si="685"/>
        <v>0</v>
      </c>
      <c r="AO111" s="31">
        <f t="shared" si="685"/>
        <v>0</v>
      </c>
      <c r="AP111" s="31">
        <f t="shared" si="685"/>
        <v>0</v>
      </c>
      <c r="AQ111" s="32">
        <f t="shared" si="685"/>
        <v>0</v>
      </c>
      <c r="AR111" s="31">
        <f t="shared" si="685"/>
        <v>0</v>
      </c>
      <c r="AS111" s="31">
        <f t="shared" si="685"/>
        <v>0</v>
      </c>
      <c r="AT111" s="31">
        <f t="shared" si="685"/>
        <v>0</v>
      </c>
      <c r="AU111" s="32">
        <f t="shared" si="685"/>
        <v>0</v>
      </c>
      <c r="AV111" s="31">
        <f t="shared" si="685"/>
        <v>0</v>
      </c>
      <c r="AW111" s="31">
        <f t="shared" si="685"/>
        <v>0</v>
      </c>
      <c r="AX111" s="31">
        <f t="shared" ref="AX111:BC111" si="686">AX109+AX110</f>
        <v>0</v>
      </c>
      <c r="AY111" s="32">
        <f t="shared" si="686"/>
        <v>0</v>
      </c>
      <c r="AZ111" s="31">
        <f t="shared" si="686"/>
        <v>0</v>
      </c>
      <c r="BA111" s="31">
        <f t="shared" si="686"/>
        <v>0</v>
      </c>
      <c r="BB111" s="31">
        <f t="shared" si="686"/>
        <v>0</v>
      </c>
      <c r="BC111" s="32">
        <f t="shared" si="686"/>
        <v>0</v>
      </c>
      <c r="BD111" s="31">
        <f t="shared" ref="BD111:BI111" si="687">BD109+BD110</f>
        <v>0</v>
      </c>
      <c r="BE111" s="31">
        <f t="shared" si="687"/>
        <v>0</v>
      </c>
      <c r="BF111" s="31">
        <f t="shared" si="687"/>
        <v>0</v>
      </c>
      <c r="BG111" s="32">
        <f t="shared" si="687"/>
        <v>0</v>
      </c>
      <c r="BH111" s="31">
        <f t="shared" si="687"/>
        <v>0</v>
      </c>
      <c r="BI111" s="31">
        <f t="shared" si="687"/>
        <v>0</v>
      </c>
      <c r="BJ111" s="31">
        <f t="shared" ref="BJ111:BS111" si="688">BJ109+BJ110</f>
        <v>0</v>
      </c>
      <c r="BK111" s="32">
        <f t="shared" si="688"/>
        <v>0</v>
      </c>
      <c r="BL111" s="31">
        <f t="shared" si="688"/>
        <v>0</v>
      </c>
      <c r="BM111" s="31">
        <f t="shared" si="688"/>
        <v>0</v>
      </c>
      <c r="BN111" s="31">
        <f t="shared" si="688"/>
        <v>0</v>
      </c>
      <c r="BO111" s="32">
        <f t="shared" si="688"/>
        <v>0</v>
      </c>
      <c r="BP111" s="30">
        <f t="shared" si="688"/>
        <v>0</v>
      </c>
      <c r="BQ111" s="31">
        <f t="shared" si="688"/>
        <v>0</v>
      </c>
      <c r="BR111" s="31">
        <f t="shared" si="688"/>
        <v>0</v>
      </c>
      <c r="BS111" s="32">
        <f t="shared" si="688"/>
        <v>0</v>
      </c>
      <c r="BT111" s="30">
        <f t="shared" ref="BT111:BW111" si="689">BT109+BT110</f>
        <v>0</v>
      </c>
      <c r="BU111" s="31">
        <f t="shared" si="689"/>
        <v>0</v>
      </c>
      <c r="BV111" s="31">
        <f t="shared" si="689"/>
        <v>0</v>
      </c>
      <c r="BW111" s="32">
        <f t="shared" si="689"/>
        <v>0</v>
      </c>
      <c r="BX111" s="106"/>
      <c r="BY111" s="30">
        <f>BY109+BY110</f>
        <v>0</v>
      </c>
      <c r="BZ111" s="31">
        <f>BZ109+BZ110</f>
        <v>0</v>
      </c>
      <c r="CA111" s="31">
        <f>CA109+CA110</f>
        <v>0</v>
      </c>
      <c r="CB111" s="31">
        <f>CB109+CB110</f>
        <v>0</v>
      </c>
      <c r="CC111" s="31">
        <f>CC109+CC110</f>
        <v>0</v>
      </c>
      <c r="CD111" s="31">
        <f t="shared" ref="CD111:CJ111" si="690">CD109+CD110</f>
        <v>0</v>
      </c>
      <c r="CE111" s="31">
        <f t="shared" si="690"/>
        <v>0</v>
      </c>
      <c r="CF111" s="31">
        <f t="shared" si="690"/>
        <v>0</v>
      </c>
      <c r="CG111" s="31">
        <f t="shared" si="690"/>
        <v>0</v>
      </c>
      <c r="CH111" s="31">
        <f t="shared" si="690"/>
        <v>0</v>
      </c>
      <c r="CI111" s="32">
        <f t="shared" si="690"/>
        <v>0</v>
      </c>
      <c r="CJ111" s="30">
        <f t="shared" si="690"/>
        <v>0</v>
      </c>
      <c r="CK111" s="31">
        <f t="shared" ref="CK111:CO111" si="691">CK109+CK110</f>
        <v>0</v>
      </c>
      <c r="CL111" s="31">
        <f t="shared" si="691"/>
        <v>0</v>
      </c>
      <c r="CM111" s="31">
        <f t="shared" si="691"/>
        <v>0</v>
      </c>
      <c r="CN111" s="31">
        <f t="shared" si="691"/>
        <v>0</v>
      </c>
      <c r="CO111" s="31">
        <f t="shared" si="691"/>
        <v>0</v>
      </c>
      <c r="CP111" s="32">
        <f t="shared" ref="CP111" si="692">CP109+CP110</f>
        <v>0</v>
      </c>
      <c r="CQ111" s="106"/>
      <c r="CR111" s="30">
        <f>CR109+CR110</f>
        <v>0</v>
      </c>
      <c r="CS111" s="31">
        <f>CS109+CS110</f>
        <v>0</v>
      </c>
      <c r="CT111" s="31">
        <f>CT109+CT110</f>
        <v>0</v>
      </c>
      <c r="CU111" s="31">
        <f t="shared" ref="CU111:CZ111" si="693">CU109+CU110</f>
        <v>0</v>
      </c>
      <c r="CV111" s="31">
        <f t="shared" si="693"/>
        <v>0</v>
      </c>
      <c r="CW111" s="31">
        <f t="shared" si="693"/>
        <v>0</v>
      </c>
      <c r="CX111" s="31">
        <f t="shared" si="693"/>
        <v>0</v>
      </c>
      <c r="CY111" s="31">
        <f t="shared" si="693"/>
        <v>0</v>
      </c>
      <c r="CZ111" s="31">
        <f t="shared" si="693"/>
        <v>0</v>
      </c>
      <c r="DA111" s="30">
        <f t="shared" ref="DA111:DF111" si="694">DA109+DA110</f>
        <v>0</v>
      </c>
      <c r="DB111" s="31">
        <f t="shared" si="694"/>
        <v>0</v>
      </c>
      <c r="DC111" s="31">
        <f t="shared" si="694"/>
        <v>0</v>
      </c>
      <c r="DD111" s="31">
        <f t="shared" si="694"/>
        <v>0</v>
      </c>
      <c r="DE111" s="31">
        <f t="shared" si="694"/>
        <v>0</v>
      </c>
      <c r="DF111" s="32">
        <f t="shared" si="694"/>
        <v>0</v>
      </c>
      <c r="DK111"/>
      <c r="DL111"/>
      <c r="DM111"/>
      <c r="DN111"/>
      <c r="DO111"/>
      <c r="DP111"/>
    </row>
    <row r="112" spans="1:122" s="7" customFormat="1" ht="14.25" hidden="1" outlineLevel="1">
      <c r="A112" s="505"/>
      <c r="B112" s="14"/>
      <c r="C112" s="24"/>
      <c r="D112" s="39"/>
      <c r="E112" s="39"/>
      <c r="F112" s="39"/>
      <c r="G112" s="40"/>
      <c r="H112" s="39"/>
      <c r="I112" s="39"/>
      <c r="J112" s="39"/>
      <c r="K112" s="40"/>
      <c r="L112" s="39"/>
      <c r="M112" s="39"/>
      <c r="N112" s="39"/>
      <c r="O112" s="40"/>
      <c r="P112" s="39"/>
      <c r="Q112" s="39"/>
      <c r="R112" s="39"/>
      <c r="S112" s="40"/>
      <c r="T112" s="39"/>
      <c r="U112" s="39"/>
      <c r="V112" s="39"/>
      <c r="W112" s="40"/>
      <c r="X112" s="39"/>
      <c r="Y112" s="39"/>
      <c r="Z112" s="39"/>
      <c r="AA112" s="39"/>
      <c r="AB112" s="38"/>
      <c r="AC112" s="39"/>
      <c r="AD112" s="39"/>
      <c r="AE112" s="39"/>
      <c r="AF112" s="38"/>
      <c r="AG112" s="39"/>
      <c r="AH112" s="39"/>
      <c r="AI112" s="119"/>
      <c r="AJ112" s="38"/>
      <c r="AK112" s="39"/>
      <c r="AL112" s="39"/>
      <c r="AM112" s="513"/>
      <c r="AN112" s="38"/>
      <c r="AO112" s="39"/>
      <c r="AP112" s="39"/>
      <c r="AQ112" s="513"/>
      <c r="AR112" s="38"/>
      <c r="AS112" s="39"/>
      <c r="AT112" s="39"/>
      <c r="AU112" s="513"/>
      <c r="AV112" s="38"/>
      <c r="AW112" s="39"/>
      <c r="AX112" s="39"/>
      <c r="AY112" s="513"/>
      <c r="AZ112" s="38"/>
      <c r="BA112" s="39"/>
      <c r="BB112" s="39"/>
      <c r="BC112" s="513"/>
      <c r="BD112" s="38"/>
      <c r="BE112" s="39"/>
      <c r="BF112" s="39"/>
      <c r="BG112" s="513"/>
      <c r="BH112" s="38"/>
      <c r="BI112" s="39"/>
      <c r="BJ112" s="39"/>
      <c r="BK112" s="889"/>
      <c r="BL112" s="38"/>
      <c r="BM112" s="886"/>
      <c r="BN112" s="886"/>
      <c r="BO112" s="889"/>
      <c r="BP112" s="837"/>
      <c r="BQ112" s="119"/>
      <c r="BR112" s="119"/>
      <c r="BS112" s="513"/>
      <c r="BT112" s="906"/>
      <c r="BU112" s="886"/>
      <c r="BV112" s="886"/>
      <c r="BW112" s="889"/>
      <c r="BX112" s="108"/>
      <c r="BY112" s="56"/>
      <c r="BZ112" s="57"/>
      <c r="CA112" s="57"/>
      <c r="CB112" s="57"/>
      <c r="CC112" s="57"/>
      <c r="CD112" s="57"/>
      <c r="CE112" s="57"/>
      <c r="CF112" s="57"/>
      <c r="CG112" s="57"/>
      <c r="CH112" s="57"/>
      <c r="CI112" s="58"/>
      <c r="CJ112" s="56"/>
      <c r="CK112" s="57"/>
      <c r="CL112" s="57"/>
      <c r="CM112" s="57"/>
      <c r="CN112" s="57"/>
      <c r="CO112" s="57"/>
      <c r="CP112" s="58"/>
      <c r="CQ112" s="106"/>
      <c r="CR112" s="56"/>
      <c r="CS112" s="57"/>
      <c r="CT112" s="57"/>
      <c r="CU112" s="57"/>
      <c r="CV112" s="57"/>
      <c r="CW112" s="57"/>
      <c r="CX112" s="57"/>
      <c r="CY112" s="57"/>
      <c r="CZ112" s="57"/>
      <c r="DA112" s="56"/>
      <c r="DB112" s="57"/>
      <c r="DC112" s="57"/>
      <c r="DD112" s="57"/>
      <c r="DE112" s="57"/>
      <c r="DF112" s="58"/>
      <c r="DK112"/>
      <c r="DL112"/>
      <c r="DM112"/>
      <c r="DN112"/>
      <c r="DO112"/>
      <c r="DP112"/>
    </row>
    <row r="113" spans="1:122" s="7" customFormat="1" ht="15" hidden="1" outlineLevel="1">
      <c r="A113" s="505"/>
      <c r="B113" s="46" t="s">
        <v>255</v>
      </c>
      <c r="C113" s="47"/>
      <c r="D113" s="48">
        <f>D98+D109</f>
        <v>-396.34800000000001</v>
      </c>
      <c r="E113" s="49">
        <f t="shared" ref="E113:S113" si="695">E98+E109</f>
        <v>-5.9550000000000063</v>
      </c>
      <c r="F113" s="49">
        <f t="shared" si="695"/>
        <v>-6.1859999999999813</v>
      </c>
      <c r="G113" s="50">
        <f t="shared" si="695"/>
        <v>-42.927000000000007</v>
      </c>
      <c r="H113" s="49">
        <f t="shared" si="695"/>
        <v>4.1719999999999979</v>
      </c>
      <c r="I113" s="49">
        <f t="shared" si="695"/>
        <v>-9.4209999999999905</v>
      </c>
      <c r="J113" s="49">
        <f t="shared" si="695"/>
        <v>13.030000000000006</v>
      </c>
      <c r="K113" s="50">
        <f t="shared" si="695"/>
        <v>14.63099999999995</v>
      </c>
      <c r="L113" s="49">
        <f t="shared" si="695"/>
        <v>13.917000000000009</v>
      </c>
      <c r="M113" s="49">
        <f t="shared" si="695"/>
        <v>-83.676000000000002</v>
      </c>
      <c r="N113" s="49">
        <f t="shared" si="695"/>
        <v>7.38900000000001</v>
      </c>
      <c r="O113" s="50">
        <f t="shared" si="695"/>
        <v>87.98099999999998</v>
      </c>
      <c r="P113" s="49">
        <f t="shared" si="695"/>
        <v>4.2869999999999902</v>
      </c>
      <c r="Q113" s="49">
        <f t="shared" si="695"/>
        <v>0.9260000000000117</v>
      </c>
      <c r="R113" s="49">
        <f t="shared" si="695"/>
        <v>3.0049999999999946</v>
      </c>
      <c r="S113" s="50">
        <f t="shared" si="695"/>
        <v>-96.370299999999972</v>
      </c>
      <c r="T113" s="49">
        <f t="shared" ref="T113:AJ113" si="696">T98+T109</f>
        <v>12.037000000000003</v>
      </c>
      <c r="U113" s="49">
        <f t="shared" si="696"/>
        <v>12.197000000000015</v>
      </c>
      <c r="V113" s="49">
        <f t="shared" si="696"/>
        <v>11.423000000000005</v>
      </c>
      <c r="W113" s="50">
        <f t="shared" si="696"/>
        <v>21.992999999999899</v>
      </c>
      <c r="X113" s="49">
        <f t="shared" si="696"/>
        <v>19.077999999999989</v>
      </c>
      <c r="Y113" s="49">
        <f t="shared" si="696"/>
        <v>16.672999999999995</v>
      </c>
      <c r="Z113" s="49">
        <f t="shared" si="696"/>
        <v>20.465999999999994</v>
      </c>
      <c r="AA113" s="49">
        <f t="shared" si="696"/>
        <v>54.789000000000087</v>
      </c>
      <c r="AB113" s="48">
        <f t="shared" si="696"/>
        <v>23.585000000000008</v>
      </c>
      <c r="AC113" s="49">
        <f t="shared" si="696"/>
        <v>-5.6779999999999813</v>
      </c>
      <c r="AD113" s="49">
        <f t="shared" si="696"/>
        <v>18.739999999999988</v>
      </c>
      <c r="AE113" s="49">
        <f t="shared" si="696"/>
        <v>58.336999999999961</v>
      </c>
      <c r="AF113" s="48">
        <f t="shared" si="696"/>
        <v>28.009999999999998</v>
      </c>
      <c r="AG113" s="49">
        <f t="shared" si="696"/>
        <v>27.743999999999986</v>
      </c>
      <c r="AH113" s="49">
        <f t="shared" si="696"/>
        <v>34.735999999999997</v>
      </c>
      <c r="AI113" s="49">
        <f t="shared" si="696"/>
        <v>46.804000000000038</v>
      </c>
      <c r="AJ113" s="48">
        <f t="shared" si="696"/>
        <v>60.868000000000016</v>
      </c>
      <c r="AK113" s="49">
        <f t="shared" ref="AK113:AP113" si="697">AK98+AK109</f>
        <v>49.959999999999987</v>
      </c>
      <c r="AL113" s="49">
        <f t="shared" si="697"/>
        <v>51.548000000000002</v>
      </c>
      <c r="AM113" s="50">
        <f t="shared" si="697"/>
        <v>64.208999999999975</v>
      </c>
      <c r="AN113" s="48">
        <f t="shared" si="697"/>
        <v>57.126000000000033</v>
      </c>
      <c r="AO113" s="49">
        <f t="shared" si="697"/>
        <v>34.032999999999994</v>
      </c>
      <c r="AP113" s="49">
        <f t="shared" si="697"/>
        <v>49.317000000000007</v>
      </c>
      <c r="AQ113" s="50">
        <f t="shared" ref="AQ113:AV113" si="698">AQ98+AQ109</f>
        <v>61.602000000000004</v>
      </c>
      <c r="AR113" s="48">
        <f t="shared" si="698"/>
        <v>66.492999999999995</v>
      </c>
      <c r="AS113" s="49">
        <f t="shared" si="698"/>
        <v>61.699999999999982</v>
      </c>
      <c r="AT113" s="49">
        <f t="shared" si="698"/>
        <v>65.700000000000017</v>
      </c>
      <c r="AU113" s="50">
        <f t="shared" si="698"/>
        <v>84.200000000000017</v>
      </c>
      <c r="AV113" s="48">
        <f t="shared" si="698"/>
        <v>94.5</v>
      </c>
      <c r="AW113" s="49">
        <f t="shared" ref="AW113:BB113" si="699">AW98+AW109</f>
        <v>76.899999999999977</v>
      </c>
      <c r="AX113" s="49">
        <f t="shared" si="699"/>
        <v>111.4</v>
      </c>
      <c r="AY113" s="50">
        <f t="shared" si="699"/>
        <v>174.90000000000003</v>
      </c>
      <c r="AZ113" s="48">
        <f t="shared" si="699"/>
        <v>195.2</v>
      </c>
      <c r="BA113" s="49">
        <f t="shared" si="699"/>
        <v>166.50000000000003</v>
      </c>
      <c r="BB113" s="49">
        <f t="shared" si="699"/>
        <v>207.40000000000003</v>
      </c>
      <c r="BC113" s="50">
        <f t="shared" ref="BC113:BH113" si="700">BC98+BC109</f>
        <v>229.19999999999993</v>
      </c>
      <c r="BD113" s="48">
        <f t="shared" si="700"/>
        <v>355.3</v>
      </c>
      <c r="BE113" s="49">
        <f t="shared" si="700"/>
        <v>208.10000000000005</v>
      </c>
      <c r="BF113" s="49">
        <f t="shared" si="700"/>
        <v>185.00000000000006</v>
      </c>
      <c r="BG113" s="50">
        <f t="shared" si="700"/>
        <v>246.79999999999995</v>
      </c>
      <c r="BH113" s="48">
        <f t="shared" si="700"/>
        <v>257.79999999999995</v>
      </c>
      <c r="BI113" s="49">
        <f t="shared" ref="BI113:BS113" si="701">BI98+BI109</f>
        <v>224.90000000000003</v>
      </c>
      <c r="BJ113" s="49">
        <f t="shared" si="701"/>
        <v>246.19999999999996</v>
      </c>
      <c r="BK113" s="50">
        <f t="shared" si="701"/>
        <v>281.30000000000007</v>
      </c>
      <c r="BL113" s="48">
        <f t="shared" si="701"/>
        <v>70.400000000000091</v>
      </c>
      <c r="BM113" s="49">
        <f t="shared" si="701"/>
        <v>267.23757325960008</v>
      </c>
      <c r="BN113" s="49">
        <f t="shared" si="701"/>
        <v>255.40637691584212</v>
      </c>
      <c r="BO113" s="50">
        <f t="shared" si="701"/>
        <v>321.24036251067599</v>
      </c>
      <c r="BP113" s="48">
        <f t="shared" si="701"/>
        <v>341.79010886412186</v>
      </c>
      <c r="BQ113" s="49">
        <f t="shared" si="701"/>
        <v>303.1944279236177</v>
      </c>
      <c r="BR113" s="49">
        <f t="shared" si="701"/>
        <v>303.77666586420264</v>
      </c>
      <c r="BS113" s="50">
        <f t="shared" si="701"/>
        <v>331.90858274937045</v>
      </c>
      <c r="BT113" s="48">
        <f t="shared" ref="BT113:BW113" si="702">BT98+BT109</f>
        <v>348.91528864746499</v>
      </c>
      <c r="BU113" s="938">
        <f t="shared" si="702"/>
        <v>325.76425350277395</v>
      </c>
      <c r="BV113" s="938">
        <f t="shared" si="702"/>
        <v>331.19566257277899</v>
      </c>
      <c r="BW113" s="939">
        <f t="shared" si="702"/>
        <v>362.65204712592134</v>
      </c>
      <c r="BX113" s="106"/>
      <c r="BY113" s="940">
        <f>BY98+BY109</f>
        <v>-451.41600000000005</v>
      </c>
      <c r="BZ113" s="938">
        <f>BZ98+BZ109</f>
        <v>22.411999999999871</v>
      </c>
      <c r="CA113" s="938">
        <f>CA98+CA109</f>
        <v>25.611000000000097</v>
      </c>
      <c r="CB113" s="938">
        <f>CB98+CB109</f>
        <v>-88.152299999999983</v>
      </c>
      <c r="CC113" s="938">
        <f>CC98+CC109</f>
        <v>57.649999999999906</v>
      </c>
      <c r="CD113" s="938">
        <f t="shared" ref="CD113:CJ113" si="703">CD98+CD109</f>
        <v>111.00600000000007</v>
      </c>
      <c r="CE113" s="938">
        <f t="shared" si="703"/>
        <v>94.983999999999952</v>
      </c>
      <c r="CF113" s="938">
        <f t="shared" si="703"/>
        <v>137.29400000000004</v>
      </c>
      <c r="CG113" s="938">
        <f t="shared" si="703"/>
        <v>226.58500000000009</v>
      </c>
      <c r="CH113" s="938">
        <f t="shared" si="703"/>
        <v>202.07800000000026</v>
      </c>
      <c r="CI113" s="939">
        <f t="shared" si="703"/>
        <v>278.09300000000002</v>
      </c>
      <c r="CJ113" s="940">
        <f t="shared" si="703"/>
        <v>457.70000000000016</v>
      </c>
      <c r="CK113" s="938">
        <f t="shared" ref="CK113:CP113" si="704">CK98+CK109</f>
        <v>798.2999999999995</v>
      </c>
      <c r="CL113" s="938">
        <f t="shared" si="704"/>
        <v>995.2000000000005</v>
      </c>
      <c r="CM113" s="938">
        <f t="shared" si="704"/>
        <v>1010.2</v>
      </c>
      <c r="CN113" s="938">
        <f t="shared" si="704"/>
        <v>914.28431268611826</v>
      </c>
      <c r="CO113" s="938">
        <f t="shared" si="704"/>
        <v>1280.6697854013125</v>
      </c>
      <c r="CP113" s="939">
        <f t="shared" si="704"/>
        <v>1368.5272518489401</v>
      </c>
      <c r="CQ113" s="106"/>
      <c r="CR113" s="48">
        <f>CR98+CR109</f>
        <v>15.981000000000122</v>
      </c>
      <c r="CS113" s="49">
        <f>CS98+CS109</f>
        <v>-80.402300000000039</v>
      </c>
      <c r="CT113" s="49">
        <f>CT98+CT109</f>
        <v>64.690999999999974</v>
      </c>
      <c r="CU113" s="49">
        <f t="shared" ref="CU113:CZ113" si="705">CU98+CU109</f>
        <v>115.51299999999999</v>
      </c>
      <c r="CV113" s="49">
        <f t="shared" si="705"/>
        <v>99.408999999999921</v>
      </c>
      <c r="CW113" s="49">
        <f t="shared" si="705"/>
        <v>170.15200000000007</v>
      </c>
      <c r="CX113" s="49">
        <f t="shared" si="705"/>
        <v>222.84300000000002</v>
      </c>
      <c r="CY113" s="49">
        <f t="shared" si="705"/>
        <v>211.44499999999999</v>
      </c>
      <c r="CZ113" s="49">
        <f t="shared" si="705"/>
        <v>306.10000000000008</v>
      </c>
      <c r="DA113" s="48">
        <f t="shared" ref="DA113:DF113" si="706">DA98+DA109</f>
        <v>558.39999999999964</v>
      </c>
      <c r="DB113" s="49">
        <f t="shared" si="706"/>
        <v>958.39999999999975</v>
      </c>
      <c r="DC113" s="49">
        <f t="shared" si="706"/>
        <v>897.7</v>
      </c>
      <c r="DD113" s="49">
        <f t="shared" si="706"/>
        <v>822.7999999999995</v>
      </c>
      <c r="DE113" s="49">
        <f t="shared" si="706"/>
        <v>1185.6744215502399</v>
      </c>
      <c r="DF113" s="50">
        <f t="shared" si="706"/>
        <v>1287.7949651846557</v>
      </c>
      <c r="DG113" s="42"/>
      <c r="DH113" s="42"/>
      <c r="DI113" s="42"/>
      <c r="DJ113" s="42"/>
      <c r="DK113"/>
      <c r="DL113"/>
      <c r="DM113"/>
      <c r="DN113"/>
      <c r="DO113"/>
      <c r="DP113"/>
      <c r="DQ113" s="42"/>
      <c r="DR113" s="42"/>
    </row>
    <row r="114" spans="1:122" s="42" customFormat="1" ht="14.25" hidden="1" outlineLevel="1">
      <c r="B114" s="19" t="s">
        <v>254</v>
      </c>
      <c r="C114" s="34"/>
      <c r="D114" s="20">
        <f t="shared" ref="D114:AI114" si="707">D113/D8</f>
        <v>-2.4741750627364323</v>
      </c>
      <c r="E114" s="21">
        <f t="shared" si="707"/>
        <v>-3.7842200249104029E-2</v>
      </c>
      <c r="F114" s="21">
        <f t="shared" si="707"/>
        <v>-4.1185360754731927E-2</v>
      </c>
      <c r="G114" s="37">
        <f t="shared" si="707"/>
        <v>-0.28611896128825853</v>
      </c>
      <c r="H114" s="21">
        <f t="shared" si="707"/>
        <v>2.3825296388514505E-2</v>
      </c>
      <c r="I114" s="21">
        <f t="shared" si="707"/>
        <v>-5.1348714510740065E-2</v>
      </c>
      <c r="J114" s="21">
        <f t="shared" si="707"/>
        <v>6.2832425968164296E-2</v>
      </c>
      <c r="K114" s="37">
        <f t="shared" si="707"/>
        <v>6.7094058248152885E-2</v>
      </c>
      <c r="L114" s="21">
        <f t="shared" si="707"/>
        <v>6.321311773255818E-2</v>
      </c>
      <c r="M114" s="21">
        <f t="shared" si="707"/>
        <v>-0.79249893450774267</v>
      </c>
      <c r="N114" s="21">
        <f t="shared" si="707"/>
        <v>3.857840987406809E-2</v>
      </c>
      <c r="O114" s="37">
        <f t="shared" si="707"/>
        <v>0.31982158825710483</v>
      </c>
      <c r="P114" s="21">
        <f t="shared" si="707"/>
        <v>2.1616034287154876E-2</v>
      </c>
      <c r="Q114" s="21">
        <f t="shared" si="707"/>
        <v>4.9990822419210927E-3</v>
      </c>
      <c r="R114" s="21">
        <f t="shared" si="707"/>
        <v>1.5249317459834133E-2</v>
      </c>
      <c r="S114" s="37">
        <f>S113/S8</f>
        <v>-0.49898411975167362</v>
      </c>
      <c r="T114" s="21">
        <f t="shared" si="707"/>
        <v>6.1403866755088521E-2</v>
      </c>
      <c r="U114" s="21">
        <f t="shared" si="707"/>
        <v>6.7682148604406051E-2</v>
      </c>
      <c r="V114" s="21">
        <f t="shared" si="707"/>
        <v>6.5255641245358501E-2</v>
      </c>
      <c r="W114" s="37">
        <f t="shared" si="707"/>
        <v>0.1154767030359032</v>
      </c>
      <c r="X114" s="21">
        <f t="shared" si="707"/>
        <v>9.0617622890473176E-2</v>
      </c>
      <c r="Y114" s="21">
        <f t="shared" si="707"/>
        <v>8.2659091359787384E-2</v>
      </c>
      <c r="Z114" s="21">
        <f t="shared" si="707"/>
        <v>9.5097811439988814E-2</v>
      </c>
      <c r="AA114" s="21">
        <f t="shared" si="707"/>
        <v>0.23558473723588175</v>
      </c>
      <c r="AB114" s="20">
        <f t="shared" si="707"/>
        <v>0.11218771999923896</v>
      </c>
      <c r="AC114" s="21">
        <f t="shared" si="707"/>
        <v>-3.2822706514827334E-2</v>
      </c>
      <c r="AD114" s="21">
        <f t="shared" si="707"/>
        <v>9.8005888720955101E-2</v>
      </c>
      <c r="AE114" s="21">
        <f t="shared" si="707"/>
        <v>0.25570029717812259</v>
      </c>
      <c r="AF114" s="20">
        <f t="shared" si="707"/>
        <v>0.11426217069568977</v>
      </c>
      <c r="AG114" s="21">
        <f t="shared" si="707"/>
        <v>0.11654302732947427</v>
      </c>
      <c r="AH114" s="21">
        <f t="shared" si="707"/>
        <v>0.12614300758978828</v>
      </c>
      <c r="AI114" s="21">
        <f t="shared" si="707"/>
        <v>0.14939846720058239</v>
      </c>
      <c r="AJ114" s="20">
        <f t="shared" ref="AJ114:BO114" si="708">AJ113/AJ8</f>
        <v>0.18163046073048464</v>
      </c>
      <c r="AK114" s="21">
        <f t="shared" si="708"/>
        <v>0.15352892188647582</v>
      </c>
      <c r="AL114" s="21">
        <f t="shared" si="708"/>
        <v>0.14476725408972829</v>
      </c>
      <c r="AM114" s="37">
        <f t="shared" si="708"/>
        <v>0.15959842511856345</v>
      </c>
      <c r="AN114" s="20">
        <f t="shared" si="708"/>
        <v>0.14508558947528835</v>
      </c>
      <c r="AO114" s="21">
        <f t="shared" si="708"/>
        <v>9.3320354273492542E-2</v>
      </c>
      <c r="AP114" s="21">
        <f t="shared" si="708"/>
        <v>0.12676653694497711</v>
      </c>
      <c r="AQ114" s="37">
        <f t="shared" si="708"/>
        <v>0.14628377656353522</v>
      </c>
      <c r="AR114" s="20">
        <f t="shared" si="708"/>
        <v>0.14654976714867882</v>
      </c>
      <c r="AS114" s="21">
        <f t="shared" si="708"/>
        <v>0.14510818438381934</v>
      </c>
      <c r="AT114" s="21">
        <f t="shared" si="708"/>
        <v>0.15065351983490027</v>
      </c>
      <c r="AU114" s="37">
        <f t="shared" si="708"/>
        <v>0.17651991614255769</v>
      </c>
      <c r="AV114" s="20">
        <f t="shared" si="708"/>
        <v>0.18705463182897863</v>
      </c>
      <c r="AW114" s="21">
        <f t="shared" si="708"/>
        <v>0.15987525987525983</v>
      </c>
      <c r="AX114" s="21">
        <f t="shared" si="708"/>
        <v>0.18977853492333902</v>
      </c>
      <c r="AY114" s="37">
        <f t="shared" si="708"/>
        <v>0.24352548036758567</v>
      </c>
      <c r="AZ114" s="20">
        <f t="shared" si="708"/>
        <v>0.24233395406579764</v>
      </c>
      <c r="BA114" s="21">
        <f t="shared" si="708"/>
        <v>0.21847526571316103</v>
      </c>
      <c r="BB114" s="21">
        <f t="shared" si="708"/>
        <v>0.25604938271604943</v>
      </c>
      <c r="BC114" s="37">
        <f t="shared" si="708"/>
        <v>0.26021798365122611</v>
      </c>
      <c r="BD114" s="20">
        <f t="shared" si="708"/>
        <v>0.38336210617177385</v>
      </c>
      <c r="BE114" s="21">
        <f t="shared" si="708"/>
        <v>0.26848148625983748</v>
      </c>
      <c r="BF114" s="21">
        <f t="shared" ref="BF114:BK114" si="709">BF113/BF8</f>
        <v>0.24610882000798198</v>
      </c>
      <c r="BG114" s="37">
        <f t="shared" si="709"/>
        <v>0.29542734019631312</v>
      </c>
      <c r="BH114" s="20">
        <f t="shared" si="709"/>
        <v>0.28196434430712014</v>
      </c>
      <c r="BI114" s="859">
        <f t="shared" si="709"/>
        <v>0.26406011506398969</v>
      </c>
      <c r="BJ114" s="859">
        <f t="shared" si="709"/>
        <v>0.27331261101243337</v>
      </c>
      <c r="BK114" s="885">
        <f t="shared" si="709"/>
        <v>0.2856997765590088</v>
      </c>
      <c r="BL114" s="880">
        <f t="shared" ref="BL114" si="710">BL113/BL8</f>
        <v>6.6926513927179465E-2</v>
      </c>
      <c r="BM114" s="881">
        <f t="shared" si="708"/>
        <v>0.29603782552271746</v>
      </c>
      <c r="BN114" s="881">
        <f t="shared" si="708"/>
        <v>0.29420664294807969</v>
      </c>
      <c r="BO114" s="885">
        <f t="shared" si="708"/>
        <v>0.31139129176526276</v>
      </c>
      <c r="BP114" s="20">
        <f t="shared" ref="BP114:BW114" si="711">BP113/BP8</f>
        <v>0.31820718347418298</v>
      </c>
      <c r="BQ114" s="21">
        <f t="shared" si="711"/>
        <v>0.31000870137264175</v>
      </c>
      <c r="BR114" s="21">
        <f t="shared" si="711"/>
        <v>0.31051187405988701</v>
      </c>
      <c r="BS114" s="37">
        <f t="shared" si="711"/>
        <v>0.31541067175839854</v>
      </c>
      <c r="BT114" s="880">
        <f t="shared" si="711"/>
        <v>0.31814794812258484</v>
      </c>
      <c r="BU114" s="881">
        <f t="shared" si="711"/>
        <v>0.3141002601889904</v>
      </c>
      <c r="BV114" s="881">
        <f t="shared" si="711"/>
        <v>0.3152349839501089</v>
      </c>
      <c r="BW114" s="885">
        <f t="shared" si="711"/>
        <v>0.31920467580975453</v>
      </c>
      <c r="BX114" s="841"/>
      <c r="BY114" s="20">
        <f t="shared" ref="BY114:CN114" si="712">BY113/BY8</f>
        <v>-0.73069607908201673</v>
      </c>
      <c r="BZ114" s="21">
        <f t="shared" si="712"/>
        <v>2.8585896077028192E-2</v>
      </c>
      <c r="CA114" s="21">
        <f t="shared" si="712"/>
        <v>3.2321980486413687E-2</v>
      </c>
      <c r="CB114" s="21">
        <f t="shared" si="712"/>
        <v>-0.11392865912762518</v>
      </c>
      <c r="CC114" s="21">
        <f t="shared" si="712"/>
        <v>7.7722233007614369E-2</v>
      </c>
      <c r="CD114" s="21">
        <f t="shared" si="712"/>
        <v>0.12907419271944631</v>
      </c>
      <c r="CE114" s="21">
        <f t="shared" si="712"/>
        <v>0.11834876902776924</v>
      </c>
      <c r="CF114" s="21">
        <f t="shared" si="712"/>
        <v>0.12809080383524177</v>
      </c>
      <c r="CG114" s="21">
        <f t="shared" si="712"/>
        <v>0.15968812943910948</v>
      </c>
      <c r="CH114" s="21">
        <f t="shared" si="712"/>
        <v>0.12882853993513899</v>
      </c>
      <c r="CI114" s="37">
        <f t="shared" si="712"/>
        <v>0.15518383413605741</v>
      </c>
      <c r="CJ114" s="880">
        <f t="shared" si="712"/>
        <v>0.19974687963690327</v>
      </c>
      <c r="CK114" s="881">
        <f t="shared" si="712"/>
        <v>0.24499754480726724</v>
      </c>
      <c r="CL114" s="881">
        <f t="shared" si="712"/>
        <v>0.30258437214958966</v>
      </c>
      <c r="CM114" s="881">
        <f t="shared" si="712"/>
        <v>0.27666100673714195</v>
      </c>
      <c r="CN114" s="881">
        <f t="shared" si="712"/>
        <v>0.23720765924511644</v>
      </c>
      <c r="CO114" s="881">
        <f>CO113/CO8</f>
        <v>0.31367850360903421</v>
      </c>
      <c r="CP114" s="885">
        <f>CP113/CP8</f>
        <v>0.3167458490789119</v>
      </c>
      <c r="CQ114" s="106"/>
      <c r="CR114" s="20">
        <f t="shared" ref="CR114:DD114" si="713">CR113/CR8</f>
        <v>2.0740108184432813E-2</v>
      </c>
      <c r="CS114" s="21">
        <f t="shared" si="713"/>
        <v>-0.10422163314775333</v>
      </c>
      <c r="CT114" s="21">
        <f t="shared" si="713"/>
        <v>8.5542157522608325E-2</v>
      </c>
      <c r="CU114" s="21">
        <f t="shared" si="713"/>
        <v>0.13436243765353978</v>
      </c>
      <c r="CV114" s="21">
        <f t="shared" si="713"/>
        <v>0.11869915592719639</v>
      </c>
      <c r="CW114" s="21">
        <f t="shared" si="713"/>
        <v>0.1464515923572362</v>
      </c>
      <c r="CX114" s="21">
        <f t="shared" si="713"/>
        <v>0.15082007821097473</v>
      </c>
      <c r="CY114" s="21">
        <f t="shared" si="713"/>
        <v>0.12983524135373248</v>
      </c>
      <c r="CZ114" s="21">
        <f t="shared" si="713"/>
        <v>0.16604285326823981</v>
      </c>
      <c r="DA114" s="880">
        <f t="shared" si="713"/>
        <v>0.21545703592236742</v>
      </c>
      <c r="DB114" s="881">
        <f t="shared" si="713"/>
        <v>0.28357546527798322</v>
      </c>
      <c r="DC114" s="881">
        <f t="shared" si="713"/>
        <v>0.27398138257286742</v>
      </c>
      <c r="DD114" s="881">
        <f t="shared" si="713"/>
        <v>0.21715492214304552</v>
      </c>
      <c r="DE114" s="881">
        <f>DE113/DE8</f>
        <v>0.30585622879501606</v>
      </c>
      <c r="DF114" s="885">
        <f>DF113/DF8</f>
        <v>0.31368760522532385</v>
      </c>
      <c r="DK114"/>
      <c r="DL114"/>
      <c r="DM114"/>
      <c r="DN114"/>
      <c r="DO114"/>
      <c r="DP114"/>
    </row>
    <row r="115" spans="1:122" s="42" customFormat="1" ht="14.25" collapsed="1">
      <c r="B115" s="19"/>
      <c r="C115" s="34"/>
      <c r="D115" s="36"/>
      <c r="E115" s="36"/>
      <c r="F115" s="36"/>
      <c r="G115" s="514"/>
      <c r="H115" s="36"/>
      <c r="I115" s="36"/>
      <c r="J115" s="36"/>
      <c r="K115" s="514"/>
      <c r="L115" s="36"/>
      <c r="M115" s="36"/>
      <c r="N115" s="36"/>
      <c r="O115" s="514"/>
      <c r="P115" s="36"/>
      <c r="Q115" s="36"/>
      <c r="R115" s="36"/>
      <c r="S115" s="514"/>
      <c r="T115" s="36"/>
      <c r="U115" s="36"/>
      <c r="V115" s="36"/>
      <c r="W115" s="514"/>
      <c r="X115" s="36"/>
      <c r="Y115" s="36"/>
      <c r="Z115" s="36"/>
      <c r="AA115" s="36"/>
      <c r="AB115" s="35"/>
      <c r="AC115" s="36"/>
      <c r="AD115" s="36"/>
      <c r="AE115" s="36"/>
      <c r="AF115" s="35"/>
      <c r="AG115" s="36"/>
      <c r="AH115" s="36"/>
      <c r="AI115" s="36"/>
      <c r="AJ115" s="35"/>
      <c r="AK115" s="36"/>
      <c r="AL115" s="36"/>
      <c r="AM115" s="514"/>
      <c r="AN115" s="35"/>
      <c r="AO115" s="36"/>
      <c r="AP115" s="36"/>
      <c r="AQ115" s="514"/>
      <c r="AR115" s="35"/>
      <c r="AS115" s="36"/>
      <c r="AT115" s="36"/>
      <c r="AU115" s="514"/>
      <c r="AV115" s="35"/>
      <c r="AW115" s="36"/>
      <c r="AX115" s="36"/>
      <c r="AY115" s="514"/>
      <c r="AZ115" s="35"/>
      <c r="BA115" s="36"/>
      <c r="BB115" s="36"/>
      <c r="BC115" s="514"/>
      <c r="BD115" s="35"/>
      <c r="BE115" s="36"/>
      <c r="BF115" s="36"/>
      <c r="BG115" s="514"/>
      <c r="BH115" s="35"/>
      <c r="BI115" s="860"/>
      <c r="BJ115" s="860"/>
      <c r="BK115" s="890"/>
      <c r="BL115" s="882"/>
      <c r="BM115" s="884"/>
      <c r="BN115" s="884"/>
      <c r="BO115" s="890"/>
      <c r="BP115" s="35"/>
      <c r="BQ115" s="36"/>
      <c r="BR115" s="36"/>
      <c r="BS115" s="514"/>
      <c r="BT115" s="882"/>
      <c r="BU115" s="884"/>
      <c r="BV115" s="884"/>
      <c r="BW115" s="890"/>
      <c r="BX115" s="841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514"/>
      <c r="CJ115" s="882"/>
      <c r="CK115" s="884"/>
      <c r="CL115" s="884"/>
      <c r="CM115" s="884"/>
      <c r="CN115" s="884"/>
      <c r="CO115" s="884"/>
      <c r="CP115" s="890"/>
      <c r="CQ115" s="106"/>
      <c r="CR115" s="35"/>
      <c r="CS115" s="36"/>
      <c r="CT115" s="36"/>
      <c r="CU115" s="36"/>
      <c r="CV115" s="36"/>
      <c r="CW115" s="36"/>
      <c r="CX115" s="36"/>
      <c r="CY115" s="36"/>
      <c r="CZ115" s="36"/>
      <c r="DA115" s="882"/>
      <c r="DB115" s="884"/>
      <c r="DC115" s="884"/>
      <c r="DD115" s="884"/>
      <c r="DE115" s="884"/>
      <c r="DF115" s="890"/>
      <c r="DG115" s="7"/>
      <c r="DH115" s="7"/>
      <c r="DI115" s="7"/>
      <c r="DJ115" s="7"/>
      <c r="DK115"/>
      <c r="DL115"/>
      <c r="DM115"/>
      <c r="DN115"/>
      <c r="DO115"/>
      <c r="DP115"/>
      <c r="DQ115" s="7"/>
      <c r="DR115" s="7"/>
    </row>
    <row r="116" spans="1:122" s="7" customFormat="1" ht="14.25">
      <c r="A116" s="505"/>
      <c r="B116" s="14" t="s">
        <v>50</v>
      </c>
      <c r="C116" s="24"/>
      <c r="D116" s="59">
        <f t="shared" ref="D116:AI116" si="714">D98/D125</f>
        <v>-2.8742530602773106</v>
      </c>
      <c r="E116" s="60">
        <f t="shared" si="714"/>
        <v>-4.3108128651160822E-2</v>
      </c>
      <c r="F116" s="60">
        <f t="shared" si="714"/>
        <v>-4.4590532621153332E-2</v>
      </c>
      <c r="G116" s="515">
        <f t="shared" si="714"/>
        <v>-0.30124633328187067</v>
      </c>
      <c r="H116" s="60">
        <f t="shared" si="714"/>
        <v>2.7629688007046481E-2</v>
      </c>
      <c r="I116" s="60">
        <f t="shared" si="714"/>
        <v>-6.3060590644997125E-2</v>
      </c>
      <c r="J116" s="60">
        <f t="shared" si="714"/>
        <v>8.3916173989206214E-2</v>
      </c>
      <c r="K116" s="515">
        <f t="shared" si="714"/>
        <v>9.284748795857338E-2</v>
      </c>
      <c r="L116" s="60">
        <f t="shared" si="714"/>
        <v>8.7580629936125406E-2</v>
      </c>
      <c r="M116" s="60">
        <f t="shared" si="714"/>
        <v>-0.52814087796257136</v>
      </c>
      <c r="N116" s="60">
        <f t="shared" si="714"/>
        <v>4.6564827768745105E-2</v>
      </c>
      <c r="O116" s="515">
        <f t="shared" si="714"/>
        <v>0.55055912592379352</v>
      </c>
      <c r="P116" s="60">
        <f t="shared" si="714"/>
        <v>2.6991632405069604E-2</v>
      </c>
      <c r="Q116" s="60">
        <f t="shared" si="714"/>
        <v>5.8009509550270427E-3</v>
      </c>
      <c r="R116" s="60">
        <f t="shared" si="714"/>
        <v>1.867898257042688E-2</v>
      </c>
      <c r="S116" s="515">
        <f>S98/S125</f>
        <v>-0.60126966895019884</v>
      </c>
      <c r="T116" s="60">
        <f t="shared" si="714"/>
        <v>7.3901031434184694E-2</v>
      </c>
      <c r="U116" s="60">
        <f t="shared" si="714"/>
        <v>7.5303138814116113E-2</v>
      </c>
      <c r="V116" s="60">
        <f t="shared" si="714"/>
        <v>7.1379474105178989E-2</v>
      </c>
      <c r="W116" s="515">
        <f t="shared" si="714"/>
        <v>0.13168987940552973</v>
      </c>
      <c r="X116" s="60">
        <f t="shared" si="714"/>
        <v>0.11716082438772746</v>
      </c>
      <c r="Y116" s="60">
        <f t="shared" si="714"/>
        <v>0.10229964045109273</v>
      </c>
      <c r="Z116" s="60">
        <f t="shared" si="714"/>
        <v>0.12430078530692561</v>
      </c>
      <c r="AA116" s="60">
        <f t="shared" si="714"/>
        <v>0.33254832933750167</v>
      </c>
      <c r="AB116" s="59">
        <f t="shared" si="714"/>
        <v>0.14277671501561862</v>
      </c>
      <c r="AC116" s="60">
        <f t="shared" si="714"/>
        <v>-3.4205437447664598E-2</v>
      </c>
      <c r="AD116" s="60">
        <f t="shared" si="714"/>
        <v>0.11054416752691336</v>
      </c>
      <c r="AE116" s="60">
        <f t="shared" si="714"/>
        <v>0.32936427280939451</v>
      </c>
      <c r="AF116" s="59">
        <f t="shared" si="714"/>
        <v>0.15612806849345609</v>
      </c>
      <c r="AG116" s="60">
        <f t="shared" si="714"/>
        <v>0.15166954582230863</v>
      </c>
      <c r="AH116" s="60">
        <f t="shared" si="714"/>
        <v>0.18889656260026427</v>
      </c>
      <c r="AI116" s="60">
        <f t="shared" si="714"/>
        <v>0.25335888358396413</v>
      </c>
      <c r="AJ116" s="59">
        <f t="shared" ref="AJ116:BO116" si="715">AJ98/AJ125</f>
        <v>0.32283694262786355</v>
      </c>
      <c r="AK116" s="60">
        <f t="shared" si="715"/>
        <v>0.26026119888935767</v>
      </c>
      <c r="AL116" s="60">
        <f t="shared" si="715"/>
        <v>0.26934893928310172</v>
      </c>
      <c r="AM116" s="515">
        <f t="shared" si="715"/>
        <v>0.33654985166626467</v>
      </c>
      <c r="AN116" s="59">
        <f t="shared" si="715"/>
        <v>0.30116721671007285</v>
      </c>
      <c r="AO116" s="60">
        <f t="shared" si="715"/>
        <v>0.17816832097834734</v>
      </c>
      <c r="AP116" s="60">
        <f t="shared" si="715"/>
        <v>0.25624944792862825</v>
      </c>
      <c r="AQ116" s="515">
        <f t="shared" si="715"/>
        <v>0.31716170087885948</v>
      </c>
      <c r="AR116" s="59">
        <f t="shared" si="715"/>
        <v>0.34274565595022705</v>
      </c>
      <c r="AS116" s="60">
        <f t="shared" si="715"/>
        <v>0.31952356292076634</v>
      </c>
      <c r="AT116" s="60">
        <f t="shared" si="715"/>
        <v>0.3436192468619248</v>
      </c>
      <c r="AU116" s="515">
        <f t="shared" si="715"/>
        <v>0.4424592748292171</v>
      </c>
      <c r="AV116" s="59">
        <f t="shared" si="715"/>
        <v>0.4942468619246862</v>
      </c>
      <c r="AW116" s="60">
        <f t="shared" si="715"/>
        <v>0.40010405827263257</v>
      </c>
      <c r="AX116" s="60">
        <f t="shared" si="715"/>
        <v>0.5766045548654245</v>
      </c>
      <c r="AY116" s="515">
        <f t="shared" si="715"/>
        <v>0.90247678018575861</v>
      </c>
      <c r="AZ116" s="59">
        <f t="shared" si="715"/>
        <v>1.0051493305870236</v>
      </c>
      <c r="BA116" s="60">
        <f t="shared" si="715"/>
        <v>0.85297131147541005</v>
      </c>
      <c r="BB116" s="60">
        <f t="shared" si="715"/>
        <v>1.061412487205732</v>
      </c>
      <c r="BC116" s="515">
        <f t="shared" si="715"/>
        <v>1.1759876859928164</v>
      </c>
      <c r="BD116" s="59">
        <f t="shared" si="715"/>
        <v>1.8248587570621471</v>
      </c>
      <c r="BE116" s="60">
        <f t="shared" si="715"/>
        <v>1.076564924987067</v>
      </c>
      <c r="BF116" s="60">
        <f t="shared" ref="BF116:BK116" si="716">BF98/BF125</f>
        <v>0.96504955659885272</v>
      </c>
      <c r="BG116" s="515">
        <f t="shared" si="716"/>
        <v>1.3072033898305082</v>
      </c>
      <c r="BH116" s="59">
        <f t="shared" si="716"/>
        <v>1.3764014949279229</v>
      </c>
      <c r="BI116" s="60">
        <f t="shared" si="716"/>
        <v>1.2020309994655267</v>
      </c>
      <c r="BJ116" s="60">
        <f t="shared" si="716"/>
        <v>1.3193997856377275</v>
      </c>
      <c r="BK116" s="515">
        <f t="shared" si="716"/>
        <v>1.5148088314485735</v>
      </c>
      <c r="BL116" s="59">
        <f t="shared" ref="BL116" si="717">BL98/BL125</f>
        <v>0.37951482479784415</v>
      </c>
      <c r="BM116" s="60">
        <f t="shared" si="715"/>
        <v>1.4445274230248653</v>
      </c>
      <c r="BN116" s="60">
        <f t="shared" si="715"/>
        <v>1.3861947186748556</v>
      </c>
      <c r="BO116" s="515">
        <f t="shared" si="715"/>
        <v>1.7506286785322942</v>
      </c>
      <c r="BP116" s="59">
        <f t="shared" ref="BP116:BW116" si="718">BP98/BP125</f>
        <v>1.8702605136203658</v>
      </c>
      <c r="BQ116" s="60">
        <f t="shared" si="718"/>
        <v>1.6659034501297676</v>
      </c>
      <c r="BR116" s="60">
        <f t="shared" si="718"/>
        <v>1.6760091909749111</v>
      </c>
      <c r="BS116" s="515">
        <f t="shared" si="718"/>
        <v>1.8388287132929111</v>
      </c>
      <c r="BT116" s="59">
        <f t="shared" si="718"/>
        <v>1.9411142622946591</v>
      </c>
      <c r="BU116" s="60">
        <f t="shared" si="718"/>
        <v>1.819912030741754</v>
      </c>
      <c r="BV116" s="60">
        <f t="shared" si="718"/>
        <v>1.8580401827364881</v>
      </c>
      <c r="BW116" s="515">
        <f t="shared" si="718"/>
        <v>2.0431101246530781</v>
      </c>
      <c r="BX116" s="842"/>
      <c r="BY116" s="59">
        <f t="shared" ref="BY116:CN116" si="719">BY98/BY125</f>
        <v>-3.2402308421143311</v>
      </c>
      <c r="BZ116" s="60">
        <f t="shared" si="719"/>
        <v>0.13209715730595281</v>
      </c>
      <c r="CA116" s="60">
        <f t="shared" si="719"/>
        <v>0.14015147369457964</v>
      </c>
      <c r="CB116" s="60">
        <f t="shared" si="719"/>
        <v>-0.48747568560712357</v>
      </c>
      <c r="CC116" s="60">
        <f t="shared" si="719"/>
        <v>0.3047781173012461</v>
      </c>
      <c r="CD116" s="60">
        <f t="shared" si="719"/>
        <v>0.67376407392795412</v>
      </c>
      <c r="CE116" s="60">
        <f t="shared" si="719"/>
        <v>0.5598392106705643</v>
      </c>
      <c r="CF116" s="60">
        <f t="shared" si="719"/>
        <v>0.75131609189112303</v>
      </c>
      <c r="CG116" s="60">
        <f t="shared" si="719"/>
        <v>1.1883807895440746</v>
      </c>
      <c r="CH116" s="60">
        <f t="shared" si="719"/>
        <v>1.0533344453363649</v>
      </c>
      <c r="CI116" s="515">
        <f t="shared" si="719"/>
        <v>1.4472684787035148</v>
      </c>
      <c r="CJ116" s="59">
        <f t="shared" si="719"/>
        <v>2.376427829698859</v>
      </c>
      <c r="CK116" s="60">
        <f t="shared" si="719"/>
        <v>4.1448598130841106</v>
      </c>
      <c r="CL116" s="60">
        <f t="shared" si="719"/>
        <v>5.1799609629147714</v>
      </c>
      <c r="CM116" s="60">
        <f t="shared" si="719"/>
        <v>5.4115441274943086</v>
      </c>
      <c r="CN116" s="60">
        <f t="shared" si="719"/>
        <v>4.9537924155021642</v>
      </c>
      <c r="CO116" s="60">
        <f>CO98/CO125</f>
        <v>7.0511756938819685</v>
      </c>
      <c r="CP116" s="515">
        <f>CP98/CP125</f>
        <v>7.6614541741018343</v>
      </c>
      <c r="CQ116" s="842"/>
      <c r="CR116" s="59">
        <f t="shared" ref="CR116:DD116" si="720">CR98/CR125</f>
        <v>0.10061891240154459</v>
      </c>
      <c r="CS116" s="60">
        <f t="shared" si="720"/>
        <v>-0.49362905206286861</v>
      </c>
      <c r="CT116" s="60">
        <f t="shared" si="720"/>
        <v>0.39727701491070749</v>
      </c>
      <c r="CU116" s="60">
        <f t="shared" si="720"/>
        <v>0.69928203017168322</v>
      </c>
      <c r="CV116" s="60">
        <f t="shared" si="720"/>
        <v>0.55410693184098414</v>
      </c>
      <c r="CW116" s="60">
        <f t="shared" si="720"/>
        <v>0.90246683745180134</v>
      </c>
      <c r="CX116" s="60">
        <f t="shared" si="720"/>
        <v>1.1748241794160754</v>
      </c>
      <c r="CY116" s="60">
        <f t="shared" si="720"/>
        <v>1.089917062283184</v>
      </c>
      <c r="CZ116" s="60">
        <f t="shared" si="720"/>
        <v>1.6009414225941427</v>
      </c>
      <c r="DA116" s="59">
        <f t="shared" si="720"/>
        <v>2.8753861997940251</v>
      </c>
      <c r="DB116" s="60">
        <f t="shared" si="720"/>
        <v>4.9136118943860536</v>
      </c>
      <c r="DC116" s="60">
        <f t="shared" si="720"/>
        <v>4.7179082906319811</v>
      </c>
      <c r="DD116" s="60">
        <f t="shared" si="720"/>
        <v>4.4183111827090862</v>
      </c>
      <c r="DE116" s="60">
        <f>DE98/DE125</f>
        <v>6.4482633394982454</v>
      </c>
      <c r="DF116" s="515">
        <f>DF98/DF125</f>
        <v>7.1198063037161337</v>
      </c>
      <c r="DK116"/>
      <c r="DL116"/>
      <c r="DM116"/>
      <c r="DN116"/>
      <c r="DO116"/>
      <c r="DP116"/>
    </row>
    <row r="117" spans="1:122" s="55" customFormat="1" ht="15">
      <c r="B117" s="46" t="s">
        <v>52</v>
      </c>
      <c r="C117" s="47"/>
      <c r="D117" s="440">
        <f t="shared" ref="D117:AI117" si="721">(D102)/D126</f>
        <v>-1.3996054997969526E-2</v>
      </c>
      <c r="E117" s="441">
        <f t="shared" si="721"/>
        <v>1.6627938121195035E-2</v>
      </c>
      <c r="F117" s="441">
        <f t="shared" si="721"/>
        <v>-3.4707955798715329E-2</v>
      </c>
      <c r="G117" s="516">
        <f t="shared" si="721"/>
        <v>-7.7383542225154076E-2</v>
      </c>
      <c r="H117" s="441">
        <f t="shared" si="721"/>
        <v>3.590137552401701E-2</v>
      </c>
      <c r="I117" s="441">
        <f t="shared" si="721"/>
        <v>5.0878202896998667E-2</v>
      </c>
      <c r="J117" s="441">
        <f t="shared" si="721"/>
        <v>9.5199453868645145E-2</v>
      </c>
      <c r="K117" s="516">
        <f t="shared" si="721"/>
        <v>0.12334608867820325</v>
      </c>
      <c r="L117" s="441">
        <f t="shared" si="721"/>
        <v>0.12928479280073002</v>
      </c>
      <c r="M117" s="441">
        <f t="shared" si="721"/>
        <v>-0.49828636349291516</v>
      </c>
      <c r="N117" s="441">
        <f t="shared" si="721"/>
        <v>5.9464841632951508E-2</v>
      </c>
      <c r="O117" s="516">
        <f t="shared" si="721"/>
        <v>0.57340600614506609</v>
      </c>
      <c r="P117" s="441">
        <f t="shared" si="721"/>
        <v>6.8105548804674204E-2</v>
      </c>
      <c r="Q117" s="441">
        <f t="shared" si="721"/>
        <v>2.9029812878612331E-2</v>
      </c>
      <c r="R117" s="441">
        <f t="shared" si="721"/>
        <v>4.9752604490414971E-2</v>
      </c>
      <c r="S117" s="516">
        <f>(S102)/S126</f>
        <v>6.5191105454273257E-2</v>
      </c>
      <c r="T117" s="441">
        <f t="shared" si="721"/>
        <v>0.13147716110019647</v>
      </c>
      <c r="U117" s="441">
        <f t="shared" si="721"/>
        <v>0.10293137085422174</v>
      </c>
      <c r="V117" s="441">
        <f t="shared" si="721"/>
        <v>0.10526644671065787</v>
      </c>
      <c r="W117" s="516">
        <f t="shared" si="721"/>
        <v>0.13764176137384226</v>
      </c>
      <c r="X117" s="441">
        <f t="shared" si="721"/>
        <v>0.17104939939571095</v>
      </c>
      <c r="Y117" s="441">
        <f t="shared" si="721"/>
        <v>0.15544047808960504</v>
      </c>
      <c r="Z117" s="441">
        <f t="shared" si="721"/>
        <v>0.17570711027701355</v>
      </c>
      <c r="AA117" s="441">
        <f t="shared" si="721"/>
        <v>0.21403295802858846</v>
      </c>
      <c r="AB117" s="440">
        <f t="shared" si="721"/>
        <v>0.16733055669903391</v>
      </c>
      <c r="AC117" s="441">
        <f t="shared" si="721"/>
        <v>0.12051422616071382</v>
      </c>
      <c r="AD117" s="441">
        <f t="shared" si="721"/>
        <v>0.15939241999705056</v>
      </c>
      <c r="AE117" s="441">
        <f t="shared" si="721"/>
        <v>0.23626919602529337</v>
      </c>
      <c r="AF117" s="440">
        <f t="shared" si="721"/>
        <v>0.26604757976410781</v>
      </c>
      <c r="AG117" s="441">
        <f t="shared" si="721"/>
        <v>0.24154840261529367</v>
      </c>
      <c r="AH117" s="441">
        <f t="shared" si="721"/>
        <v>0.31948077372762906</v>
      </c>
      <c r="AI117" s="441">
        <f t="shared" si="721"/>
        <v>0.42646724479521919</v>
      </c>
      <c r="AJ117" s="440">
        <f t="shared" ref="AJ117:BO117" si="722">(AJ102)/AJ126</f>
        <v>0.44917020701067673</v>
      </c>
      <c r="AK117" s="441">
        <f t="shared" si="722"/>
        <v>0.41018227660826939</v>
      </c>
      <c r="AL117" s="441">
        <f t="shared" si="722"/>
        <v>0.48614275263872914</v>
      </c>
      <c r="AM117" s="516">
        <f t="shared" si="722"/>
        <v>0.54417514911995635</v>
      </c>
      <c r="AN117" s="440">
        <f t="shared" si="722"/>
        <v>0.5073807741377675</v>
      </c>
      <c r="AO117" s="441">
        <f t="shared" si="722"/>
        <v>0.41756884617053669</v>
      </c>
      <c r="AP117" s="441">
        <f t="shared" si="722"/>
        <v>0.44725834861813291</v>
      </c>
      <c r="AQ117" s="516">
        <f t="shared" si="722"/>
        <v>0.53287099248824832</v>
      </c>
      <c r="AR117" s="440">
        <f t="shared" si="722"/>
        <v>0.54951263137818884</v>
      </c>
      <c r="AS117" s="441">
        <f t="shared" si="722"/>
        <v>0.4759192128430863</v>
      </c>
      <c r="AT117" s="441">
        <f t="shared" si="722"/>
        <v>0.54288702928870314</v>
      </c>
      <c r="AU117" s="516">
        <f t="shared" si="722"/>
        <v>0.63688912243825546</v>
      </c>
      <c r="AV117" s="440">
        <f t="shared" si="722"/>
        <v>0.66788702928870292</v>
      </c>
      <c r="AW117" s="441">
        <f t="shared" si="722"/>
        <v>0.61706555671175856</v>
      </c>
      <c r="AX117" s="441">
        <f t="shared" si="722"/>
        <v>0.83229813664596253</v>
      </c>
      <c r="AY117" s="516">
        <f t="shared" si="722"/>
        <v>1.1150670794633646</v>
      </c>
      <c r="AZ117" s="440">
        <f t="shared" si="722"/>
        <v>1.2605561277033988</v>
      </c>
      <c r="BA117" s="441">
        <f t="shared" si="722"/>
        <v>1.1506147540983609</v>
      </c>
      <c r="BB117" s="441">
        <f t="shared" si="722"/>
        <v>1.3433981576253842</v>
      </c>
      <c r="BC117" s="516">
        <f t="shared" si="722"/>
        <v>1.5192406362237036</v>
      </c>
      <c r="BD117" s="440">
        <f t="shared" si="722"/>
        <v>1.5983564458140729</v>
      </c>
      <c r="BE117" s="441">
        <f t="shared" si="722"/>
        <v>1.2534919813760994</v>
      </c>
      <c r="BF117" s="441">
        <f t="shared" ref="BF117:BK117" si="723">(BF102)/BF126</f>
        <v>1.2420448617631719</v>
      </c>
      <c r="BG117" s="516">
        <f t="shared" si="723"/>
        <v>1.4703389830508475</v>
      </c>
      <c r="BH117" s="440">
        <f t="shared" si="723"/>
        <v>1.6102509343299516</v>
      </c>
      <c r="BI117" s="441">
        <f t="shared" si="723"/>
        <v>1.4537680384820952</v>
      </c>
      <c r="BJ117" s="441">
        <f t="shared" si="723"/>
        <v>1.568595927116827</v>
      </c>
      <c r="BK117" s="516">
        <f t="shared" si="723"/>
        <v>1.82444803446419</v>
      </c>
      <c r="BL117" s="440">
        <f t="shared" ref="BL117" si="724">(BL102)/BL126</f>
        <v>2.0026954177897585</v>
      </c>
      <c r="BM117" s="441">
        <f t="shared" si="722"/>
        <v>1.5823652608627032</v>
      </c>
      <c r="BN117" s="441">
        <f t="shared" si="722"/>
        <v>1.5245936331931729</v>
      </c>
      <c r="BO117" s="516">
        <f t="shared" si="722"/>
        <v>1.8895932561889699</v>
      </c>
      <c r="BP117" s="440">
        <f t="shared" ref="BP117:BW117" si="725">(BP102)/BP126</f>
        <v>2.0097953973412963</v>
      </c>
      <c r="BQ117" s="441">
        <f t="shared" si="725"/>
        <v>1.8060133402396576</v>
      </c>
      <c r="BR117" s="441">
        <f t="shared" si="725"/>
        <v>1.816698846147325</v>
      </c>
      <c r="BS117" s="516">
        <f t="shared" si="725"/>
        <v>1.9801029515200579</v>
      </c>
      <c r="BT117" s="440">
        <f t="shared" si="725"/>
        <v>2.0829779618774129</v>
      </c>
      <c r="BU117" s="441">
        <f t="shared" si="725"/>
        <v>1.9623701313004132</v>
      </c>
      <c r="BV117" s="441">
        <f t="shared" si="725"/>
        <v>2.0010976862427992</v>
      </c>
      <c r="BW117" s="516">
        <f t="shared" si="725"/>
        <v>2.1867720964840638</v>
      </c>
      <c r="BX117" s="843"/>
      <c r="BY117" s="440">
        <f t="shared" ref="BY117:CN117" si="726">(BY102)/BY126</f>
        <v>-0.11107841166843739</v>
      </c>
      <c r="BZ117" s="441">
        <f t="shared" si="726"/>
        <v>0.27844020204758757</v>
      </c>
      <c r="CA117" s="441">
        <f t="shared" si="726"/>
        <v>0.2286333439131438</v>
      </c>
      <c r="CB117" s="441">
        <f t="shared" si="726"/>
        <v>0.1874849482329814</v>
      </c>
      <c r="CC117" s="441">
        <f t="shared" si="726"/>
        <v>0.41193947788574331</v>
      </c>
      <c r="CD117" s="441">
        <f t="shared" si="726"/>
        <v>0.71245182240296301</v>
      </c>
      <c r="CE117" s="441">
        <f t="shared" si="726"/>
        <v>0.68674372137708262</v>
      </c>
      <c r="CF117" s="441">
        <f t="shared" si="726"/>
        <v>1.2556063872867165</v>
      </c>
      <c r="CG117" s="441">
        <f t="shared" si="726"/>
        <v>1.8896033398543011</v>
      </c>
      <c r="CH117" s="441">
        <f t="shared" si="726"/>
        <v>1.9055926666185972</v>
      </c>
      <c r="CI117" s="516">
        <f t="shared" si="726"/>
        <v>2.2040356439817281</v>
      </c>
      <c r="CJ117" s="440">
        <f t="shared" si="726"/>
        <v>3.235721703011424</v>
      </c>
      <c r="CK117" s="441">
        <f t="shared" si="726"/>
        <v>5.3374870197300091</v>
      </c>
      <c r="CL117" s="441">
        <f t="shared" si="726"/>
        <v>5.5651268705270036</v>
      </c>
      <c r="CM117" s="441">
        <f t="shared" si="726"/>
        <v>6.4556046605062267</v>
      </c>
      <c r="CN117" s="441">
        <f t="shared" si="726"/>
        <v>6.9997118194981001</v>
      </c>
      <c r="CO117" s="441">
        <f>(CO102)/CO126</f>
        <v>7.6127723903719895</v>
      </c>
      <c r="CP117" s="516">
        <f>(CP102)/CP126</f>
        <v>8.2324828654944167</v>
      </c>
      <c r="CQ117" s="843"/>
      <c r="CR117" s="440">
        <f t="shared" ref="CR117:DD117" si="727">(CR102)/CR126</f>
        <v>0.20738917186624556</v>
      </c>
      <c r="CS117" s="441">
        <f t="shared" si="727"/>
        <v>0.27321770628683645</v>
      </c>
      <c r="CT117" s="441">
        <f t="shared" si="727"/>
        <v>0.51805497555823021</v>
      </c>
      <c r="CU117" s="441">
        <f t="shared" si="727"/>
        <v>0.70930091774220883</v>
      </c>
      <c r="CV117" s="441">
        <f t="shared" si="727"/>
        <v>0.76143229805355472</v>
      </c>
      <c r="CW117" s="441">
        <f t="shared" si="727"/>
        <v>1.4129764878726649</v>
      </c>
      <c r="CX117" s="441">
        <f t="shared" si="727"/>
        <v>1.9603283390095005</v>
      </c>
      <c r="CY117" s="441">
        <f t="shared" si="727"/>
        <v>1.9378525405544884</v>
      </c>
      <c r="CZ117" s="441">
        <f t="shared" si="727"/>
        <v>2.3253138075313813</v>
      </c>
      <c r="DA117" s="440">
        <f t="shared" si="727"/>
        <v>3.8120494335736343</v>
      </c>
      <c r="DB117" s="441">
        <f t="shared" si="727"/>
        <v>5.6108690079466772</v>
      </c>
      <c r="DC117" s="441">
        <f>(DC102)/DC126</f>
        <v>5.5687820260149801</v>
      </c>
      <c r="DD117" s="441">
        <f t="shared" si="727"/>
        <v>6.8465565847764802</v>
      </c>
      <c r="DE117" s="441">
        <f>(DE102)/DE126</f>
        <v>7.0029880165886604</v>
      </c>
      <c r="DF117" s="516">
        <f>(DF102)/DF126</f>
        <v>7.6837316665357607</v>
      </c>
      <c r="DG117" s="197"/>
      <c r="DH117" s="197"/>
      <c r="DI117" s="197"/>
      <c r="DJ117" s="197"/>
      <c r="DK117"/>
      <c r="DL117"/>
      <c r="DM117"/>
      <c r="DN117"/>
      <c r="DO117"/>
      <c r="DP117"/>
      <c r="DQ117" s="197"/>
      <c r="DR117" s="197"/>
    </row>
    <row r="118" spans="1:122" s="7" customFormat="1" ht="14.25">
      <c r="A118" s="505"/>
      <c r="B118" s="185" t="s">
        <v>51</v>
      </c>
      <c r="C118" s="186"/>
      <c r="D118" s="386">
        <f t="shared" ref="D118:AI118" si="728">D104/D125</f>
        <v>-1.3996054997969526E-2</v>
      </c>
      <c r="E118" s="387">
        <f t="shared" si="728"/>
        <v>3.2807059453746554E-2</v>
      </c>
      <c r="F118" s="387">
        <f t="shared" si="728"/>
        <v>-3.4707955798715329E-2</v>
      </c>
      <c r="G118" s="387">
        <f t="shared" si="728"/>
        <v>-7.7383542225154076E-2</v>
      </c>
      <c r="H118" s="386">
        <f t="shared" si="728"/>
        <v>3.590137552401701E-2</v>
      </c>
      <c r="I118" s="387">
        <f t="shared" si="728"/>
        <v>5.0878202896998667E-2</v>
      </c>
      <c r="J118" s="387">
        <f t="shared" si="728"/>
        <v>9.5199453868645145E-2</v>
      </c>
      <c r="K118" s="387">
        <f t="shared" si="728"/>
        <v>0.12334608867820325</v>
      </c>
      <c r="L118" s="386">
        <f t="shared" si="728"/>
        <v>0.12928479280073002</v>
      </c>
      <c r="M118" s="387">
        <f t="shared" si="728"/>
        <v>-0.5038785621863856</v>
      </c>
      <c r="N118" s="387">
        <f t="shared" si="728"/>
        <v>5.9464841632951508E-2</v>
      </c>
      <c r="O118" s="517">
        <f t="shared" si="728"/>
        <v>0.57340600614506609</v>
      </c>
      <c r="P118" s="387">
        <f t="shared" si="728"/>
        <v>4.9021891743847065E-2</v>
      </c>
      <c r="Q118" s="387">
        <f t="shared" si="728"/>
        <v>6.5526940593502005E-3</v>
      </c>
      <c r="R118" s="387">
        <f t="shared" si="728"/>
        <v>2.6940003480941818E-2</v>
      </c>
      <c r="S118" s="517">
        <f>S104/S125</f>
        <v>7.2104094136437979E-2</v>
      </c>
      <c r="T118" s="387">
        <f t="shared" si="728"/>
        <v>0.11903855599214147</v>
      </c>
      <c r="U118" s="387">
        <f t="shared" si="728"/>
        <v>7.795791865260672E-2</v>
      </c>
      <c r="V118" s="387">
        <f t="shared" si="728"/>
        <v>8.2489752049590095E-2</v>
      </c>
      <c r="W118" s="387">
        <f t="shared" si="728"/>
        <v>0.11356478210363641</v>
      </c>
      <c r="X118" s="386">
        <f t="shared" si="728"/>
        <v>0.14030067061337778</v>
      </c>
      <c r="Y118" s="387">
        <f t="shared" si="728"/>
        <v>0.12081702273870736</v>
      </c>
      <c r="Z118" s="387">
        <f t="shared" si="728"/>
        <v>0.13858571871071193</v>
      </c>
      <c r="AA118" s="387">
        <f t="shared" si="728"/>
        <v>0.17488391854571997</v>
      </c>
      <c r="AB118" s="386">
        <f t="shared" si="728"/>
        <v>0.12744267138048773</v>
      </c>
      <c r="AC118" s="387">
        <f t="shared" si="728"/>
        <v>9.4827014946053334E-2</v>
      </c>
      <c r="AD118" s="387">
        <f t="shared" si="728"/>
        <v>0.12713759032591054</v>
      </c>
      <c r="AE118" s="387">
        <f t="shared" si="728"/>
        <v>0.195929313459801</v>
      </c>
      <c r="AF118" s="386">
        <f t="shared" si="728"/>
        <v>0.22098726895721385</v>
      </c>
      <c r="AG118" s="387">
        <f t="shared" si="728"/>
        <v>0.19387833198486798</v>
      </c>
      <c r="AH118" s="387">
        <f t="shared" si="728"/>
        <v>0.26817264762982013</v>
      </c>
      <c r="AI118" s="387">
        <f t="shared" si="728"/>
        <v>0.34795976918163429</v>
      </c>
      <c r="AJ118" s="386">
        <f t="shared" ref="AJ118:BO118" si="729">AJ104/AJ125</f>
        <v>0.37549392439840673</v>
      </c>
      <c r="AK118" s="387">
        <f t="shared" si="729"/>
        <v>0.33120790160501351</v>
      </c>
      <c r="AL118" s="387">
        <f t="shared" si="729"/>
        <v>0.39090814087156434</v>
      </c>
      <c r="AM118" s="517">
        <f t="shared" si="729"/>
        <v>0.44800981204071577</v>
      </c>
      <c r="AN118" s="386">
        <f t="shared" si="729"/>
        <v>0.38559800086460511</v>
      </c>
      <c r="AO118" s="387">
        <f t="shared" si="729"/>
        <v>0.30259768815177784</v>
      </c>
      <c r="AP118" s="387">
        <f t="shared" si="729"/>
        <v>0.3470749310235533</v>
      </c>
      <c r="AQ118" s="517">
        <f t="shared" si="729"/>
        <v>0.43170690267673717</v>
      </c>
      <c r="AR118" s="386">
        <f t="shared" si="729"/>
        <v>0.45475538785882552</v>
      </c>
      <c r="AS118" s="387">
        <f t="shared" si="729"/>
        <v>0.37752459865354726</v>
      </c>
      <c r="AT118" s="387">
        <f t="shared" si="729"/>
        <v>0.44194560669456079</v>
      </c>
      <c r="AU118" s="517">
        <f t="shared" si="729"/>
        <v>0.54177614293221232</v>
      </c>
      <c r="AV118" s="386">
        <f t="shared" si="729"/>
        <v>0.56694560669456073</v>
      </c>
      <c r="AW118" s="387">
        <f t="shared" si="729"/>
        <v>0.50520291363163361</v>
      </c>
      <c r="AX118" s="387">
        <f t="shared" si="729"/>
        <v>0.70341614906832295</v>
      </c>
      <c r="AY118" s="517">
        <f t="shared" si="729"/>
        <v>0.98503611971104255</v>
      </c>
      <c r="AZ118" s="386">
        <f t="shared" si="729"/>
        <v>1.1477857878475801</v>
      </c>
      <c r="BA118" s="387">
        <f t="shared" si="729"/>
        <v>0.99897540983606592</v>
      </c>
      <c r="BB118" s="387">
        <f t="shared" si="729"/>
        <v>1.2016376663254864</v>
      </c>
      <c r="BC118" s="517">
        <f t="shared" si="729"/>
        <v>1.3832734735761925</v>
      </c>
      <c r="BD118" s="386">
        <f t="shared" si="729"/>
        <v>1.4786851566512582</v>
      </c>
      <c r="BE118" s="387">
        <f t="shared" si="729"/>
        <v>1.1583031557165029</v>
      </c>
      <c r="BF118" s="387">
        <f t="shared" ref="BF118:BK118" si="730">BF104/BF125</f>
        <v>1.1408450704225357</v>
      </c>
      <c r="BG118" s="517">
        <f t="shared" si="730"/>
        <v>1.3633474576271185</v>
      </c>
      <c r="BH118" s="386">
        <f t="shared" si="730"/>
        <v>1.4949279231179924</v>
      </c>
      <c r="BI118" s="387">
        <f t="shared" si="730"/>
        <v>1.3238909673971142</v>
      </c>
      <c r="BJ118" s="387">
        <f t="shared" si="730"/>
        <v>1.456055734190782</v>
      </c>
      <c r="BK118" s="517">
        <f t="shared" si="730"/>
        <v>1.6709746903607974</v>
      </c>
      <c r="BL118" s="386">
        <f t="shared" ref="BL118" si="731">BL104/BL125</f>
        <v>1.8636118598382754</v>
      </c>
      <c r="BM118" s="387">
        <f t="shared" si="729"/>
        <v>1.4445274230248653</v>
      </c>
      <c r="BN118" s="387">
        <f t="shared" si="729"/>
        <v>1.3861947186748556</v>
      </c>
      <c r="BO118" s="517">
        <f t="shared" si="729"/>
        <v>1.7506286785322942</v>
      </c>
      <c r="BP118" s="386">
        <f t="shared" ref="BP118:BW118" si="732">BP104/BP125</f>
        <v>1.8702605136203658</v>
      </c>
      <c r="BQ118" s="387">
        <f t="shared" si="732"/>
        <v>1.6659034501297676</v>
      </c>
      <c r="BR118" s="387">
        <f t="shared" si="732"/>
        <v>1.6760091909749111</v>
      </c>
      <c r="BS118" s="517">
        <f t="shared" si="732"/>
        <v>1.8388287132929111</v>
      </c>
      <c r="BT118" s="386">
        <f t="shared" si="732"/>
        <v>1.9411142622946591</v>
      </c>
      <c r="BU118" s="387">
        <f t="shared" si="732"/>
        <v>1.819912030741754</v>
      </c>
      <c r="BV118" s="387">
        <f t="shared" si="732"/>
        <v>1.8580401827364881</v>
      </c>
      <c r="BW118" s="517">
        <f t="shared" si="732"/>
        <v>2.0431101246530781</v>
      </c>
      <c r="BX118" s="842"/>
      <c r="BY118" s="386">
        <f t="shared" ref="BY118:CN118" si="733">BY104/BY125</f>
        <v>-9.5035746073674307E-2</v>
      </c>
      <c r="BZ118" s="387">
        <f t="shared" si="733"/>
        <v>0.27844020204758757</v>
      </c>
      <c r="CA118" s="387">
        <f t="shared" si="733"/>
        <v>0.2286333439131438</v>
      </c>
      <c r="CB118" s="387">
        <f t="shared" si="733"/>
        <v>0.13671469868125108</v>
      </c>
      <c r="CC118" s="387">
        <f t="shared" si="733"/>
        <v>0.33931611279697971</v>
      </c>
      <c r="CD118" s="387">
        <f t="shared" si="733"/>
        <v>0.57156383721283188</v>
      </c>
      <c r="CE118" s="387">
        <f t="shared" si="733"/>
        <v>0.54843424907021543</v>
      </c>
      <c r="CF118" s="387">
        <f t="shared" si="733"/>
        <v>1.0326533069202901</v>
      </c>
      <c r="CG118" s="387">
        <f t="shared" si="733"/>
        <v>1.5454221233878962</v>
      </c>
      <c r="CH118" s="387">
        <f t="shared" si="733"/>
        <v>1.4677866622186555</v>
      </c>
      <c r="CI118" s="517">
        <f t="shared" si="733"/>
        <v>1.8148454139403933</v>
      </c>
      <c r="CJ118" s="386">
        <f t="shared" si="733"/>
        <v>2.763759086188994</v>
      </c>
      <c r="CK118" s="387">
        <f t="shared" si="733"/>
        <v>4.7886812045690537</v>
      </c>
      <c r="CL118" s="387">
        <f t="shared" si="733"/>
        <v>5.1419648666232947</v>
      </c>
      <c r="CM118" s="387">
        <f t="shared" si="733"/>
        <v>5.9445560466050607</v>
      </c>
      <c r="CN118" s="387">
        <f t="shared" si="733"/>
        <v>6.4454280402905155</v>
      </c>
      <c r="CO118" s="387">
        <f>CO104/CO125</f>
        <v>7.0511756938819685</v>
      </c>
      <c r="CP118" s="517">
        <f>CP104/CP125</f>
        <v>7.6614541741018343</v>
      </c>
      <c r="CQ118" s="842"/>
      <c r="CR118" s="59">
        <f t="shared" ref="CR118:DD118" si="734">CR104/CR125</f>
        <v>0.18272711818519619</v>
      </c>
      <c r="CS118" s="60">
        <f t="shared" si="734"/>
        <v>0.19209049607072662</v>
      </c>
      <c r="CT118" s="60">
        <f t="shared" si="734"/>
        <v>0.4153872608022795</v>
      </c>
      <c r="CU118" s="60">
        <f t="shared" si="734"/>
        <v>0.55920526914788005</v>
      </c>
      <c r="CV118" s="60">
        <f t="shared" si="734"/>
        <v>0.622299391317919</v>
      </c>
      <c r="CW118" s="60">
        <f t="shared" si="734"/>
        <v>1.1660858911324332</v>
      </c>
      <c r="CX118" s="60">
        <f t="shared" si="734"/>
        <v>1.5658101454012507</v>
      </c>
      <c r="CY118" s="60">
        <f t="shared" si="734"/>
        <v>1.5292240761645561</v>
      </c>
      <c r="CZ118" s="60">
        <f t="shared" si="734"/>
        <v>1.9293933054393311</v>
      </c>
      <c r="DA118" s="386">
        <f t="shared" si="734"/>
        <v>3.3305870236869195</v>
      </c>
      <c r="DB118" s="387">
        <f t="shared" si="734"/>
        <v>5.0617790310176849</v>
      </c>
      <c r="DC118" s="387">
        <f t="shared" si="734"/>
        <v>5.1504401524109857</v>
      </c>
      <c r="DD118" s="387">
        <f t="shared" si="734"/>
        <v>6.3117196939186453</v>
      </c>
      <c r="DE118" s="387">
        <f>DE104/DE125</f>
        <v>6.4482633394982454</v>
      </c>
      <c r="DF118" s="517">
        <f>DF104/DF125</f>
        <v>7.1198063037161337</v>
      </c>
      <c r="DK118"/>
      <c r="DL118"/>
      <c r="DM118"/>
      <c r="DN118"/>
      <c r="DO118"/>
      <c r="DP118"/>
    </row>
    <row r="119" spans="1:122" s="7" customFormat="1" ht="15">
      <c r="A119" s="505"/>
      <c r="B119" s="6"/>
      <c r="C119" s="6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441"/>
      <c r="BK119" s="60"/>
      <c r="BL119" s="441"/>
      <c r="BM119" s="441"/>
      <c r="BN119" s="441"/>
      <c r="BO119" s="441"/>
      <c r="BP119" s="441"/>
      <c r="BQ119" s="441"/>
      <c r="BR119" s="441"/>
      <c r="BS119" s="441"/>
      <c r="BT119" s="441"/>
      <c r="BU119" s="441"/>
      <c r="BV119" s="441"/>
      <c r="BW119" s="441"/>
      <c r="BX119" s="441"/>
      <c r="BY119" s="441"/>
      <c r="BZ119" s="441"/>
      <c r="CA119" s="441"/>
      <c r="CB119" s="441"/>
      <c r="CC119" s="441"/>
      <c r="CD119" s="441"/>
      <c r="CE119" s="441"/>
      <c r="CF119" s="441"/>
      <c r="CG119" s="441"/>
      <c r="CH119" s="441"/>
      <c r="CI119" s="441"/>
      <c r="CJ119" s="441"/>
      <c r="CK119" s="441"/>
      <c r="CL119" s="441"/>
      <c r="CM119" s="441"/>
      <c r="CN119" s="441"/>
      <c r="CO119" s="441"/>
      <c r="CP119" s="441"/>
      <c r="CQ119" s="441"/>
      <c r="CR119" s="441"/>
      <c r="CS119" s="441"/>
      <c r="CT119" s="441"/>
      <c r="CU119" s="441"/>
      <c r="CV119" s="441"/>
      <c r="CW119" s="441"/>
      <c r="CX119" s="441"/>
      <c r="CY119" s="441"/>
      <c r="CZ119" s="441"/>
      <c r="DA119" s="441"/>
      <c r="DB119" s="441"/>
      <c r="DC119" s="441"/>
      <c r="DD119" s="441"/>
      <c r="DE119" s="441"/>
      <c r="DF119" s="441"/>
      <c r="DK119"/>
      <c r="DL119"/>
      <c r="DM119"/>
      <c r="DN119"/>
      <c r="DO119"/>
      <c r="DP119"/>
    </row>
    <row r="120" spans="1:122" s="7" customFormat="1" ht="15">
      <c r="A120" s="505"/>
      <c r="B120" s="6"/>
      <c r="C120" s="6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864"/>
      <c r="BK120" s="60"/>
      <c r="BL120" s="874"/>
      <c r="BM120" s="874"/>
      <c r="BN120" s="874"/>
      <c r="BO120" s="874"/>
      <c r="BP120" s="874"/>
      <c r="BQ120" s="874"/>
      <c r="BR120" s="874"/>
      <c r="BS120" s="874"/>
      <c r="BT120" s="874"/>
      <c r="BU120" s="874"/>
      <c r="BV120" s="874"/>
      <c r="BW120" s="874"/>
      <c r="BX120" s="874"/>
      <c r="BY120" s="874"/>
      <c r="BZ120" s="874"/>
      <c r="CA120" s="874"/>
      <c r="CB120" s="874"/>
      <c r="CC120" s="874"/>
      <c r="CD120" s="874"/>
      <c r="CE120" s="874"/>
      <c r="CF120" s="874"/>
      <c r="CG120" s="874"/>
      <c r="CH120" s="874"/>
      <c r="CI120" s="874"/>
      <c r="CJ120" s="874"/>
      <c r="CK120" s="874"/>
      <c r="CL120" s="874"/>
      <c r="CM120" s="956"/>
      <c r="CN120" s="956"/>
      <c r="CO120" s="956"/>
      <c r="CP120" s="956"/>
      <c r="CQ120" s="956"/>
      <c r="CR120" s="956"/>
      <c r="CS120" s="956"/>
      <c r="CT120" s="956"/>
      <c r="CU120" s="956"/>
      <c r="CV120" s="956"/>
      <c r="CW120" s="956"/>
      <c r="CX120" s="956"/>
      <c r="CY120" s="956"/>
      <c r="CZ120" s="956"/>
      <c r="DA120" s="956"/>
      <c r="DB120" s="956"/>
      <c r="DC120" s="956"/>
      <c r="DD120" s="956"/>
      <c r="DE120" s="956"/>
      <c r="DF120" s="956"/>
      <c r="DK120"/>
      <c r="DL120"/>
      <c r="DM120"/>
      <c r="DN120"/>
      <c r="DO120"/>
      <c r="DP120"/>
    </row>
    <row r="121" spans="1:122" s="3" customFormat="1" ht="14.25">
      <c r="B121" s="6"/>
      <c r="C121" s="6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459"/>
      <c r="AK121" s="57"/>
      <c r="AL121" s="57"/>
      <c r="AM121" s="57"/>
      <c r="AN121" s="459"/>
      <c r="AO121" s="57"/>
      <c r="AP121" s="57"/>
      <c r="AQ121" s="57"/>
      <c r="AR121" s="459"/>
      <c r="AS121" s="57"/>
      <c r="AT121" s="57"/>
      <c r="AU121" s="57"/>
      <c r="AV121" s="459"/>
      <c r="AW121" s="57"/>
      <c r="AX121" s="57"/>
      <c r="AY121" s="57"/>
      <c r="AZ121" s="459"/>
      <c r="BA121" s="57"/>
      <c r="BB121" s="57"/>
      <c r="BC121" s="57"/>
      <c r="BD121" s="459"/>
      <c r="BE121" s="57"/>
      <c r="BF121" s="57"/>
      <c r="BG121" s="57"/>
      <c r="BH121" s="459"/>
      <c r="BI121" s="57"/>
      <c r="BJ121" s="57"/>
      <c r="BK121" s="57"/>
      <c r="BL121" s="459"/>
      <c r="BM121" s="459"/>
      <c r="BN121" s="459"/>
      <c r="BO121" s="459"/>
      <c r="BP121" s="459"/>
      <c r="BQ121" s="459"/>
      <c r="BR121" s="459"/>
      <c r="BS121" s="459"/>
      <c r="BT121" s="459"/>
      <c r="BU121" s="459"/>
      <c r="BV121" s="459"/>
      <c r="BW121" s="459"/>
      <c r="BX121" s="459"/>
      <c r="BY121" s="459"/>
      <c r="BZ121" s="459"/>
      <c r="CA121" s="459"/>
      <c r="CB121" s="459"/>
      <c r="CC121" s="459"/>
      <c r="CD121" s="459"/>
      <c r="CE121" s="459"/>
      <c r="CF121" s="459"/>
      <c r="CG121" s="459"/>
      <c r="CH121" s="459"/>
      <c r="CI121" s="459"/>
      <c r="CJ121" s="459"/>
      <c r="CK121" s="459"/>
      <c r="CL121" s="459"/>
      <c r="CM121" s="459"/>
      <c r="CN121" s="459"/>
      <c r="CO121" s="459"/>
      <c r="CP121" s="459"/>
      <c r="CQ121" s="459"/>
      <c r="CR121" s="459"/>
      <c r="CS121" s="459"/>
      <c r="CT121" s="459"/>
      <c r="CU121" s="459"/>
      <c r="CV121" s="459"/>
      <c r="CW121" s="459"/>
      <c r="CX121" s="459"/>
      <c r="CY121" s="459"/>
      <c r="CZ121" s="459"/>
      <c r="DA121" s="459"/>
      <c r="DB121" s="459"/>
      <c r="DC121" s="459"/>
      <c r="DD121" s="459"/>
      <c r="DE121" s="459"/>
      <c r="DF121" s="459"/>
      <c r="DK121"/>
      <c r="DL121"/>
      <c r="DM121"/>
      <c r="DN121"/>
      <c r="DO121"/>
      <c r="DP121"/>
    </row>
    <row r="122" spans="1:122" s="7" customFormat="1" ht="14.25">
      <c r="B122" s="61" t="s">
        <v>53</v>
      </c>
      <c r="C122" s="62"/>
      <c r="D122" s="64">
        <v>137.89599999999999</v>
      </c>
      <c r="E122" s="64">
        <v>138.14099999999999</v>
      </c>
      <c r="F122" s="64">
        <v>138.72900000000001</v>
      </c>
      <c r="G122" s="192">
        <v>142.49799999999999</v>
      </c>
      <c r="H122" s="64">
        <v>148.78399999999999</v>
      </c>
      <c r="I122" s="64">
        <v>149.39599999999999</v>
      </c>
      <c r="J122" s="64">
        <v>153.06200000000001</v>
      </c>
      <c r="K122" s="192">
        <v>155.86000000000001</v>
      </c>
      <c r="L122" s="64">
        <v>156.44</v>
      </c>
      <c r="M122" s="64">
        <v>157.23500000000001</v>
      </c>
      <c r="N122" s="64">
        <v>157.809</v>
      </c>
      <c r="O122" s="192">
        <v>158.488</v>
      </c>
      <c r="P122" s="64">
        <v>158.57300000000001</v>
      </c>
      <c r="Q122" s="64">
        <v>159.084</v>
      </c>
      <c r="R122" s="64">
        <v>159.69900000000001</v>
      </c>
      <c r="S122" s="192">
        <v>160.27799999999999</v>
      </c>
      <c r="T122" s="64">
        <v>161.18299999999999</v>
      </c>
      <c r="U122" s="64">
        <v>160.68700000000001</v>
      </c>
      <c r="V122" s="64">
        <v>158.60599999999999</v>
      </c>
      <c r="W122" s="192">
        <v>159.49600000000001</v>
      </c>
      <c r="X122" s="64">
        <v>160.31899999999999</v>
      </c>
      <c r="Y122" s="64">
        <v>161.16499999999999</v>
      </c>
      <c r="Z122" s="64">
        <v>162.095</v>
      </c>
      <c r="AA122" s="64">
        <v>161.87799999999999</v>
      </c>
      <c r="AB122" s="63">
        <v>164.85499999999999</v>
      </c>
      <c r="AC122" s="64">
        <v>165.99700000000001</v>
      </c>
      <c r="AD122" s="64">
        <v>167.06200000000001</v>
      </c>
      <c r="AE122" s="64">
        <v>170.28299999999999</v>
      </c>
      <c r="AF122" s="63">
        <v>172.71700000000001</v>
      </c>
      <c r="AG122" s="64">
        <v>174.44900000000001</v>
      </c>
      <c r="AH122" s="64">
        <v>175.495</v>
      </c>
      <c r="AI122" s="434">
        <v>177.41800000000001</v>
      </c>
      <c r="AJ122" s="63">
        <v>180.70599999999999</v>
      </c>
      <c r="AK122" s="503">
        <v>183.471</v>
      </c>
      <c r="AL122" s="64">
        <v>183.75</v>
      </c>
      <c r="AM122" s="434">
        <v>183.59100000000001</v>
      </c>
      <c r="AN122" s="63">
        <v>183.95599999999999</v>
      </c>
      <c r="AO122" s="503">
        <v>185.20599999999999</v>
      </c>
      <c r="AP122" s="64">
        <v>186.26900000000001</v>
      </c>
      <c r="AQ122" s="434">
        <v>187.92599999999999</v>
      </c>
      <c r="AR122" s="598">
        <v>189.37700000000001</v>
      </c>
      <c r="AS122" s="503">
        <v>188.7</v>
      </c>
      <c r="AT122" s="64">
        <v>186.6</v>
      </c>
      <c r="AU122" s="434">
        <v>185.2</v>
      </c>
      <c r="AV122" s="598">
        <v>186.2</v>
      </c>
      <c r="AW122" s="503">
        <v>187.4</v>
      </c>
      <c r="AX122" s="64">
        <v>187.5</v>
      </c>
      <c r="AY122" s="434">
        <v>187.5</v>
      </c>
      <c r="AZ122" s="598">
        <v>188.7</v>
      </c>
      <c r="BA122" s="503">
        <v>189.9</v>
      </c>
      <c r="BB122" s="64">
        <v>190</v>
      </c>
      <c r="BC122" s="434">
        <v>189.5</v>
      </c>
      <c r="BD122" s="598">
        <v>190.4</v>
      </c>
      <c r="BE122" s="503">
        <v>190.2</v>
      </c>
      <c r="BF122" s="64">
        <v>188.7</v>
      </c>
      <c r="BG122" s="434">
        <v>185.7</v>
      </c>
      <c r="BH122" s="598">
        <v>184.8</v>
      </c>
      <c r="BI122" s="503">
        <v>184.8</v>
      </c>
      <c r="BJ122" s="64">
        <v>184.2</v>
      </c>
      <c r="BK122" s="434">
        <v>183.4</v>
      </c>
      <c r="BL122" s="598">
        <v>183.1</v>
      </c>
      <c r="BM122" s="65">
        <f t="shared" ref="BM122:BS122" si="735">BL122+(BM123-BL123)</f>
        <v>182.6</v>
      </c>
      <c r="BN122" s="65">
        <f t="shared" si="735"/>
        <v>181.85</v>
      </c>
      <c r="BO122" s="66">
        <f t="shared" si="735"/>
        <v>181.1</v>
      </c>
      <c r="BP122" s="65">
        <f t="shared" si="735"/>
        <v>180.35</v>
      </c>
      <c r="BQ122" s="65">
        <f t="shared" si="735"/>
        <v>179.6</v>
      </c>
      <c r="BR122" s="65">
        <f t="shared" si="735"/>
        <v>178.85</v>
      </c>
      <c r="BS122" s="66">
        <f t="shared" si="735"/>
        <v>178.1</v>
      </c>
      <c r="BT122" s="65">
        <f t="shared" ref="BT122" si="736">BS122+(BT123-BS123)</f>
        <v>177.35</v>
      </c>
      <c r="BU122" s="65">
        <f t="shared" ref="BU122" si="737">BT122+(BU123-BT123)</f>
        <v>176.6</v>
      </c>
      <c r="BV122" s="65">
        <f t="shared" ref="BV122" si="738">BU122+(BV123-BU123)</f>
        <v>175.85</v>
      </c>
      <c r="BW122" s="66">
        <f t="shared" ref="BW122" si="739">BV122+(BW123-BV123)</f>
        <v>175.1</v>
      </c>
      <c r="BX122" s="58"/>
      <c r="BY122" s="610">
        <f>AVERAGE(D122:G122)</f>
        <v>139.31599999999997</v>
      </c>
      <c r="BZ122" s="503">
        <v>167.047</v>
      </c>
      <c r="CA122" s="503">
        <v>175.02</v>
      </c>
      <c r="CB122" s="65">
        <f>AVERAGE(AE122:AH122)</f>
        <v>173.23600000000002</v>
      </c>
      <c r="CC122" s="65">
        <f>AVERAGE(AI122:AL122)</f>
        <v>181.33625000000001</v>
      </c>
      <c r="CD122" s="720">
        <v>161.87799999999999</v>
      </c>
      <c r="CE122" s="503">
        <v>167.047</v>
      </c>
      <c r="CF122" s="503">
        <v>175.02</v>
      </c>
      <c r="CG122" s="65">
        <f>AVERAGE(AJ122:AM122)</f>
        <v>182.87950000000001</v>
      </c>
      <c r="CH122" s="65">
        <f>AVERAGE(AN122:AQ122)</f>
        <v>185.83924999999999</v>
      </c>
      <c r="CI122" s="66">
        <f>AVERAGE(AR122:AU122)</f>
        <v>187.46924999999999</v>
      </c>
      <c r="CJ122" s="65">
        <f>AVERAGE(AV122:AY122)</f>
        <v>187.15</v>
      </c>
      <c r="CK122" s="65">
        <f>CJ122</f>
        <v>187.15</v>
      </c>
      <c r="CL122" s="65">
        <f>AVERAGE(BD122:BG122)</f>
        <v>188.75</v>
      </c>
      <c r="CM122" s="821">
        <f>AVERAGE(BH122:BK122)</f>
        <v>184.29999999999998</v>
      </c>
      <c r="CN122" s="65">
        <f>AVERAGE(BL122:BO122)</f>
        <v>182.16249999999999</v>
      </c>
      <c r="CO122" s="65">
        <f>AVERAGE(BP122:BS122)</f>
        <v>179.22499999999999</v>
      </c>
      <c r="CP122" s="65">
        <f>AVERAGE(BT122:BW122)</f>
        <v>176.22499999999999</v>
      </c>
      <c r="CQ122" s="106"/>
      <c r="CR122" s="724">
        <f>P122</f>
        <v>158.57300000000001</v>
      </c>
      <c r="CS122" s="725">
        <f>T122</f>
        <v>161.18299999999999</v>
      </c>
      <c r="CT122" s="725">
        <f>X122</f>
        <v>160.31899999999999</v>
      </c>
      <c r="CU122" s="725">
        <f>AB122</f>
        <v>164.85499999999999</v>
      </c>
      <c r="CV122" s="725">
        <f>AF122</f>
        <v>172.71700000000001</v>
      </c>
      <c r="CW122" s="725">
        <f>AJ122</f>
        <v>180.70599999999999</v>
      </c>
      <c r="CX122" s="725">
        <f>AN122</f>
        <v>183.95599999999999</v>
      </c>
      <c r="CY122" s="725">
        <f>AR122</f>
        <v>189.37700000000001</v>
      </c>
      <c r="CZ122" s="723">
        <f>AV122</f>
        <v>186.2</v>
      </c>
      <c r="DA122" s="724">
        <f>AZ122</f>
        <v>188.7</v>
      </c>
      <c r="DB122" s="725">
        <f>AVERAGE(BA122:BD122)</f>
        <v>189.95</v>
      </c>
      <c r="DC122" s="725">
        <f>AVERAGE(BE122:BH122)</f>
        <v>187.34999999999997</v>
      </c>
      <c r="DD122" s="725">
        <f>AVERAGE(BI122:BL122)</f>
        <v>183.875</v>
      </c>
      <c r="DE122" s="725">
        <f>AVERAGE(BM122:BP122)</f>
        <v>181.47499999999999</v>
      </c>
      <c r="DF122" s="723">
        <f>AVERAGE(BQ122:BT122)</f>
        <v>178.47499999999999</v>
      </c>
      <c r="DK122"/>
      <c r="DL122"/>
      <c r="DM122"/>
      <c r="DN122"/>
      <c r="DO122"/>
      <c r="DP122"/>
    </row>
    <row r="123" spans="1:122" s="7" customFormat="1" ht="14.25">
      <c r="B123" s="14" t="s">
        <v>54</v>
      </c>
      <c r="C123" s="24"/>
      <c r="D123" s="30">
        <f t="shared" ref="D123:S123" si="740">D122</f>
        <v>137.89599999999999</v>
      </c>
      <c r="E123" s="31">
        <f t="shared" si="740"/>
        <v>138.14099999999999</v>
      </c>
      <c r="F123" s="31">
        <f t="shared" si="740"/>
        <v>138.72900000000001</v>
      </c>
      <c r="G123" s="32">
        <f t="shared" si="740"/>
        <v>142.49799999999999</v>
      </c>
      <c r="H123" s="31">
        <f t="shared" si="740"/>
        <v>148.78399999999999</v>
      </c>
      <c r="I123" s="31">
        <f t="shared" si="740"/>
        <v>149.39599999999999</v>
      </c>
      <c r="J123" s="31">
        <f t="shared" si="740"/>
        <v>153.06200000000001</v>
      </c>
      <c r="K123" s="32">
        <f t="shared" si="740"/>
        <v>155.86000000000001</v>
      </c>
      <c r="L123" s="31">
        <f t="shared" si="740"/>
        <v>156.44</v>
      </c>
      <c r="M123" s="31">
        <f t="shared" si="740"/>
        <v>157.23500000000001</v>
      </c>
      <c r="N123" s="31">
        <f t="shared" si="740"/>
        <v>157.809</v>
      </c>
      <c r="O123" s="32">
        <f t="shared" si="740"/>
        <v>158.488</v>
      </c>
      <c r="P123" s="31">
        <f t="shared" si="740"/>
        <v>158.57300000000001</v>
      </c>
      <c r="Q123" s="31">
        <f t="shared" si="740"/>
        <v>159.084</v>
      </c>
      <c r="R123" s="31">
        <f t="shared" si="740"/>
        <v>159.69900000000001</v>
      </c>
      <c r="S123" s="32">
        <f t="shared" si="740"/>
        <v>160.27799999999999</v>
      </c>
      <c r="T123" s="31">
        <f>T122</f>
        <v>161.18299999999999</v>
      </c>
      <c r="U123" s="31">
        <f>U122</f>
        <v>160.68700000000001</v>
      </c>
      <c r="V123" s="31">
        <f>V122</f>
        <v>158.60599999999999</v>
      </c>
      <c r="W123" s="32">
        <f>W122</f>
        <v>159.49600000000001</v>
      </c>
      <c r="X123" s="31">
        <f t="shared" ref="X123:AW123" si="741">X122</f>
        <v>160.31899999999999</v>
      </c>
      <c r="Y123" s="31">
        <f t="shared" si="741"/>
        <v>161.16499999999999</v>
      </c>
      <c r="Z123" s="31">
        <f t="shared" si="741"/>
        <v>162.095</v>
      </c>
      <c r="AA123" s="31">
        <f t="shared" si="741"/>
        <v>161.87799999999999</v>
      </c>
      <c r="AB123" s="30">
        <f t="shared" si="741"/>
        <v>164.85499999999999</v>
      </c>
      <c r="AC123" s="31">
        <f t="shared" si="741"/>
        <v>165.99700000000001</v>
      </c>
      <c r="AD123" s="31">
        <f t="shared" si="741"/>
        <v>167.06200000000001</v>
      </c>
      <c r="AE123" s="31">
        <f t="shared" si="741"/>
        <v>170.28299999999999</v>
      </c>
      <c r="AF123" s="30">
        <f t="shared" si="741"/>
        <v>172.71700000000001</v>
      </c>
      <c r="AG123" s="31">
        <f t="shared" si="741"/>
        <v>174.44900000000001</v>
      </c>
      <c r="AH123" s="31">
        <f t="shared" si="741"/>
        <v>175.495</v>
      </c>
      <c r="AI123" s="31">
        <f t="shared" si="741"/>
        <v>177.41800000000001</v>
      </c>
      <c r="AJ123" s="30">
        <f t="shared" si="741"/>
        <v>180.70599999999999</v>
      </c>
      <c r="AK123" s="31">
        <f t="shared" si="741"/>
        <v>183.471</v>
      </c>
      <c r="AL123" s="31">
        <f t="shared" si="741"/>
        <v>183.75</v>
      </c>
      <c r="AM123" s="32">
        <f t="shared" si="741"/>
        <v>183.59100000000001</v>
      </c>
      <c r="AN123" s="30">
        <f t="shared" si="741"/>
        <v>183.95599999999999</v>
      </c>
      <c r="AO123" s="31">
        <f t="shared" si="741"/>
        <v>185.20599999999999</v>
      </c>
      <c r="AP123" s="31">
        <f t="shared" si="741"/>
        <v>186.26900000000001</v>
      </c>
      <c r="AQ123" s="32">
        <f t="shared" si="741"/>
        <v>187.92599999999999</v>
      </c>
      <c r="AR123" s="30">
        <f t="shared" si="741"/>
        <v>189.37700000000001</v>
      </c>
      <c r="AS123" s="31">
        <f t="shared" si="741"/>
        <v>188.7</v>
      </c>
      <c r="AT123" s="31">
        <f t="shared" si="741"/>
        <v>186.6</v>
      </c>
      <c r="AU123" s="32">
        <f t="shared" si="741"/>
        <v>185.2</v>
      </c>
      <c r="AV123" s="30">
        <f t="shared" si="741"/>
        <v>186.2</v>
      </c>
      <c r="AW123" s="31">
        <f t="shared" si="741"/>
        <v>187.4</v>
      </c>
      <c r="AX123" s="31">
        <f t="shared" ref="AX123:BC123" si="742">AX122</f>
        <v>187.5</v>
      </c>
      <c r="AY123" s="32">
        <f t="shared" si="742"/>
        <v>187.5</v>
      </c>
      <c r="AZ123" s="30">
        <f t="shared" si="742"/>
        <v>188.7</v>
      </c>
      <c r="BA123" s="31">
        <f t="shared" si="742"/>
        <v>189.9</v>
      </c>
      <c r="BB123" s="31">
        <f t="shared" si="742"/>
        <v>190</v>
      </c>
      <c r="BC123" s="32">
        <f t="shared" si="742"/>
        <v>189.5</v>
      </c>
      <c r="BD123" s="30">
        <f t="shared" ref="BD123:BI123" si="743">BD122</f>
        <v>190.4</v>
      </c>
      <c r="BE123" s="31">
        <f t="shared" si="743"/>
        <v>190.2</v>
      </c>
      <c r="BF123" s="31">
        <f t="shared" si="743"/>
        <v>188.7</v>
      </c>
      <c r="BG123" s="32">
        <f t="shared" si="743"/>
        <v>185.7</v>
      </c>
      <c r="BH123" s="30">
        <f t="shared" si="743"/>
        <v>184.8</v>
      </c>
      <c r="BI123" s="31">
        <f t="shared" si="743"/>
        <v>184.8</v>
      </c>
      <c r="BJ123" s="31">
        <f>BJ122</f>
        <v>184.2</v>
      </c>
      <c r="BK123" s="32">
        <v>183.4</v>
      </c>
      <c r="BL123" s="30">
        <f t="shared" ref="BL123" si="744">BL122</f>
        <v>183.1</v>
      </c>
      <c r="BM123" s="31">
        <f t="shared" ref="BM123:BS123" si="745">BL123+(BM125-BL125)</f>
        <v>182.6</v>
      </c>
      <c r="BN123" s="31">
        <f t="shared" si="745"/>
        <v>181.85</v>
      </c>
      <c r="BO123" s="32">
        <f t="shared" si="745"/>
        <v>181.1</v>
      </c>
      <c r="BP123" s="31">
        <f t="shared" si="745"/>
        <v>180.35</v>
      </c>
      <c r="BQ123" s="31">
        <f t="shared" si="745"/>
        <v>179.6</v>
      </c>
      <c r="BR123" s="31">
        <f t="shared" si="745"/>
        <v>178.85</v>
      </c>
      <c r="BS123" s="32">
        <f t="shared" si="745"/>
        <v>178.1</v>
      </c>
      <c r="BT123" s="31">
        <f t="shared" ref="BT123" si="746">BS123+(BT125-BS125)</f>
        <v>177.35</v>
      </c>
      <c r="BU123" s="31">
        <f t="shared" ref="BU123" si="747">BT123+(BU125-BT125)</f>
        <v>176.6</v>
      </c>
      <c r="BV123" s="31">
        <f t="shared" ref="BV123" si="748">BU123+(BV125-BU125)</f>
        <v>175.85</v>
      </c>
      <c r="BW123" s="32">
        <f t="shared" ref="BW123" si="749">BV123+(BW125-BV125)</f>
        <v>175.1</v>
      </c>
      <c r="BX123" s="74"/>
      <c r="BY123" s="30">
        <f>BY122</f>
        <v>139.31599999999997</v>
      </c>
      <c r="BZ123" s="31">
        <f>BZ122</f>
        <v>167.047</v>
      </c>
      <c r="CA123" s="31">
        <f>CA122</f>
        <v>175.02</v>
      </c>
      <c r="CB123" s="31">
        <f>CB122</f>
        <v>173.23600000000002</v>
      </c>
      <c r="CC123" s="31">
        <f>CC122</f>
        <v>181.33625000000001</v>
      </c>
      <c r="CD123" s="31">
        <f t="shared" ref="CD123:CL123" si="750">CD122</f>
        <v>161.87799999999999</v>
      </c>
      <c r="CE123" s="31">
        <f t="shared" si="750"/>
        <v>167.047</v>
      </c>
      <c r="CF123" s="31">
        <f t="shared" si="750"/>
        <v>175.02</v>
      </c>
      <c r="CG123" s="31">
        <f t="shared" si="750"/>
        <v>182.87950000000001</v>
      </c>
      <c r="CH123" s="31">
        <f t="shared" si="750"/>
        <v>185.83924999999999</v>
      </c>
      <c r="CI123" s="32">
        <f t="shared" si="750"/>
        <v>187.46924999999999</v>
      </c>
      <c r="CJ123" s="31">
        <f t="shared" si="750"/>
        <v>187.15</v>
      </c>
      <c r="CK123" s="31">
        <f t="shared" si="750"/>
        <v>187.15</v>
      </c>
      <c r="CL123" s="31">
        <f t="shared" si="750"/>
        <v>188.75</v>
      </c>
      <c r="CM123" s="614">
        <f>AVERAGE(BH123:BK123)</f>
        <v>184.29999999999998</v>
      </c>
      <c r="CN123" s="613">
        <f>AVERAGE(BL123:BO123)</f>
        <v>182.16249999999999</v>
      </c>
      <c r="CO123" s="613">
        <f>AVERAGE(BP123:BS123)</f>
        <v>179.22499999999999</v>
      </c>
      <c r="CP123" s="613">
        <f>AVERAGE(BT123:BW123)</f>
        <v>176.22499999999999</v>
      </c>
      <c r="CQ123" s="106"/>
      <c r="CR123" s="30">
        <f>CR122</f>
        <v>158.57300000000001</v>
      </c>
      <c r="CS123" s="31">
        <f>CS122</f>
        <v>161.18299999999999</v>
      </c>
      <c r="CT123" s="31">
        <f>CT122</f>
        <v>160.31899999999999</v>
      </c>
      <c r="CU123" s="31">
        <f t="shared" ref="CU123:DA123" si="751">CU122</f>
        <v>164.85499999999999</v>
      </c>
      <c r="CV123" s="31">
        <f t="shared" si="751"/>
        <v>172.71700000000001</v>
      </c>
      <c r="CW123" s="31">
        <f t="shared" si="751"/>
        <v>180.70599999999999</v>
      </c>
      <c r="CX123" s="31">
        <f t="shared" si="751"/>
        <v>183.95599999999999</v>
      </c>
      <c r="CY123" s="31">
        <f t="shared" si="751"/>
        <v>189.37700000000001</v>
      </c>
      <c r="CZ123" s="32">
        <f t="shared" si="751"/>
        <v>186.2</v>
      </c>
      <c r="DA123" s="30">
        <f t="shared" si="751"/>
        <v>188.7</v>
      </c>
      <c r="DB123" s="31">
        <f>AVERAGE(BA123:BD123)</f>
        <v>189.95</v>
      </c>
      <c r="DC123" s="31">
        <f>AVERAGE(BE123:BH123)</f>
        <v>187.34999999999997</v>
      </c>
      <c r="DD123" s="31">
        <f>AVERAGE(BI123:BL123)</f>
        <v>183.875</v>
      </c>
      <c r="DE123" s="31">
        <f>AVERAGE(BM123:BP123)</f>
        <v>181.47499999999999</v>
      </c>
      <c r="DF123" s="32">
        <f>AVERAGE(BQ123:BT123)</f>
        <v>178.47499999999999</v>
      </c>
      <c r="DK123"/>
      <c r="DL123"/>
      <c r="DM123"/>
      <c r="DN123"/>
      <c r="DO123"/>
      <c r="DP123"/>
    </row>
    <row r="124" spans="1:122" s="7" customFormat="1" ht="14.25">
      <c r="B124" s="14"/>
      <c r="C124" s="24"/>
      <c r="D124" s="57"/>
      <c r="E124" s="57"/>
      <c r="F124" s="57"/>
      <c r="G124" s="58"/>
      <c r="H124" s="57"/>
      <c r="I124" s="57"/>
      <c r="J124" s="57"/>
      <c r="K124" s="58"/>
      <c r="L124" s="57"/>
      <c r="M124" s="57"/>
      <c r="N124" s="57"/>
      <c r="O124" s="58"/>
      <c r="P124" s="57"/>
      <c r="Q124" s="57"/>
      <c r="R124" s="57"/>
      <c r="S124" s="58"/>
      <c r="T124" s="57"/>
      <c r="U124" s="57"/>
      <c r="V124" s="57"/>
      <c r="W124" s="58"/>
      <c r="X124" s="57"/>
      <c r="Y124" s="57"/>
      <c r="Z124" s="57"/>
      <c r="AA124" s="57"/>
      <c r="AB124" s="56"/>
      <c r="AC124" s="57"/>
      <c r="AD124" s="57"/>
      <c r="AE124" s="57"/>
      <c r="AF124" s="56"/>
      <c r="AG124" s="57"/>
      <c r="AH124" s="57"/>
      <c r="AI124" s="57"/>
      <c r="AJ124" s="56"/>
      <c r="AK124" s="57"/>
      <c r="AL124" s="57"/>
      <c r="AM124" s="58"/>
      <c r="AN124" s="56"/>
      <c r="AO124" s="57"/>
      <c r="AP124" s="57"/>
      <c r="AQ124" s="58"/>
      <c r="AR124" s="56"/>
      <c r="AS124" s="57"/>
      <c r="AT124" s="57"/>
      <c r="AU124" s="58"/>
      <c r="AV124" s="56"/>
      <c r="AW124" s="57"/>
      <c r="AX124" s="57"/>
      <c r="AY124" s="58"/>
      <c r="AZ124" s="56"/>
      <c r="BA124" s="57"/>
      <c r="BB124" s="57"/>
      <c r="BC124" s="58"/>
      <c r="BD124" s="56"/>
      <c r="BE124" s="57"/>
      <c r="BF124" s="57"/>
      <c r="BG124" s="58"/>
      <c r="BH124" s="56"/>
      <c r="BI124" s="57"/>
      <c r="BJ124" s="57"/>
      <c r="BK124" s="58"/>
      <c r="BL124" s="56"/>
      <c r="BM124" s="132"/>
      <c r="BN124" s="132"/>
      <c r="BO124" s="134"/>
      <c r="BP124" s="132"/>
      <c r="BQ124" s="132"/>
      <c r="BR124" s="132"/>
      <c r="BS124" s="134"/>
      <c r="BT124" s="132"/>
      <c r="BU124" s="132"/>
      <c r="BV124" s="132"/>
      <c r="BW124" s="134"/>
      <c r="BX124" s="58"/>
      <c r="BY124" s="56"/>
      <c r="BZ124" s="57"/>
      <c r="CA124" s="57"/>
      <c r="CB124" s="57"/>
      <c r="CC124" s="57"/>
      <c r="CD124" s="57"/>
      <c r="CE124" s="57"/>
      <c r="CF124" s="57"/>
      <c r="CG124" s="57"/>
      <c r="CH124" s="57"/>
      <c r="CI124" s="58"/>
      <c r="CJ124" s="57"/>
      <c r="CK124" s="57"/>
      <c r="CL124" s="57"/>
      <c r="CM124" s="57"/>
      <c r="CN124" s="57"/>
      <c r="CO124" s="57"/>
      <c r="CP124" s="57"/>
      <c r="CQ124" s="106"/>
      <c r="CR124" s="30"/>
      <c r="CS124" s="31"/>
      <c r="CT124" s="31"/>
      <c r="CU124" s="31"/>
      <c r="CV124" s="31"/>
      <c r="CW124" s="31"/>
      <c r="CX124" s="31"/>
      <c r="CY124" s="31"/>
      <c r="CZ124" s="32"/>
      <c r="DA124" s="30"/>
      <c r="DB124" s="31"/>
      <c r="DC124" s="31"/>
      <c r="DD124" s="31"/>
      <c r="DE124" s="31"/>
      <c r="DF124" s="32"/>
      <c r="DK124"/>
      <c r="DL124"/>
      <c r="DM124"/>
      <c r="DN124"/>
      <c r="DO124"/>
      <c r="DP124"/>
    </row>
    <row r="125" spans="1:122" s="7" customFormat="1" ht="14.25">
      <c r="B125" s="14" t="s">
        <v>55</v>
      </c>
      <c r="C125" s="24"/>
      <c r="D125" s="68">
        <v>137.89599999999999</v>
      </c>
      <c r="E125" s="68">
        <v>138.14099999999999</v>
      </c>
      <c r="F125" s="68">
        <v>138.72900000000001</v>
      </c>
      <c r="G125" s="74">
        <v>142.49799999999999</v>
      </c>
      <c r="H125" s="68">
        <v>150.99700000000001</v>
      </c>
      <c r="I125" s="68">
        <v>149.39599999999999</v>
      </c>
      <c r="J125" s="68">
        <v>155.274</v>
      </c>
      <c r="K125" s="74">
        <v>157.58099999999999</v>
      </c>
      <c r="L125" s="68">
        <v>158.905</v>
      </c>
      <c r="M125" s="68">
        <v>158.435</v>
      </c>
      <c r="N125" s="68">
        <v>158.68199999999999</v>
      </c>
      <c r="O125" s="74">
        <v>159.803</v>
      </c>
      <c r="P125" s="68">
        <v>158.827</v>
      </c>
      <c r="Q125" s="68">
        <v>159.62899999999999</v>
      </c>
      <c r="R125" s="68">
        <v>160.876</v>
      </c>
      <c r="S125" s="74">
        <v>160.27799999999999</v>
      </c>
      <c r="T125" s="68">
        <v>162.88</v>
      </c>
      <c r="U125" s="68">
        <v>161.97200000000001</v>
      </c>
      <c r="V125" s="68">
        <v>160.03200000000001</v>
      </c>
      <c r="W125" s="74">
        <v>167.006</v>
      </c>
      <c r="X125" s="68">
        <v>162.83600000000001</v>
      </c>
      <c r="Y125" s="68">
        <v>162.982</v>
      </c>
      <c r="Z125" s="68">
        <v>164.649</v>
      </c>
      <c r="AA125" s="68">
        <v>164.755</v>
      </c>
      <c r="AB125" s="67">
        <v>165.18799999999999</v>
      </c>
      <c r="AC125" s="68">
        <v>165.99700000000001</v>
      </c>
      <c r="AD125" s="68">
        <v>169.52500000000001</v>
      </c>
      <c r="AE125" s="68">
        <v>177.12</v>
      </c>
      <c r="AF125" s="67">
        <v>179.404</v>
      </c>
      <c r="AG125" s="68">
        <v>182.92400000000001</v>
      </c>
      <c r="AH125" s="68">
        <v>183.88900000000001</v>
      </c>
      <c r="AI125" s="73">
        <v>184.73400000000001</v>
      </c>
      <c r="AJ125" s="67">
        <v>188.541</v>
      </c>
      <c r="AK125" s="28">
        <v>191.96100000000001</v>
      </c>
      <c r="AL125" s="68">
        <v>191.38</v>
      </c>
      <c r="AM125" s="518">
        <v>190.786</v>
      </c>
      <c r="AN125" s="67">
        <v>189.68199999999999</v>
      </c>
      <c r="AO125" s="28">
        <v>191.01599999999999</v>
      </c>
      <c r="AP125" s="68">
        <v>192.45699999999999</v>
      </c>
      <c r="AQ125" s="518">
        <v>194.22900000000001</v>
      </c>
      <c r="AR125" s="27">
        <v>194.001</v>
      </c>
      <c r="AS125" s="28">
        <v>193.1</v>
      </c>
      <c r="AT125" s="68">
        <v>191.2</v>
      </c>
      <c r="AU125" s="518">
        <v>190.3</v>
      </c>
      <c r="AV125" s="27">
        <v>191.2</v>
      </c>
      <c r="AW125" s="28">
        <v>192.2</v>
      </c>
      <c r="AX125" s="68">
        <v>193.2</v>
      </c>
      <c r="AY125" s="518">
        <v>193.8</v>
      </c>
      <c r="AZ125" s="27">
        <v>194.2</v>
      </c>
      <c r="BA125" s="28">
        <v>195.2</v>
      </c>
      <c r="BB125" s="68">
        <v>195.4</v>
      </c>
      <c r="BC125" s="518">
        <v>194.9</v>
      </c>
      <c r="BD125" s="27">
        <v>194.7</v>
      </c>
      <c r="BE125" s="28">
        <v>193.3</v>
      </c>
      <c r="BF125" s="68">
        <v>191.7</v>
      </c>
      <c r="BG125" s="518">
        <v>188.8</v>
      </c>
      <c r="BH125" s="27">
        <v>187.3</v>
      </c>
      <c r="BI125" s="28">
        <v>187.1</v>
      </c>
      <c r="BJ125" s="68">
        <v>186.6</v>
      </c>
      <c r="BK125" s="518">
        <v>185.7</v>
      </c>
      <c r="BL125" s="27">
        <v>185.5</v>
      </c>
      <c r="BM125" s="31">
        <f t="shared" ref="BM125:BS125" si="752">BL125+(BM126-BL126)</f>
        <v>185</v>
      </c>
      <c r="BN125" s="31">
        <f t="shared" si="752"/>
        <v>184.25</v>
      </c>
      <c r="BO125" s="32">
        <f t="shared" si="752"/>
        <v>183.5</v>
      </c>
      <c r="BP125" s="31">
        <f t="shared" si="752"/>
        <v>182.75</v>
      </c>
      <c r="BQ125" s="31">
        <f t="shared" si="752"/>
        <v>182</v>
      </c>
      <c r="BR125" s="31">
        <f t="shared" si="752"/>
        <v>181.25</v>
      </c>
      <c r="BS125" s="32">
        <f t="shared" si="752"/>
        <v>180.5</v>
      </c>
      <c r="BT125" s="31">
        <f t="shared" ref="BT125" si="753">BS125+(BT126-BS126)</f>
        <v>179.75</v>
      </c>
      <c r="BU125" s="31">
        <f t="shared" ref="BU125" si="754">BT125+(BU126-BT126)</f>
        <v>179</v>
      </c>
      <c r="BV125" s="31">
        <f t="shared" ref="BV125" si="755">BU125+(BV126-BU126)</f>
        <v>178.25</v>
      </c>
      <c r="BW125" s="32">
        <f t="shared" ref="BW125" si="756">BV125+(BW126-BV126)</f>
        <v>177.5</v>
      </c>
      <c r="BX125" s="58"/>
      <c r="BY125" s="611">
        <f>AVERAGE(D125:G125)</f>
        <v>139.31599999999997</v>
      </c>
      <c r="BZ125" s="73">
        <v>169.66300000000001</v>
      </c>
      <c r="CA125" s="73">
        <v>182.738</v>
      </c>
      <c r="CB125" s="614">
        <f>AVERAGE(AE125:AH125)</f>
        <v>180.83425</v>
      </c>
      <c r="CC125" s="614">
        <f>AVERAGE(AI125:AL125)</f>
        <v>189.154</v>
      </c>
      <c r="CD125" s="721">
        <v>164.755</v>
      </c>
      <c r="CE125" s="73">
        <v>169.66300000000001</v>
      </c>
      <c r="CF125" s="73">
        <v>182.738</v>
      </c>
      <c r="CG125" s="614">
        <f>AVERAGE(AJ125:AM125)</f>
        <v>190.66700000000003</v>
      </c>
      <c r="CH125" s="614">
        <f>AVERAGE(AN125:AQ125)</f>
        <v>191.846</v>
      </c>
      <c r="CI125" s="840">
        <f>AVERAGE(AR125:AU125)</f>
        <v>192.15024999999997</v>
      </c>
      <c r="CJ125" s="614">
        <f>AVERAGE(AV125:AY125)</f>
        <v>192.59999999999997</v>
      </c>
      <c r="CK125" s="614">
        <f>CJ125</f>
        <v>192.59999999999997</v>
      </c>
      <c r="CL125" s="614">
        <f>AVERAGE(BD125:BG125)</f>
        <v>192.125</v>
      </c>
      <c r="CM125" s="614">
        <f>AVERAGE(BH125:BK125)</f>
        <v>186.67500000000001</v>
      </c>
      <c r="CN125" s="613">
        <f>AVERAGE(BL125:BO125)</f>
        <v>184.5625</v>
      </c>
      <c r="CO125" s="613">
        <f>AVERAGE(BP125:BS125)</f>
        <v>181.625</v>
      </c>
      <c r="CP125" s="613">
        <f>AVERAGE(BT125:BW125)</f>
        <v>178.625</v>
      </c>
      <c r="CQ125" s="106"/>
      <c r="CR125" s="30">
        <f>P125</f>
        <v>158.827</v>
      </c>
      <c r="CS125" s="31">
        <f>T125</f>
        <v>162.88</v>
      </c>
      <c r="CT125" s="31">
        <f>X125</f>
        <v>162.83600000000001</v>
      </c>
      <c r="CU125" s="31">
        <f>AB125</f>
        <v>165.18799999999999</v>
      </c>
      <c r="CV125" s="31">
        <f>AF125</f>
        <v>179.404</v>
      </c>
      <c r="CW125" s="31">
        <f>AJ125</f>
        <v>188.541</v>
      </c>
      <c r="CX125" s="31">
        <f>AN125</f>
        <v>189.68199999999999</v>
      </c>
      <c r="CY125" s="31">
        <f>AR125</f>
        <v>194.001</v>
      </c>
      <c r="CZ125" s="32">
        <f>AV125</f>
        <v>191.2</v>
      </c>
      <c r="DA125" s="30">
        <f>AZ125</f>
        <v>194.2</v>
      </c>
      <c r="DB125" s="31">
        <f>AVERAGE(BA125:BD125)</f>
        <v>195.05</v>
      </c>
      <c r="DC125" s="31">
        <f>AVERAGE(BE125:BH125)</f>
        <v>190.27499999999998</v>
      </c>
      <c r="DD125" s="31">
        <f>AVERAGE(BI125:BL125)</f>
        <v>186.22499999999999</v>
      </c>
      <c r="DE125" s="31">
        <f>AVERAGE(BM125:BP125)</f>
        <v>183.875</v>
      </c>
      <c r="DF125" s="32">
        <f>AVERAGE(BQ125:BT125)</f>
        <v>180.875</v>
      </c>
      <c r="DK125"/>
      <c r="DL125"/>
      <c r="DM125"/>
      <c r="DN125"/>
      <c r="DO125"/>
      <c r="DP125"/>
    </row>
    <row r="126" spans="1:122" s="7" customFormat="1" ht="14.25">
      <c r="B126" s="14" t="s">
        <v>56</v>
      </c>
      <c r="C126" s="24"/>
      <c r="D126" s="31">
        <f t="shared" ref="D126:S126" si="757">D125</f>
        <v>137.89599999999999</v>
      </c>
      <c r="E126" s="31">
        <f t="shared" si="757"/>
        <v>138.14099999999999</v>
      </c>
      <c r="F126" s="31">
        <f t="shared" si="757"/>
        <v>138.72900000000001</v>
      </c>
      <c r="G126" s="32">
        <f t="shared" si="757"/>
        <v>142.49799999999999</v>
      </c>
      <c r="H126" s="31">
        <f t="shared" si="757"/>
        <v>150.99700000000001</v>
      </c>
      <c r="I126" s="31">
        <f t="shared" si="757"/>
        <v>149.39599999999999</v>
      </c>
      <c r="J126" s="31">
        <f t="shared" si="757"/>
        <v>155.274</v>
      </c>
      <c r="K126" s="32">
        <f t="shared" si="757"/>
        <v>157.58099999999999</v>
      </c>
      <c r="L126" s="31">
        <f t="shared" si="757"/>
        <v>158.905</v>
      </c>
      <c r="M126" s="31">
        <f t="shared" si="757"/>
        <v>158.435</v>
      </c>
      <c r="N126" s="31">
        <f t="shared" si="757"/>
        <v>158.68199999999999</v>
      </c>
      <c r="O126" s="32">
        <f t="shared" si="757"/>
        <v>159.803</v>
      </c>
      <c r="P126" s="31">
        <f t="shared" si="757"/>
        <v>158.827</v>
      </c>
      <c r="Q126" s="31">
        <f t="shared" si="757"/>
        <v>159.62899999999999</v>
      </c>
      <c r="R126" s="31">
        <f t="shared" si="757"/>
        <v>160.876</v>
      </c>
      <c r="S126" s="32">
        <f t="shared" si="757"/>
        <v>160.27799999999999</v>
      </c>
      <c r="T126" s="31">
        <f>T125</f>
        <v>162.88</v>
      </c>
      <c r="U126" s="31">
        <f>U125</f>
        <v>161.97200000000001</v>
      </c>
      <c r="V126" s="31">
        <f>V125</f>
        <v>160.03200000000001</v>
      </c>
      <c r="W126" s="32">
        <f>W125</f>
        <v>167.006</v>
      </c>
      <c r="X126" s="31">
        <f t="shared" ref="X126:AH126" si="758">X125</f>
        <v>162.83600000000001</v>
      </c>
      <c r="Y126" s="31">
        <f t="shared" si="758"/>
        <v>162.982</v>
      </c>
      <c r="Z126" s="31">
        <f t="shared" si="758"/>
        <v>164.649</v>
      </c>
      <c r="AA126" s="31">
        <f t="shared" si="758"/>
        <v>164.755</v>
      </c>
      <c r="AB126" s="30">
        <f t="shared" si="758"/>
        <v>165.18799999999999</v>
      </c>
      <c r="AC126" s="31">
        <f t="shared" si="758"/>
        <v>165.99700000000001</v>
      </c>
      <c r="AD126" s="31">
        <f t="shared" si="758"/>
        <v>169.52500000000001</v>
      </c>
      <c r="AE126" s="31">
        <f t="shared" si="758"/>
        <v>177.12</v>
      </c>
      <c r="AF126" s="30">
        <f t="shared" si="758"/>
        <v>179.404</v>
      </c>
      <c r="AG126" s="31">
        <f t="shared" si="758"/>
        <v>182.92400000000001</v>
      </c>
      <c r="AH126" s="31">
        <f t="shared" si="758"/>
        <v>183.88900000000001</v>
      </c>
      <c r="AI126" s="31">
        <f t="shared" ref="AI126:AW126" si="759">AI125</f>
        <v>184.73400000000001</v>
      </c>
      <c r="AJ126" s="30">
        <f t="shared" si="759"/>
        <v>188.541</v>
      </c>
      <c r="AK126" s="31">
        <f t="shared" si="759"/>
        <v>191.96100000000001</v>
      </c>
      <c r="AL126" s="31">
        <f t="shared" si="759"/>
        <v>191.38</v>
      </c>
      <c r="AM126" s="32">
        <f t="shared" si="759"/>
        <v>190.786</v>
      </c>
      <c r="AN126" s="30">
        <f t="shared" si="759"/>
        <v>189.68199999999999</v>
      </c>
      <c r="AO126" s="31">
        <f t="shared" si="759"/>
        <v>191.01599999999999</v>
      </c>
      <c r="AP126" s="31">
        <f t="shared" si="759"/>
        <v>192.45699999999999</v>
      </c>
      <c r="AQ126" s="32">
        <f t="shared" si="759"/>
        <v>194.22900000000001</v>
      </c>
      <c r="AR126" s="30">
        <f t="shared" si="759"/>
        <v>194.001</v>
      </c>
      <c r="AS126" s="31">
        <f t="shared" si="759"/>
        <v>193.1</v>
      </c>
      <c r="AT126" s="31">
        <f t="shared" si="759"/>
        <v>191.2</v>
      </c>
      <c r="AU126" s="32">
        <f t="shared" si="759"/>
        <v>190.3</v>
      </c>
      <c r="AV126" s="30">
        <f t="shared" si="759"/>
        <v>191.2</v>
      </c>
      <c r="AW126" s="31">
        <f t="shared" si="759"/>
        <v>192.2</v>
      </c>
      <c r="AX126" s="31">
        <f t="shared" ref="AX126:BC126" si="760">AX125</f>
        <v>193.2</v>
      </c>
      <c r="AY126" s="32">
        <f t="shared" si="760"/>
        <v>193.8</v>
      </c>
      <c r="AZ126" s="30">
        <f t="shared" si="760"/>
        <v>194.2</v>
      </c>
      <c r="BA126" s="31">
        <f t="shared" si="760"/>
        <v>195.2</v>
      </c>
      <c r="BB126" s="31">
        <f t="shared" si="760"/>
        <v>195.4</v>
      </c>
      <c r="BC126" s="32">
        <f t="shared" si="760"/>
        <v>194.9</v>
      </c>
      <c r="BD126" s="30">
        <f t="shared" ref="BD126:BI126" si="761">BD125</f>
        <v>194.7</v>
      </c>
      <c r="BE126" s="31">
        <f t="shared" si="761"/>
        <v>193.3</v>
      </c>
      <c r="BF126" s="31">
        <f t="shared" si="761"/>
        <v>191.7</v>
      </c>
      <c r="BG126" s="32">
        <f t="shared" si="761"/>
        <v>188.8</v>
      </c>
      <c r="BH126" s="30">
        <f t="shared" si="761"/>
        <v>187.3</v>
      </c>
      <c r="BI126" s="31">
        <f t="shared" si="761"/>
        <v>187.1</v>
      </c>
      <c r="BJ126" s="31">
        <f>BJ125</f>
        <v>186.6</v>
      </c>
      <c r="BK126" s="32">
        <v>185.7</v>
      </c>
      <c r="BL126" s="30">
        <f t="shared" ref="BL126" si="762">BL125</f>
        <v>185.5</v>
      </c>
      <c r="BM126" s="31">
        <v>185</v>
      </c>
      <c r="BN126" s="31">
        <f t="shared" ref="BN126:BS126" si="763">BM126-0.75</f>
        <v>184.25</v>
      </c>
      <c r="BO126" s="32">
        <f t="shared" si="763"/>
        <v>183.5</v>
      </c>
      <c r="BP126" s="31">
        <f t="shared" si="763"/>
        <v>182.75</v>
      </c>
      <c r="BQ126" s="31">
        <f t="shared" si="763"/>
        <v>182</v>
      </c>
      <c r="BR126" s="31">
        <f t="shared" si="763"/>
        <v>181.25</v>
      </c>
      <c r="BS126" s="32">
        <f t="shared" si="763"/>
        <v>180.5</v>
      </c>
      <c r="BT126" s="31">
        <f t="shared" ref="BT126" si="764">BS126-0.75</f>
        <v>179.75</v>
      </c>
      <c r="BU126" s="31">
        <f t="shared" ref="BU126" si="765">BT126-0.75</f>
        <v>179</v>
      </c>
      <c r="BV126" s="31">
        <f t="shared" ref="BV126" si="766">BU126-0.75</f>
        <v>178.25</v>
      </c>
      <c r="BW126" s="32">
        <f t="shared" ref="BW126" si="767">BV126-0.75</f>
        <v>177.5</v>
      </c>
      <c r="BX126" s="74"/>
      <c r="BY126" s="30">
        <f t="shared" ref="BY126:CD126" si="768">BY125</f>
        <v>139.31599999999997</v>
      </c>
      <c r="BZ126" s="31">
        <f t="shared" si="768"/>
        <v>169.66300000000001</v>
      </c>
      <c r="CA126" s="613">
        <f t="shared" si="768"/>
        <v>182.738</v>
      </c>
      <c r="CB126" s="613">
        <f t="shared" si="768"/>
        <v>180.83425</v>
      </c>
      <c r="CC126" s="613">
        <f t="shared" si="768"/>
        <v>189.154</v>
      </c>
      <c r="CD126" s="31">
        <f t="shared" si="768"/>
        <v>164.755</v>
      </c>
      <c r="CE126" s="31">
        <f t="shared" ref="CE126:CJ126" si="769">CE125</f>
        <v>169.66300000000001</v>
      </c>
      <c r="CF126" s="613">
        <f t="shared" si="769"/>
        <v>182.738</v>
      </c>
      <c r="CG126" s="613">
        <f t="shared" si="769"/>
        <v>190.66700000000003</v>
      </c>
      <c r="CH126" s="613">
        <f t="shared" si="769"/>
        <v>191.846</v>
      </c>
      <c r="CI126" s="69">
        <f t="shared" si="769"/>
        <v>192.15024999999997</v>
      </c>
      <c r="CJ126" s="613">
        <f t="shared" si="769"/>
        <v>192.59999999999997</v>
      </c>
      <c r="CK126" s="613">
        <f>CK125</f>
        <v>192.59999999999997</v>
      </c>
      <c r="CL126" s="613">
        <f>CL125</f>
        <v>192.125</v>
      </c>
      <c r="CM126" s="614">
        <f>AVERAGE(BH126:BK126)</f>
        <v>186.67500000000001</v>
      </c>
      <c r="CN126" s="613">
        <f>AVERAGE(BL126:BO126)</f>
        <v>184.5625</v>
      </c>
      <c r="CO126" s="613">
        <f>AVERAGE(BP126:BS126)</f>
        <v>181.625</v>
      </c>
      <c r="CP126" s="613">
        <f>AVERAGE(BT126:BW126)</f>
        <v>178.625</v>
      </c>
      <c r="CQ126" s="106"/>
      <c r="CR126" s="30">
        <f>CR125</f>
        <v>158.827</v>
      </c>
      <c r="CS126" s="31">
        <f>CS125</f>
        <v>162.88</v>
      </c>
      <c r="CT126" s="31">
        <f>CT125</f>
        <v>162.83600000000001</v>
      </c>
      <c r="CU126" s="31">
        <f t="shared" ref="CU126:CZ126" si="770">CU125</f>
        <v>165.18799999999999</v>
      </c>
      <c r="CV126" s="31">
        <f t="shared" si="770"/>
        <v>179.404</v>
      </c>
      <c r="CW126" s="31">
        <f t="shared" si="770"/>
        <v>188.541</v>
      </c>
      <c r="CX126" s="31">
        <f t="shared" si="770"/>
        <v>189.68199999999999</v>
      </c>
      <c r="CY126" s="31">
        <f t="shared" si="770"/>
        <v>194.001</v>
      </c>
      <c r="CZ126" s="32">
        <f t="shared" si="770"/>
        <v>191.2</v>
      </c>
      <c r="DA126" s="30">
        <f>DA125</f>
        <v>194.2</v>
      </c>
      <c r="DB126" s="31">
        <f>AVERAGE(BA126:BD126)</f>
        <v>195.05</v>
      </c>
      <c r="DC126" s="31">
        <f>AVERAGE(BE126:BH126)</f>
        <v>190.27499999999998</v>
      </c>
      <c r="DD126" s="31">
        <f>AVERAGE(BI126:BL126)</f>
        <v>186.22499999999999</v>
      </c>
      <c r="DE126" s="31">
        <f>AVERAGE(BM126:BP126)</f>
        <v>183.875</v>
      </c>
      <c r="DF126" s="32">
        <f>AVERAGE(BQ126:BT126)</f>
        <v>180.875</v>
      </c>
      <c r="DG126" s="42"/>
      <c r="DH126" s="42"/>
      <c r="DI126" s="42"/>
      <c r="DJ126" s="42"/>
      <c r="DK126"/>
      <c r="DL126"/>
      <c r="DM126"/>
      <c r="DN126"/>
      <c r="DO126"/>
      <c r="DP126"/>
      <c r="DQ126" s="42"/>
      <c r="DR126" s="42"/>
    </row>
    <row r="127" spans="1:122" s="42" customFormat="1" ht="14.25" hidden="1" outlineLevel="1">
      <c r="B127" s="19" t="s">
        <v>57</v>
      </c>
      <c r="C127" s="34"/>
      <c r="D127" s="70">
        <f t="shared" ref="D127:S127" si="771">D125/D122</f>
        <v>1</v>
      </c>
      <c r="E127" s="71">
        <f t="shared" si="771"/>
        <v>1</v>
      </c>
      <c r="F127" s="71">
        <f t="shared" si="771"/>
        <v>1</v>
      </c>
      <c r="G127" s="72">
        <f t="shared" si="771"/>
        <v>1</v>
      </c>
      <c r="H127" s="71">
        <f t="shared" si="771"/>
        <v>1.0148739111732445</v>
      </c>
      <c r="I127" s="71">
        <f t="shared" si="771"/>
        <v>1</v>
      </c>
      <c r="J127" s="71">
        <f t="shared" si="771"/>
        <v>1.0144516601115887</v>
      </c>
      <c r="K127" s="72">
        <f t="shared" si="771"/>
        <v>1.0110419607339918</v>
      </c>
      <c r="L127" s="71">
        <f t="shared" si="771"/>
        <v>1.0157568396829455</v>
      </c>
      <c r="M127" s="71">
        <f t="shared" si="771"/>
        <v>1.0076318885744266</v>
      </c>
      <c r="N127" s="71">
        <f t="shared" si="771"/>
        <v>1.0055320038781057</v>
      </c>
      <c r="O127" s="72">
        <f t="shared" si="771"/>
        <v>1.0082971581444651</v>
      </c>
      <c r="P127" s="71">
        <f t="shared" si="771"/>
        <v>1.0016017859282476</v>
      </c>
      <c r="Q127" s="71">
        <f t="shared" si="771"/>
        <v>1.0034258630660531</v>
      </c>
      <c r="R127" s="71">
        <f t="shared" si="771"/>
        <v>1.0073701150288981</v>
      </c>
      <c r="S127" s="72">
        <f t="shared" si="771"/>
        <v>1</v>
      </c>
      <c r="T127" s="71">
        <f>T125/T122</f>
        <v>1.010528405601087</v>
      </c>
      <c r="U127" s="71">
        <f>U125/U122</f>
        <v>1.0079969132537168</v>
      </c>
      <c r="V127" s="71">
        <f>V125/V122</f>
        <v>1.0089908326292827</v>
      </c>
      <c r="W127" s="72">
        <f>W125/W122</f>
        <v>1.0470858203340523</v>
      </c>
      <c r="X127" s="71">
        <f t="shared" ref="X127:AK127" si="772">X125/X122</f>
        <v>1.0156999482282201</v>
      </c>
      <c r="Y127" s="71">
        <f t="shared" si="772"/>
        <v>1.0112741600223374</v>
      </c>
      <c r="Z127" s="71">
        <f t="shared" si="772"/>
        <v>1.0157561923563343</v>
      </c>
      <c r="AA127" s="71">
        <f t="shared" si="772"/>
        <v>1.0177726435957943</v>
      </c>
      <c r="AB127" s="70">
        <f t="shared" si="772"/>
        <v>1.0020199569318491</v>
      </c>
      <c r="AC127" s="71">
        <f t="shared" si="772"/>
        <v>1</v>
      </c>
      <c r="AD127" s="71">
        <f t="shared" si="772"/>
        <v>1.0147430295339455</v>
      </c>
      <c r="AE127" s="71">
        <f t="shared" si="772"/>
        <v>1.0401508077729429</v>
      </c>
      <c r="AF127" s="70">
        <f t="shared" si="772"/>
        <v>1.0387165131399918</v>
      </c>
      <c r="AG127" s="71">
        <f t="shared" si="772"/>
        <v>1.0485815338580329</v>
      </c>
      <c r="AH127" s="71">
        <f t="shared" si="772"/>
        <v>1.0478304225191601</v>
      </c>
      <c r="AI127" s="72">
        <f t="shared" si="772"/>
        <v>1.0412359512563552</v>
      </c>
      <c r="AJ127" s="70">
        <f t="shared" si="772"/>
        <v>1.0433577191681516</v>
      </c>
      <c r="AK127" s="71">
        <f t="shared" si="772"/>
        <v>1.0462743430841932</v>
      </c>
      <c r="AL127" s="71">
        <f t="shared" ref="AL127:AR127" si="773">AL125/AL122</f>
        <v>1.0415238095238095</v>
      </c>
      <c r="AM127" s="72">
        <f t="shared" si="773"/>
        <v>1.0391903742558186</v>
      </c>
      <c r="AN127" s="70">
        <f t="shared" si="773"/>
        <v>1.0311270086324991</v>
      </c>
      <c r="AO127" s="71">
        <f t="shared" si="773"/>
        <v>1.0313704739587271</v>
      </c>
      <c r="AP127" s="71">
        <f t="shared" si="773"/>
        <v>1.033220772109154</v>
      </c>
      <c r="AQ127" s="72">
        <f t="shared" si="773"/>
        <v>1.0335397975798986</v>
      </c>
      <c r="AR127" s="70">
        <f t="shared" si="773"/>
        <v>1.0244169038478801</v>
      </c>
      <c r="AS127" s="71">
        <f t="shared" ref="AS127:BB127" si="774">AS125/AS122</f>
        <v>1.023317435082141</v>
      </c>
      <c r="AT127" s="71">
        <f t="shared" si="774"/>
        <v>1.0246516613076098</v>
      </c>
      <c r="AU127" s="72">
        <f t="shared" si="774"/>
        <v>1.027537796976242</v>
      </c>
      <c r="AV127" s="70">
        <f t="shared" si="774"/>
        <v>1.0268528464017186</v>
      </c>
      <c r="AW127" s="71">
        <f t="shared" si="774"/>
        <v>1.0256136606189967</v>
      </c>
      <c r="AX127" s="71">
        <f t="shared" si="774"/>
        <v>1.0304</v>
      </c>
      <c r="AY127" s="72">
        <f t="shared" si="774"/>
        <v>1.0336000000000001</v>
      </c>
      <c r="AZ127" s="70">
        <f t="shared" si="774"/>
        <v>1.0291467938526762</v>
      </c>
      <c r="BA127" s="71">
        <f t="shared" si="774"/>
        <v>1.0279094260136914</v>
      </c>
      <c r="BB127" s="71">
        <f t="shared" si="774"/>
        <v>1.0284210526315789</v>
      </c>
      <c r="BC127" s="72">
        <f t="shared" ref="BC127:BJ127" si="775">BC125/BC122</f>
        <v>1.0284960422163589</v>
      </c>
      <c r="BD127" s="70">
        <f t="shared" si="775"/>
        <v>1.0225840336134453</v>
      </c>
      <c r="BE127" s="71">
        <f t="shared" si="775"/>
        <v>1.016298633017876</v>
      </c>
      <c r="BF127" s="71">
        <f t="shared" si="775"/>
        <v>1.0158982511923689</v>
      </c>
      <c r="BG127" s="72">
        <f t="shared" si="775"/>
        <v>1.016693591814755</v>
      </c>
      <c r="BH127" s="70">
        <f>BH125/BH122</f>
        <v>1.0135281385281385</v>
      </c>
      <c r="BI127" s="71">
        <f>BI125/BI122</f>
        <v>1.0124458874458873</v>
      </c>
      <c r="BJ127" s="71">
        <f t="shared" si="775"/>
        <v>1.0130293159609121</v>
      </c>
      <c r="BK127" s="72">
        <f t="shared" ref="BK127" si="776">BK125/BK122</f>
        <v>1.0125408942202834</v>
      </c>
      <c r="BL127" s="70">
        <f>BL125/BL122</f>
        <v>1.0131075914800656</v>
      </c>
      <c r="BM127" s="71">
        <f t="shared" ref="BM127:BS127" si="777">BM125/BM122</f>
        <v>1.0131434830230011</v>
      </c>
      <c r="BN127" s="71">
        <f t="shared" si="777"/>
        <v>1.0131976904041793</v>
      </c>
      <c r="BO127" s="72">
        <f t="shared" si="777"/>
        <v>1.0132523467697405</v>
      </c>
      <c r="BP127" s="70">
        <f t="shared" si="777"/>
        <v>1.0133074577210979</v>
      </c>
      <c r="BQ127" s="71">
        <f t="shared" si="777"/>
        <v>1.0133630289532294</v>
      </c>
      <c r="BR127" s="71">
        <f t="shared" si="777"/>
        <v>1.0134190662566396</v>
      </c>
      <c r="BS127" s="72">
        <f t="shared" si="777"/>
        <v>1.0134755755193712</v>
      </c>
      <c r="BT127" s="70">
        <f t="shared" ref="BT127:BW127" si="778">BT125/BT122</f>
        <v>1.0135325627290668</v>
      </c>
      <c r="BU127" s="71">
        <f t="shared" si="778"/>
        <v>1.013590033975085</v>
      </c>
      <c r="BV127" s="71">
        <f t="shared" si="778"/>
        <v>1.0136479954506683</v>
      </c>
      <c r="BW127" s="72">
        <f t="shared" si="778"/>
        <v>1.0137064534551685</v>
      </c>
      <c r="BX127" s="111"/>
      <c r="BY127" s="70">
        <f>BY125/BY122</f>
        <v>1</v>
      </c>
      <c r="BZ127" s="71">
        <f>BZ125/BZ122</f>
        <v>1.0156602632791969</v>
      </c>
      <c r="CA127" s="71">
        <f>CA125/CA122</f>
        <v>1.0440978173922979</v>
      </c>
      <c r="CB127" s="71">
        <f>CB125/CB122</f>
        <v>1.0438606871550946</v>
      </c>
      <c r="CC127" s="71">
        <f>CC125/CC122</f>
        <v>1.0431118984758976</v>
      </c>
      <c r="CD127" s="71">
        <f t="shared" ref="CD127:CN127" si="779">CD125/CD122</f>
        <v>1.0177726435957943</v>
      </c>
      <c r="CE127" s="71">
        <f t="shared" si="779"/>
        <v>1.0156602632791969</v>
      </c>
      <c r="CF127" s="71">
        <f t="shared" si="779"/>
        <v>1.0440978173922979</v>
      </c>
      <c r="CG127" s="71">
        <f t="shared" si="779"/>
        <v>1.0425826842264989</v>
      </c>
      <c r="CH127" s="71">
        <f t="shared" si="779"/>
        <v>1.032322289290341</v>
      </c>
      <c r="CI127" s="72">
        <f t="shared" si="779"/>
        <v>1.0249694283195776</v>
      </c>
      <c r="CJ127" s="71">
        <f t="shared" si="779"/>
        <v>1.0291210259150412</v>
      </c>
      <c r="CK127" s="71">
        <f t="shared" si="779"/>
        <v>1.0291210259150412</v>
      </c>
      <c r="CL127" s="71">
        <f t="shared" si="779"/>
        <v>1.0178807947019868</v>
      </c>
      <c r="CM127" s="71">
        <f t="shared" si="779"/>
        <v>1.0128865979381445</v>
      </c>
      <c r="CN127" s="71">
        <f t="shared" si="779"/>
        <v>1.0131750497495369</v>
      </c>
      <c r="CO127" s="71">
        <f>CO125/CO122</f>
        <v>1.0133909889803321</v>
      </c>
      <c r="CP127" s="72">
        <f>CP125/CP122</f>
        <v>1.0136189530429849</v>
      </c>
      <c r="CQ127" s="947"/>
      <c r="CR127" s="70">
        <f>CR125/CR122</f>
        <v>1.0016017859282476</v>
      </c>
      <c r="CS127" s="71">
        <f>CS125/CS122</f>
        <v>1.010528405601087</v>
      </c>
      <c r="CT127" s="71">
        <f>CT125/CT122</f>
        <v>1.0156999482282201</v>
      </c>
      <c r="CU127" s="71">
        <f t="shared" ref="CU127:CZ127" si="780">CU125/CU122</f>
        <v>1.0020199569318491</v>
      </c>
      <c r="CV127" s="71">
        <f t="shared" si="780"/>
        <v>1.0387165131399918</v>
      </c>
      <c r="CW127" s="71">
        <f t="shared" si="780"/>
        <v>1.0433577191681516</v>
      </c>
      <c r="CX127" s="71">
        <f t="shared" si="780"/>
        <v>1.0311270086324991</v>
      </c>
      <c r="CY127" s="71">
        <f t="shared" si="780"/>
        <v>1.0244169038478801</v>
      </c>
      <c r="CZ127" s="72">
        <f t="shared" si="780"/>
        <v>1.0268528464017186</v>
      </c>
      <c r="DA127" s="70">
        <f t="shared" ref="DA127:DF127" si="781">DA125/DA122</f>
        <v>1.0291467938526762</v>
      </c>
      <c r="DB127" s="71">
        <f t="shared" si="781"/>
        <v>1.0268491708344303</v>
      </c>
      <c r="DC127" s="71">
        <f t="shared" si="781"/>
        <v>1.0156124899919936</v>
      </c>
      <c r="DD127" s="71">
        <f t="shared" si="781"/>
        <v>1.0127804214819851</v>
      </c>
      <c r="DE127" s="71">
        <f t="shared" si="781"/>
        <v>1.0132249621159939</v>
      </c>
      <c r="DF127" s="72">
        <f t="shared" si="781"/>
        <v>1.0134472615212216</v>
      </c>
      <c r="DG127" s="7"/>
      <c r="DH127" s="7"/>
      <c r="DI127" s="7"/>
      <c r="DJ127" s="7"/>
      <c r="DK127"/>
      <c r="DL127"/>
      <c r="DM127"/>
      <c r="DN127"/>
      <c r="DO127"/>
      <c r="DP127"/>
      <c r="DQ127" s="7"/>
      <c r="DR127" s="7"/>
    </row>
    <row r="128" spans="1:122" s="7" customFormat="1" ht="14.25" collapsed="1">
      <c r="B128" s="14"/>
      <c r="C128" s="24"/>
      <c r="D128" s="57"/>
      <c r="E128" s="57"/>
      <c r="F128" s="57"/>
      <c r="G128" s="58"/>
      <c r="H128" s="57"/>
      <c r="I128" s="57"/>
      <c r="J128" s="57"/>
      <c r="K128" s="58"/>
      <c r="L128" s="57"/>
      <c r="M128" s="57"/>
      <c r="N128" s="57"/>
      <c r="O128" s="58"/>
      <c r="P128" s="57"/>
      <c r="Q128" s="57"/>
      <c r="R128" s="57"/>
      <c r="S128" s="58"/>
      <c r="T128" s="57"/>
      <c r="U128" s="57"/>
      <c r="V128" s="57"/>
      <c r="W128" s="58"/>
      <c r="X128" s="57"/>
      <c r="Y128" s="57"/>
      <c r="Z128" s="57"/>
      <c r="AA128" s="57"/>
      <c r="AB128" s="56"/>
      <c r="AC128" s="57"/>
      <c r="AD128" s="57"/>
      <c r="AE128" s="57"/>
      <c r="AF128" s="56"/>
      <c r="AG128" s="57"/>
      <c r="AH128" s="57"/>
      <c r="AI128" s="58"/>
      <c r="AJ128" s="56"/>
      <c r="AK128" s="57"/>
      <c r="AL128" s="57"/>
      <c r="AM128" s="58"/>
      <c r="AN128" s="56"/>
      <c r="AO128" s="57"/>
      <c r="AP128" s="57"/>
      <c r="AQ128" s="58"/>
      <c r="AR128" s="56"/>
      <c r="AS128" s="57"/>
      <c r="AT128" s="57"/>
      <c r="AU128" s="58"/>
      <c r="AV128" s="56"/>
      <c r="AW128" s="57"/>
      <c r="AX128" s="57"/>
      <c r="AY128" s="58"/>
      <c r="AZ128" s="56"/>
      <c r="BA128" s="57"/>
      <c r="BB128" s="57"/>
      <c r="BC128" s="58"/>
      <c r="BD128" s="56"/>
      <c r="BE128" s="57"/>
      <c r="BF128" s="57"/>
      <c r="BG128" s="58"/>
      <c r="BH128" s="56"/>
      <c r="BI128" s="57"/>
      <c r="BJ128" s="132"/>
      <c r="BK128" s="58"/>
      <c r="BL128" s="56"/>
      <c r="BM128" s="132"/>
      <c r="BN128" s="132"/>
      <c r="BO128" s="134"/>
      <c r="BP128" s="133"/>
      <c r="BQ128" s="132"/>
      <c r="BR128" s="132"/>
      <c r="BS128" s="134"/>
      <c r="BT128" s="133"/>
      <c r="BU128" s="132"/>
      <c r="BV128" s="132"/>
      <c r="BW128" s="134"/>
      <c r="BX128" s="58"/>
      <c r="BY128" s="56"/>
      <c r="BZ128" s="57"/>
      <c r="CA128" s="57"/>
      <c r="CB128" s="57"/>
      <c r="CC128" s="57"/>
      <c r="CD128" s="57"/>
      <c r="CE128" s="57"/>
      <c r="CF128" s="57"/>
      <c r="CG128" s="57"/>
      <c r="CH128" s="57"/>
      <c r="CI128" s="58"/>
      <c r="CJ128" s="57"/>
      <c r="CK128" s="57"/>
      <c r="CL128" s="57"/>
      <c r="CM128" s="57"/>
      <c r="CN128" s="57"/>
      <c r="CO128" s="57"/>
      <c r="CP128" s="58"/>
      <c r="CQ128" s="106"/>
      <c r="CR128" s="30"/>
      <c r="CS128" s="31"/>
      <c r="CT128" s="31"/>
      <c r="CU128" s="31"/>
      <c r="CV128" s="31"/>
      <c r="CW128" s="31"/>
      <c r="CX128" s="31"/>
      <c r="CY128" s="31"/>
      <c r="CZ128" s="32"/>
      <c r="DA128" s="30"/>
      <c r="DB128" s="31"/>
      <c r="DC128" s="31"/>
      <c r="DD128" s="31"/>
      <c r="DE128" s="31"/>
      <c r="DF128" s="32"/>
      <c r="DK128"/>
      <c r="DL128"/>
      <c r="DM128"/>
      <c r="DN128"/>
      <c r="DO128"/>
      <c r="DP128"/>
    </row>
    <row r="129" spans="1:122" s="7" customFormat="1" ht="14.25">
      <c r="B129" s="14" t="s">
        <v>58</v>
      </c>
      <c r="C129" s="24"/>
      <c r="D129" s="68"/>
      <c r="E129" s="68"/>
      <c r="F129" s="68"/>
      <c r="G129" s="74"/>
      <c r="H129" s="68"/>
      <c r="I129" s="68"/>
      <c r="J129" s="68"/>
      <c r="K129" s="74"/>
      <c r="L129" s="68">
        <v>156.889331</v>
      </c>
      <c r="M129" s="68">
        <v>157.51800700000001</v>
      </c>
      <c r="N129" s="68">
        <v>158.39622199999999</v>
      </c>
      <c r="O129" s="74"/>
      <c r="P129" s="68">
        <v>159.49162100000001</v>
      </c>
      <c r="Q129" s="68">
        <v>160.395565</v>
      </c>
      <c r="R129" s="68">
        <v>161.046818</v>
      </c>
      <c r="S129" s="74"/>
      <c r="T129" s="68"/>
      <c r="U129" s="68"/>
      <c r="V129" s="68">
        <v>160.42129800000001</v>
      </c>
      <c r="W129" s="74">
        <v>161.67556400000001</v>
      </c>
      <c r="X129" s="68">
        <v>162.02000000000001</v>
      </c>
      <c r="Y129" s="68">
        <v>162.88200000000001</v>
      </c>
      <c r="Z129" s="68">
        <v>164.88</v>
      </c>
      <c r="AA129" s="68">
        <v>165.59200000000001</v>
      </c>
      <c r="AB129" s="67">
        <v>165.82499999999999</v>
      </c>
      <c r="AC129" s="68">
        <v>166.91900000000001</v>
      </c>
      <c r="AD129" s="68">
        <v>168.9</v>
      </c>
      <c r="AE129" s="68">
        <v>172.815</v>
      </c>
      <c r="AF129" s="67">
        <v>175.09</v>
      </c>
      <c r="AG129" s="68">
        <v>176.613</v>
      </c>
      <c r="AH129" s="68">
        <v>177.679</v>
      </c>
      <c r="AI129" s="74">
        <v>177.87299999999999</v>
      </c>
      <c r="AJ129" s="67">
        <v>185.94399999999999</v>
      </c>
      <c r="AK129" s="68">
        <v>185.94399999999999</v>
      </c>
      <c r="AL129" s="68">
        <v>186.154</v>
      </c>
      <c r="AM129" s="74">
        <v>186.386</v>
      </c>
      <c r="AN129" s="67">
        <v>187.917</v>
      </c>
      <c r="AO129" s="68">
        <v>200.06100000000001</v>
      </c>
      <c r="AP129" s="68">
        <v>190.39099999999999</v>
      </c>
      <c r="AQ129" s="74">
        <v>192.29599999999999</v>
      </c>
      <c r="AR129" s="67">
        <v>191.923</v>
      </c>
      <c r="AS129" s="68">
        <f>AS125</f>
        <v>193.1</v>
      </c>
      <c r="AT129" s="68">
        <v>187.7</v>
      </c>
      <c r="AU129" s="74">
        <v>187.9</v>
      </c>
      <c r="AV129" s="67">
        <v>191.923</v>
      </c>
      <c r="AW129" s="68">
        <f>AW125</f>
        <v>192.2</v>
      </c>
      <c r="AX129" s="68">
        <v>187.7</v>
      </c>
      <c r="AY129" s="74">
        <v>190.65362400000001</v>
      </c>
      <c r="AZ129" s="67">
        <v>190.81986800000001</v>
      </c>
      <c r="BA129" s="68">
        <f>BA125</f>
        <v>195.2</v>
      </c>
      <c r="BB129" s="68">
        <v>190.73796100000001</v>
      </c>
      <c r="BC129" s="74">
        <v>190.73796100000001</v>
      </c>
      <c r="BD129" s="67">
        <v>190.81986800000001</v>
      </c>
      <c r="BE129" s="68">
        <f>BE125</f>
        <v>193.3</v>
      </c>
      <c r="BF129" s="68">
        <v>190.73796100000001</v>
      </c>
      <c r="BG129" s="74">
        <v>190.73796100000001</v>
      </c>
      <c r="BH129" s="67">
        <v>190.81986800000001</v>
      </c>
      <c r="BI129" s="68">
        <f>BI125</f>
        <v>187.1</v>
      </c>
      <c r="BJ129" s="68">
        <f>BJ125</f>
        <v>186.6</v>
      </c>
      <c r="BK129" s="74">
        <f>BK125</f>
        <v>185.7</v>
      </c>
      <c r="BL129" s="67">
        <f>BL125</f>
        <v>185.5</v>
      </c>
      <c r="BM129" s="75">
        <f>+BL129</f>
        <v>185.5</v>
      </c>
      <c r="BN129" s="75">
        <f>+BM129</f>
        <v>185.5</v>
      </c>
      <c r="BO129" s="76">
        <f>+BN129</f>
        <v>185.5</v>
      </c>
      <c r="BP129" s="193">
        <f>+BK129</f>
        <v>185.7</v>
      </c>
      <c r="BQ129" s="75">
        <f>+BP129</f>
        <v>185.7</v>
      </c>
      <c r="BR129" s="75">
        <f>+BQ129</f>
        <v>185.7</v>
      </c>
      <c r="BS129" s="76">
        <f>+BR129</f>
        <v>185.7</v>
      </c>
      <c r="BT129" s="193">
        <f>+BO129</f>
        <v>185.5</v>
      </c>
      <c r="BU129" s="75">
        <f>+BT129</f>
        <v>185.5</v>
      </c>
      <c r="BV129" s="75">
        <f>+BU129</f>
        <v>185.5</v>
      </c>
      <c r="BW129" s="76">
        <f>+BV129</f>
        <v>185.5</v>
      </c>
      <c r="BX129" s="58"/>
      <c r="BY129" s="612">
        <f>V129</f>
        <v>160.42129800000001</v>
      </c>
      <c r="BZ129" s="613">
        <f>Z129</f>
        <v>164.88</v>
      </c>
      <c r="CA129" s="613">
        <f>AD129</f>
        <v>168.9</v>
      </c>
      <c r="CB129" s="613">
        <f>AH129</f>
        <v>177.679</v>
      </c>
      <c r="CC129" s="613">
        <f>AL129</f>
        <v>186.154</v>
      </c>
      <c r="CD129" s="613">
        <f>AA129</f>
        <v>165.59200000000001</v>
      </c>
      <c r="CE129" s="613">
        <f>AE129</f>
        <v>172.815</v>
      </c>
      <c r="CF129" s="613">
        <f>AI129</f>
        <v>177.87299999999999</v>
      </c>
      <c r="CG129" s="613">
        <f>AM129</f>
        <v>186.386</v>
      </c>
      <c r="CH129" s="613">
        <f>AQ129</f>
        <v>192.29599999999999</v>
      </c>
      <c r="CI129" s="69">
        <f>AU129</f>
        <v>187.9</v>
      </c>
      <c r="CJ129" s="613">
        <f>AY129</f>
        <v>190.65362400000001</v>
      </c>
      <c r="CK129" s="613">
        <f t="shared" ref="CK129:CP129" si="782">CJ129</f>
        <v>190.65362400000001</v>
      </c>
      <c r="CL129" s="613">
        <f t="shared" si="782"/>
        <v>190.65362400000001</v>
      </c>
      <c r="CM129" s="613">
        <f t="shared" si="782"/>
        <v>190.65362400000001</v>
      </c>
      <c r="CN129" s="613">
        <f t="shared" si="782"/>
        <v>190.65362400000001</v>
      </c>
      <c r="CO129" s="613">
        <f t="shared" si="782"/>
        <v>190.65362400000001</v>
      </c>
      <c r="CP129" s="69">
        <f t="shared" si="782"/>
        <v>190.65362400000001</v>
      </c>
      <c r="CQ129" s="948"/>
      <c r="CR129" s="30">
        <f>P129</f>
        <v>159.49162100000001</v>
      </c>
      <c r="CS129" s="31">
        <f>T129</f>
        <v>0</v>
      </c>
      <c r="CT129" s="31">
        <f>X129</f>
        <v>162.02000000000001</v>
      </c>
      <c r="CU129" s="31">
        <f>AB129</f>
        <v>165.82499999999999</v>
      </c>
      <c r="CV129" s="31">
        <f>AF129</f>
        <v>175.09</v>
      </c>
      <c r="CW129" s="31">
        <f>AJ129</f>
        <v>185.94399999999999</v>
      </c>
      <c r="CX129" s="31">
        <f>AN129</f>
        <v>187.917</v>
      </c>
      <c r="CY129" s="31">
        <f>AR129</f>
        <v>191.923</v>
      </c>
      <c r="CZ129" s="32">
        <f>AV129</f>
        <v>191.923</v>
      </c>
      <c r="DA129" s="30">
        <f>AW129</f>
        <v>192.2</v>
      </c>
      <c r="DB129" s="31">
        <f>AW129</f>
        <v>192.2</v>
      </c>
      <c r="DC129" s="31">
        <f>AW129</f>
        <v>192.2</v>
      </c>
      <c r="DD129" s="31">
        <f>AX129</f>
        <v>187.7</v>
      </c>
      <c r="DE129" s="31">
        <f>AY129</f>
        <v>190.65362400000001</v>
      </c>
      <c r="DF129" s="32">
        <f>AZ129</f>
        <v>190.81986800000001</v>
      </c>
      <c r="DK129"/>
      <c r="DL129"/>
      <c r="DM129"/>
      <c r="DN129"/>
      <c r="DO129"/>
      <c r="DP129"/>
    </row>
    <row r="130" spans="1:122" s="7" customFormat="1" ht="14.25">
      <c r="B130" s="14"/>
      <c r="C130" s="24"/>
      <c r="D130" s="68"/>
      <c r="E130" s="68"/>
      <c r="F130" s="68"/>
      <c r="G130" s="74"/>
      <c r="H130" s="68"/>
      <c r="I130" s="68"/>
      <c r="J130" s="68"/>
      <c r="K130" s="74"/>
      <c r="L130" s="68"/>
      <c r="M130" s="68"/>
      <c r="N130" s="68"/>
      <c r="O130" s="74"/>
      <c r="P130" s="68"/>
      <c r="Q130" s="68"/>
      <c r="R130" s="68"/>
      <c r="S130" s="74"/>
      <c r="T130" s="68"/>
      <c r="U130" s="68"/>
      <c r="V130" s="68"/>
      <c r="W130" s="74"/>
      <c r="X130" s="68"/>
      <c r="Y130" s="68"/>
      <c r="Z130" s="68"/>
      <c r="AA130" s="68"/>
      <c r="AB130" s="67"/>
      <c r="AC130" s="68"/>
      <c r="AD130" s="68"/>
      <c r="AE130" s="68"/>
      <c r="AF130" s="67"/>
      <c r="AG130" s="68"/>
      <c r="AH130" s="68"/>
      <c r="AI130" s="74"/>
      <c r="AJ130" s="67"/>
      <c r="AK130" s="68"/>
      <c r="AL130" s="68"/>
      <c r="AM130" s="74"/>
      <c r="AN130" s="67"/>
      <c r="AO130" s="68"/>
      <c r="AP130" s="68"/>
      <c r="AQ130" s="74"/>
      <c r="AR130" s="67"/>
      <c r="AS130" s="68"/>
      <c r="AT130" s="68"/>
      <c r="AU130" s="74"/>
      <c r="AV130" s="67"/>
      <c r="AW130" s="68"/>
      <c r="AX130" s="68"/>
      <c r="AY130" s="74"/>
      <c r="AZ130" s="67"/>
      <c r="BA130" s="68"/>
      <c r="BB130" s="68"/>
      <c r="BC130" s="74"/>
      <c r="BD130" s="67"/>
      <c r="BE130" s="68"/>
      <c r="BF130" s="68"/>
      <c r="BG130" s="74"/>
      <c r="BH130" s="67"/>
      <c r="BI130" s="68"/>
      <c r="BJ130" s="68"/>
      <c r="BK130" s="74"/>
      <c r="BL130" s="67"/>
      <c r="BM130" s="68"/>
      <c r="BN130" s="68"/>
      <c r="BO130" s="74"/>
      <c r="BP130" s="67"/>
      <c r="BQ130" s="68"/>
      <c r="BR130" s="68"/>
      <c r="BS130" s="74"/>
      <c r="BT130" s="67"/>
      <c r="BU130" s="68"/>
      <c r="BV130" s="68"/>
      <c r="BW130" s="74"/>
      <c r="BX130" s="58"/>
      <c r="BY130" s="56"/>
      <c r="BZ130" s="57"/>
      <c r="CA130" s="57"/>
      <c r="CB130" s="57"/>
      <c r="CC130" s="57"/>
      <c r="CD130" s="57"/>
      <c r="CE130" s="57"/>
      <c r="CF130" s="57"/>
      <c r="CG130" s="57"/>
      <c r="CH130" s="57"/>
      <c r="CI130" s="58"/>
      <c r="CJ130" s="57"/>
      <c r="CK130" s="57"/>
      <c r="CL130" s="57"/>
      <c r="CM130" s="57"/>
      <c r="CN130" s="57"/>
      <c r="CO130" s="57"/>
      <c r="CP130" s="58"/>
      <c r="CQ130" s="108"/>
      <c r="CR130" s="56"/>
      <c r="CS130" s="57"/>
      <c r="CT130" s="57"/>
      <c r="CU130" s="57"/>
      <c r="CV130" s="57"/>
      <c r="CW130" s="57"/>
      <c r="CX130" s="57"/>
      <c r="CY130" s="57"/>
      <c r="CZ130" s="58"/>
      <c r="DA130" s="56"/>
      <c r="DB130" s="57"/>
      <c r="DC130" s="57"/>
      <c r="DD130" s="57"/>
      <c r="DE130" s="57"/>
      <c r="DF130" s="58"/>
      <c r="DK130"/>
      <c r="DL130"/>
      <c r="DM130"/>
      <c r="DN130"/>
      <c r="DO130"/>
      <c r="DP130"/>
    </row>
    <row r="131" spans="1:122" s="7" customFormat="1" ht="14.25">
      <c r="B131" s="14" t="s">
        <v>59</v>
      </c>
      <c r="C131" s="24"/>
      <c r="D131" s="68">
        <v>0</v>
      </c>
      <c r="E131" s="68">
        <v>0</v>
      </c>
      <c r="F131" s="68">
        <v>0</v>
      </c>
      <c r="G131" s="74">
        <v>0</v>
      </c>
      <c r="H131" s="68">
        <v>0</v>
      </c>
      <c r="I131" s="68">
        <v>0</v>
      </c>
      <c r="J131" s="68">
        <v>0</v>
      </c>
      <c r="K131" s="74">
        <v>0</v>
      </c>
      <c r="L131" s="68">
        <v>0</v>
      </c>
      <c r="M131" s="68">
        <v>0</v>
      </c>
      <c r="N131" s="68">
        <v>0</v>
      </c>
      <c r="O131" s="74">
        <v>0</v>
      </c>
      <c r="P131" s="68">
        <v>0</v>
      </c>
      <c r="Q131" s="68">
        <v>0</v>
      </c>
      <c r="R131" s="68">
        <v>0</v>
      </c>
      <c r="S131" s="74">
        <v>0</v>
      </c>
      <c r="T131" s="68">
        <v>0</v>
      </c>
      <c r="U131" s="68">
        <v>0</v>
      </c>
      <c r="V131" s="68">
        <v>0</v>
      </c>
      <c r="W131" s="74">
        <v>0</v>
      </c>
      <c r="X131" s="68">
        <v>0</v>
      </c>
      <c r="Y131" s="68">
        <v>0</v>
      </c>
      <c r="Z131" s="68">
        <v>0</v>
      </c>
      <c r="AA131" s="68">
        <v>0</v>
      </c>
      <c r="AB131" s="67">
        <v>0</v>
      </c>
      <c r="AC131" s="68">
        <v>0</v>
      </c>
      <c r="AD131" s="68">
        <v>0</v>
      </c>
      <c r="AE131" s="68">
        <v>0</v>
      </c>
      <c r="AF131" s="67">
        <v>0</v>
      </c>
      <c r="AG131" s="68">
        <v>0</v>
      </c>
      <c r="AH131" s="68">
        <v>0</v>
      </c>
      <c r="AI131" s="74">
        <v>0</v>
      </c>
      <c r="AJ131" s="67">
        <v>0</v>
      </c>
      <c r="AK131" s="68">
        <v>0</v>
      </c>
      <c r="AL131" s="68">
        <v>0</v>
      </c>
      <c r="AM131" s="74">
        <v>0</v>
      </c>
      <c r="AN131" s="68">
        <v>0</v>
      </c>
      <c r="AO131" s="68">
        <v>0</v>
      </c>
      <c r="AP131" s="68">
        <v>0</v>
      </c>
      <c r="AQ131" s="74">
        <v>0</v>
      </c>
      <c r="AR131" s="67">
        <v>0</v>
      </c>
      <c r="AS131" s="68">
        <v>0</v>
      </c>
      <c r="AT131" s="68">
        <v>0</v>
      </c>
      <c r="AU131" s="74">
        <v>0</v>
      </c>
      <c r="AV131" s="67">
        <v>0</v>
      </c>
      <c r="AW131" s="68">
        <v>0</v>
      </c>
      <c r="AX131" s="845">
        <v>0.11</v>
      </c>
      <c r="AY131" s="847">
        <v>0.11</v>
      </c>
      <c r="AZ131" s="846">
        <v>0.13</v>
      </c>
      <c r="BA131" s="845">
        <v>0.13</v>
      </c>
      <c r="BB131" s="845">
        <v>0.13</v>
      </c>
      <c r="BC131" s="74">
        <v>0.26</v>
      </c>
      <c r="BD131" s="846">
        <v>0.26</v>
      </c>
      <c r="BE131" s="845">
        <v>0.26</v>
      </c>
      <c r="BF131" s="845">
        <v>0.13</v>
      </c>
      <c r="BG131" s="74">
        <v>0.28000000000000003</v>
      </c>
      <c r="BH131" s="846">
        <v>0.28000000000000003</v>
      </c>
      <c r="BI131" s="845">
        <v>0.28000000000000003</v>
      </c>
      <c r="BJ131" s="845">
        <v>0.32</v>
      </c>
      <c r="BK131" s="847">
        <v>0.28000000000000003</v>
      </c>
      <c r="BL131" s="846">
        <v>0.32</v>
      </c>
      <c r="BM131" s="845">
        <f t="shared" ref="BM131:BS131" si="783">+BL131</f>
        <v>0.32</v>
      </c>
      <c r="BN131" s="845">
        <f t="shared" si="783"/>
        <v>0.32</v>
      </c>
      <c r="BO131" s="847">
        <f t="shared" si="783"/>
        <v>0.32</v>
      </c>
      <c r="BP131" s="846">
        <f t="shared" si="783"/>
        <v>0.32</v>
      </c>
      <c r="BQ131" s="845">
        <f t="shared" si="783"/>
        <v>0.32</v>
      </c>
      <c r="BR131" s="845">
        <f t="shared" si="783"/>
        <v>0.32</v>
      </c>
      <c r="BS131" s="847">
        <f t="shared" si="783"/>
        <v>0.32</v>
      </c>
      <c r="BT131" s="846">
        <f t="shared" ref="BT131" si="784">+BS131</f>
        <v>0.32</v>
      </c>
      <c r="BU131" s="845">
        <f t="shared" ref="BU131" si="785">+BT131</f>
        <v>0.32</v>
      </c>
      <c r="BV131" s="845">
        <f t="shared" ref="BV131" si="786">+BU131</f>
        <v>0.32</v>
      </c>
      <c r="BW131" s="847">
        <f t="shared" ref="BW131" si="787">+BV131</f>
        <v>0.32</v>
      </c>
      <c r="BX131" s="74"/>
      <c r="BY131" s="193"/>
      <c r="BZ131" s="75"/>
      <c r="CA131" s="75"/>
      <c r="CB131" s="75"/>
      <c r="CC131" s="75"/>
      <c r="CD131" s="75"/>
      <c r="CE131" s="75"/>
      <c r="CF131" s="75"/>
      <c r="CG131" s="75"/>
      <c r="CH131" s="75"/>
      <c r="CI131" s="76">
        <f>SUM(AR131:AU131)</f>
        <v>0</v>
      </c>
      <c r="CJ131" s="75">
        <f>SUM(AV131:AY131)</f>
        <v>0.22</v>
      </c>
      <c r="CK131" s="75">
        <f>SUM(AZ131:BC131)</f>
        <v>0.65</v>
      </c>
      <c r="CL131" s="75">
        <f>SUM(BD131:BG131)</f>
        <v>0.93</v>
      </c>
      <c r="CM131" s="75">
        <f>SUM(BH131:BK131)</f>
        <v>1.1600000000000001</v>
      </c>
      <c r="CN131" s="75">
        <f>SUM(BL131:BO131)</f>
        <v>1.28</v>
      </c>
      <c r="CO131" s="75">
        <f>SUM(BP131:BS131)</f>
        <v>1.28</v>
      </c>
      <c r="CP131" s="75">
        <f>SUM(BT131:BW131)</f>
        <v>1.28</v>
      </c>
      <c r="CQ131" s="106"/>
      <c r="CR131" s="30"/>
      <c r="CS131" s="31"/>
      <c r="CT131" s="31"/>
      <c r="CU131" s="31"/>
      <c r="CV131" s="31"/>
      <c r="CW131" s="31"/>
      <c r="CX131" s="31"/>
      <c r="CY131" s="31"/>
      <c r="CZ131" s="32"/>
      <c r="DA131" s="30">
        <f>SUM(AW131:AZ131)</f>
        <v>0.35</v>
      </c>
      <c r="DB131" s="31">
        <f>SUM(BA131:BD131)</f>
        <v>0.78</v>
      </c>
      <c r="DC131" s="31">
        <f>SUM(BE131:BH131)</f>
        <v>0.95000000000000007</v>
      </c>
      <c r="DD131" s="31">
        <f>SUM(BI131:BL131)</f>
        <v>1.2000000000000002</v>
      </c>
      <c r="DE131" s="31">
        <f>SUM(BM131:BP131)</f>
        <v>1.28</v>
      </c>
      <c r="DF131" s="32">
        <f>SUM(BQ131:BT131)</f>
        <v>1.28</v>
      </c>
      <c r="DK131"/>
      <c r="DL131"/>
      <c r="DM131"/>
      <c r="DN131"/>
      <c r="DO131"/>
      <c r="DP131"/>
    </row>
    <row r="132" spans="1:122" s="7" customFormat="1" ht="14.25">
      <c r="B132" s="14" t="s">
        <v>60</v>
      </c>
      <c r="C132" s="24"/>
      <c r="D132" s="68"/>
      <c r="E132" s="68"/>
      <c r="F132" s="68"/>
      <c r="G132" s="74"/>
      <c r="H132" s="68"/>
      <c r="I132" s="68"/>
      <c r="J132" s="68"/>
      <c r="K132" s="74"/>
      <c r="L132" s="68"/>
      <c r="M132" s="68"/>
      <c r="N132" s="68"/>
      <c r="O132" s="74"/>
      <c r="P132" s="68"/>
      <c r="Q132" s="68"/>
      <c r="R132" s="68"/>
      <c r="S132" s="74"/>
      <c r="T132" s="68"/>
      <c r="U132" s="68"/>
      <c r="V132" s="68"/>
      <c r="W132" s="74"/>
      <c r="X132" s="68"/>
      <c r="Y132" s="68"/>
      <c r="Z132" s="68"/>
      <c r="AA132" s="68"/>
      <c r="AB132" s="67"/>
      <c r="AC132" s="68"/>
      <c r="AD132" s="68"/>
      <c r="AE132" s="74"/>
      <c r="AF132" s="67"/>
      <c r="AG132" s="68"/>
      <c r="AH132" s="399"/>
      <c r="AI132" s="401"/>
      <c r="AJ132" s="502"/>
      <c r="AK132" s="75"/>
      <c r="AL132" s="399"/>
      <c r="AM132" s="401"/>
      <c r="AN132" s="75"/>
      <c r="AO132" s="75"/>
      <c r="AP132" s="399"/>
      <c r="AQ132" s="76"/>
      <c r="AR132" s="193"/>
      <c r="AS132" s="75"/>
      <c r="AT132" s="75"/>
      <c r="AU132" s="76"/>
      <c r="AV132" s="193"/>
      <c r="AW132" s="75"/>
      <c r="AX132" s="75"/>
      <c r="AY132" s="76"/>
      <c r="AZ132" s="193"/>
      <c r="BA132" s="75"/>
      <c r="BB132" s="75"/>
      <c r="BC132" s="76"/>
      <c r="BD132" s="193"/>
      <c r="BE132" s="75"/>
      <c r="BF132" s="75"/>
      <c r="BG132" s="76"/>
      <c r="BH132" s="193"/>
      <c r="BI132" s="75"/>
      <c r="BJ132" s="75"/>
      <c r="BK132" s="76"/>
      <c r="BL132" s="193"/>
      <c r="BM132" s="75"/>
      <c r="BN132" s="75"/>
      <c r="BO132" s="76"/>
      <c r="BP132" s="193"/>
      <c r="BQ132" s="75"/>
      <c r="BR132" s="75"/>
      <c r="BS132" s="76"/>
      <c r="BT132" s="193"/>
      <c r="BU132" s="75"/>
      <c r="BV132" s="75"/>
      <c r="BW132" s="76"/>
      <c r="BX132" s="74"/>
      <c r="BY132" s="193"/>
      <c r="BZ132" s="75"/>
      <c r="CA132" s="75">
        <f>AD132</f>
        <v>0</v>
      </c>
      <c r="CB132" s="75">
        <f>AH132</f>
        <v>0</v>
      </c>
      <c r="CC132" s="75">
        <f>AL132</f>
        <v>0</v>
      </c>
      <c r="CD132" s="75"/>
      <c r="CE132" s="75"/>
      <c r="CF132" s="75">
        <f>AI132</f>
        <v>0</v>
      </c>
      <c r="CG132" s="75">
        <f>AM132</f>
        <v>0</v>
      </c>
      <c r="CH132" s="75">
        <f>AQ132</f>
        <v>0</v>
      </c>
      <c r="CI132" s="76">
        <f>AU132</f>
        <v>0</v>
      </c>
      <c r="CJ132" s="75">
        <f>AY132</f>
        <v>0</v>
      </c>
      <c r="CK132" s="75">
        <f t="shared" ref="CK132:CP132" si="788">CJ132*((1+CK133)^(1/4))</f>
        <v>0</v>
      </c>
      <c r="CL132" s="75">
        <f t="shared" si="788"/>
        <v>0</v>
      </c>
      <c r="CM132" s="75">
        <f t="shared" si="788"/>
        <v>0</v>
      </c>
      <c r="CN132" s="75">
        <f t="shared" si="788"/>
        <v>0</v>
      </c>
      <c r="CO132" s="75">
        <f t="shared" si="788"/>
        <v>0</v>
      </c>
      <c r="CP132" s="75">
        <f t="shared" si="788"/>
        <v>0</v>
      </c>
      <c r="CQ132" s="106"/>
      <c r="CR132" s="30">
        <f>P132</f>
        <v>0</v>
      </c>
      <c r="CS132" s="31">
        <f>T132</f>
        <v>0</v>
      </c>
      <c r="CT132" s="31">
        <f>X132</f>
        <v>0</v>
      </c>
      <c r="CU132" s="31">
        <f>AB132</f>
        <v>0</v>
      </c>
      <c r="CV132" s="31">
        <f>AF132</f>
        <v>0</v>
      </c>
      <c r="CW132" s="31">
        <f>AJ132</f>
        <v>0</v>
      </c>
      <c r="CX132" s="31">
        <f>AN132</f>
        <v>0</v>
      </c>
      <c r="CY132" s="31">
        <f>AR132</f>
        <v>0</v>
      </c>
      <c r="CZ132" s="32">
        <f>AV132</f>
        <v>0</v>
      </c>
      <c r="DA132" s="30">
        <f>AW132</f>
        <v>0</v>
      </c>
      <c r="DB132" s="31">
        <f>AW132</f>
        <v>0</v>
      </c>
      <c r="DC132" s="31">
        <f>AW132</f>
        <v>0</v>
      </c>
      <c r="DD132" s="31">
        <f>AX132</f>
        <v>0</v>
      </c>
      <c r="DE132" s="31">
        <f>AY132</f>
        <v>0</v>
      </c>
      <c r="DF132" s="32">
        <f>AZ132</f>
        <v>0</v>
      </c>
      <c r="DG132" s="42"/>
      <c r="DH132" s="42"/>
      <c r="DI132" s="42"/>
      <c r="DJ132" s="42"/>
      <c r="DK132"/>
      <c r="DL132"/>
      <c r="DM132"/>
      <c r="DN132"/>
      <c r="DO132"/>
      <c r="DP132"/>
      <c r="DQ132" s="42"/>
      <c r="DR132" s="42"/>
    </row>
    <row r="133" spans="1:122" s="42" customFormat="1" ht="14.25" hidden="1" outlineLevel="1">
      <c r="B133" s="19" t="s">
        <v>61</v>
      </c>
      <c r="C133" s="34"/>
      <c r="D133" s="78"/>
      <c r="E133" s="78"/>
      <c r="F133" s="78"/>
      <c r="G133" s="111"/>
      <c r="H133" s="78"/>
      <c r="I133" s="78"/>
      <c r="J133" s="78"/>
      <c r="K133" s="111"/>
      <c r="L133" s="78"/>
      <c r="M133" s="78"/>
      <c r="N133" s="78"/>
      <c r="O133" s="111"/>
      <c r="P133" s="78"/>
      <c r="Q133" s="78"/>
      <c r="R133" s="78"/>
      <c r="S133" s="111"/>
      <c r="T133" s="78"/>
      <c r="U133" s="78"/>
      <c r="V133" s="78"/>
      <c r="W133" s="111"/>
      <c r="X133" s="78"/>
      <c r="Y133" s="78"/>
      <c r="Z133" s="78"/>
      <c r="AA133" s="78"/>
      <c r="AB133" s="77"/>
      <c r="AC133" s="78"/>
      <c r="AD133" s="78"/>
      <c r="AE133" s="78"/>
      <c r="AF133" s="77"/>
      <c r="AG133" s="78"/>
      <c r="AH133" s="78"/>
      <c r="AI133" s="400"/>
      <c r="AJ133" s="77"/>
      <c r="AK133" s="79"/>
      <c r="AL133" s="78"/>
      <c r="AM133" s="400"/>
      <c r="AN133" s="79"/>
      <c r="AO133" s="79"/>
      <c r="AP133" s="78"/>
      <c r="AQ133" s="400"/>
      <c r="AR133" s="519"/>
      <c r="AS133" s="79"/>
      <c r="AT133" s="79"/>
      <c r="AU133" s="400"/>
      <c r="AV133" s="519"/>
      <c r="AW133" s="79"/>
      <c r="AX133" s="79"/>
      <c r="AY133" s="400"/>
      <c r="AZ133" s="519"/>
      <c r="BA133" s="79"/>
      <c r="BB133" s="79"/>
      <c r="BC133" s="400"/>
      <c r="BD133" s="519"/>
      <c r="BE133" s="79"/>
      <c r="BF133" s="79"/>
      <c r="BG133" s="400"/>
      <c r="BH133" s="519"/>
      <c r="BI133" s="79"/>
      <c r="BJ133" s="79"/>
      <c r="BK133" s="400"/>
      <c r="BL133" s="519"/>
      <c r="BM133" s="79"/>
      <c r="BN133" s="79"/>
      <c r="BO133" s="400"/>
      <c r="BP133" s="519"/>
      <c r="BQ133" s="79"/>
      <c r="BR133" s="79"/>
      <c r="BS133" s="400"/>
      <c r="BT133" s="519"/>
      <c r="BU133" s="79"/>
      <c r="BV133" s="79"/>
      <c r="BW133" s="400"/>
      <c r="BX133" s="112"/>
      <c r="BY133" s="398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2"/>
      <c r="CJ133" s="113"/>
      <c r="CK133" s="79">
        <v>8.0399999999999999E-2</v>
      </c>
      <c r="CL133" s="79">
        <v>8.0399999999999999E-2</v>
      </c>
      <c r="CM133" s="79">
        <v>8.0399999999999999E-2</v>
      </c>
      <c r="CN133" s="79">
        <v>8.0399999999999999E-2</v>
      </c>
      <c r="CO133" s="79">
        <v>8.0399999999999999E-2</v>
      </c>
      <c r="CP133" s="79">
        <v>8.0399999999999999E-2</v>
      </c>
      <c r="CQ133" s="107"/>
      <c r="CR133" s="80"/>
      <c r="CS133" s="81"/>
      <c r="CT133" s="81"/>
      <c r="CU133" s="81"/>
      <c r="CV133" s="81"/>
      <c r="CW133" s="81"/>
      <c r="CX133" s="81"/>
      <c r="CY133" s="81"/>
      <c r="CZ133" s="82"/>
      <c r="DA133" s="80"/>
      <c r="DB133" s="81"/>
      <c r="DC133" s="81"/>
      <c r="DD133" s="81"/>
      <c r="DE133" s="81"/>
      <c r="DF133" s="82"/>
      <c r="DG133" s="7"/>
      <c r="DH133" s="7"/>
      <c r="DI133" s="7"/>
      <c r="DJ133" s="7"/>
      <c r="DK133"/>
      <c r="DL133"/>
      <c r="DM133"/>
      <c r="DN133"/>
      <c r="DO133"/>
      <c r="DP133"/>
      <c r="DQ133" s="7"/>
      <c r="DR133" s="7"/>
    </row>
    <row r="134" spans="1:122" s="7" customFormat="1" ht="14.25" collapsed="1">
      <c r="B134" s="14"/>
      <c r="C134" s="24"/>
      <c r="D134" s="57"/>
      <c r="E134" s="57"/>
      <c r="F134" s="57"/>
      <c r="G134" s="58"/>
      <c r="H134" s="57"/>
      <c r="I134" s="57"/>
      <c r="J134" s="57"/>
      <c r="K134" s="58"/>
      <c r="L134" s="57"/>
      <c r="M134" s="57"/>
      <c r="N134" s="57"/>
      <c r="O134" s="58"/>
      <c r="P134" s="57"/>
      <c r="Q134" s="57"/>
      <c r="R134" s="57"/>
      <c r="S134" s="58"/>
      <c r="T134" s="57"/>
      <c r="U134" s="57"/>
      <c r="V134" s="57"/>
      <c r="W134" s="58"/>
      <c r="X134" s="57"/>
      <c r="Y134" s="57"/>
      <c r="Z134" s="57"/>
      <c r="AA134" s="57"/>
      <c r="AB134" s="56"/>
      <c r="AC134" s="57"/>
      <c r="AD134" s="57"/>
      <c r="AE134" s="57"/>
      <c r="AF134" s="56"/>
      <c r="AG134" s="57"/>
      <c r="AH134" s="57"/>
      <c r="AI134" s="58"/>
      <c r="AJ134" s="56"/>
      <c r="AK134" s="57"/>
      <c r="AL134" s="57"/>
      <c r="AM134" s="58"/>
      <c r="AN134" s="57"/>
      <c r="AO134" s="57"/>
      <c r="AP134" s="57"/>
      <c r="AQ134" s="58"/>
      <c r="AR134" s="56"/>
      <c r="AS134" s="57"/>
      <c r="AT134" s="57"/>
      <c r="AU134" s="58"/>
      <c r="AV134" s="56"/>
      <c r="AW134" s="57"/>
      <c r="AX134" s="57"/>
      <c r="AY134" s="58"/>
      <c r="AZ134" s="56"/>
      <c r="BA134" s="57"/>
      <c r="BB134" s="57"/>
      <c r="BC134" s="58"/>
      <c r="BD134" s="56"/>
      <c r="BE134" s="57"/>
      <c r="BF134" s="57"/>
      <c r="BG134" s="58"/>
      <c r="BH134" s="56"/>
      <c r="BI134" s="57"/>
      <c r="BJ134" s="57"/>
      <c r="BK134" s="58"/>
      <c r="BL134" s="56"/>
      <c r="BM134" s="57"/>
      <c r="BN134" s="57"/>
      <c r="BO134" s="58"/>
      <c r="BP134" s="56"/>
      <c r="BQ134" s="57"/>
      <c r="BR134" s="57"/>
      <c r="BS134" s="58"/>
      <c r="BT134" s="56"/>
      <c r="BU134" s="57"/>
      <c r="BV134" s="57"/>
      <c r="BW134" s="58"/>
      <c r="BX134" s="58"/>
      <c r="BY134" s="56"/>
      <c r="BZ134" s="57"/>
      <c r="CA134" s="57"/>
      <c r="CB134" s="57"/>
      <c r="CC134" s="57"/>
      <c r="CD134" s="57"/>
      <c r="CE134" s="57"/>
      <c r="CF134" s="57"/>
      <c r="CG134" s="57"/>
      <c r="CH134" s="57"/>
      <c r="CI134" s="58"/>
      <c r="CJ134" s="57"/>
      <c r="CK134" s="57"/>
      <c r="CL134" s="57"/>
      <c r="CM134" s="57"/>
      <c r="CN134" s="57"/>
      <c r="CO134" s="57"/>
      <c r="CP134" s="57"/>
      <c r="CQ134" s="108"/>
      <c r="CR134" s="56"/>
      <c r="CS134" s="57"/>
      <c r="CT134" s="57"/>
      <c r="CU134" s="57"/>
      <c r="CV134" s="57"/>
      <c r="CW134" s="57"/>
      <c r="CX134" s="57"/>
      <c r="CY134" s="57"/>
      <c r="CZ134" s="58"/>
      <c r="DA134" s="56"/>
      <c r="DB134" s="57"/>
      <c r="DC134" s="57"/>
      <c r="DD134" s="57"/>
      <c r="DE134" s="57"/>
      <c r="DF134" s="58"/>
      <c r="DK134"/>
      <c r="DL134"/>
      <c r="DM134"/>
      <c r="DN134"/>
      <c r="DO134"/>
      <c r="DP134"/>
    </row>
    <row r="135" spans="1:122" s="7" customFormat="1" ht="14.25">
      <c r="B135" s="14" t="s">
        <v>62</v>
      </c>
      <c r="C135" s="24"/>
      <c r="D135" s="81">
        <v>0.35</v>
      </c>
      <c r="E135" s="81">
        <v>0.35</v>
      </c>
      <c r="F135" s="81">
        <v>0.35</v>
      </c>
      <c r="G135" s="82">
        <v>0.35</v>
      </c>
      <c r="H135" s="81">
        <v>0.35</v>
      </c>
      <c r="I135" s="81">
        <v>0.35</v>
      </c>
      <c r="J135" s="81">
        <v>0.35</v>
      </c>
      <c r="K135" s="82">
        <v>0.35</v>
      </c>
      <c r="L135" s="81">
        <v>0.35</v>
      </c>
      <c r="M135" s="81">
        <v>0.35</v>
      </c>
      <c r="N135" s="81">
        <v>0.35</v>
      </c>
      <c r="O135" s="82">
        <v>0.35</v>
      </c>
      <c r="P135" s="81">
        <v>0.35</v>
      </c>
      <c r="Q135" s="81">
        <v>0.35</v>
      </c>
      <c r="R135" s="81">
        <v>0.35</v>
      </c>
      <c r="S135" s="82">
        <v>0.35</v>
      </c>
      <c r="T135" s="81">
        <v>0.35</v>
      </c>
      <c r="U135" s="81">
        <v>0.35</v>
      </c>
      <c r="V135" s="81">
        <v>0.35</v>
      </c>
      <c r="W135" s="82">
        <v>0.35</v>
      </c>
      <c r="X135" s="81">
        <v>0.35</v>
      </c>
      <c r="Y135" s="81">
        <v>0.35</v>
      </c>
      <c r="Z135" s="81">
        <v>0.35</v>
      </c>
      <c r="AA135" s="81">
        <v>0.35</v>
      </c>
      <c r="AB135" s="80">
        <v>0.35</v>
      </c>
      <c r="AC135" s="81">
        <v>0.35</v>
      </c>
      <c r="AD135" s="81">
        <v>0.35</v>
      </c>
      <c r="AE135" s="82">
        <v>0.35</v>
      </c>
      <c r="AF135" s="80">
        <v>0.35</v>
      </c>
      <c r="AG135" s="81">
        <v>0.35</v>
      </c>
      <c r="AH135" s="81">
        <v>0.35</v>
      </c>
      <c r="AI135" s="82">
        <v>0.35</v>
      </c>
      <c r="AJ135" s="80">
        <v>0.35</v>
      </c>
      <c r="AK135" s="81">
        <v>0.35</v>
      </c>
      <c r="AL135" s="81">
        <v>0.35</v>
      </c>
      <c r="AM135" s="82">
        <v>0.35</v>
      </c>
      <c r="AN135" s="81">
        <v>0.35</v>
      </c>
      <c r="AO135" s="81">
        <v>0.35</v>
      </c>
      <c r="AP135" s="81">
        <v>0.35</v>
      </c>
      <c r="AQ135" s="82">
        <v>0.35</v>
      </c>
      <c r="AR135" s="80">
        <v>0.35</v>
      </c>
      <c r="AS135" s="81">
        <v>0.35</v>
      </c>
      <c r="AT135" s="81">
        <v>0.35</v>
      </c>
      <c r="AU135" s="82">
        <v>0.35</v>
      </c>
      <c r="AV135" s="80">
        <v>0.35</v>
      </c>
      <c r="AW135" s="81">
        <v>0.35</v>
      </c>
      <c r="AX135" s="81">
        <v>0.35</v>
      </c>
      <c r="AY135" s="82">
        <v>0.35</v>
      </c>
      <c r="AZ135" s="80">
        <v>0.35</v>
      </c>
      <c r="BA135" s="81">
        <v>0.35</v>
      </c>
      <c r="BB135" s="81">
        <v>0.35</v>
      </c>
      <c r="BC135" s="82">
        <v>0.35</v>
      </c>
      <c r="BD135" s="80">
        <v>0.35</v>
      </c>
      <c r="BE135" s="81">
        <v>0.35</v>
      </c>
      <c r="BF135" s="81">
        <v>0.35</v>
      </c>
      <c r="BG135" s="82">
        <v>0.35</v>
      </c>
      <c r="BH135" s="80">
        <v>0.35</v>
      </c>
      <c r="BI135" s="81">
        <v>0.35</v>
      </c>
      <c r="BJ135" s="81">
        <v>0.35</v>
      </c>
      <c r="BK135" s="82">
        <v>0.35</v>
      </c>
      <c r="BL135" s="80">
        <v>0.35</v>
      </c>
      <c r="BM135" s="81">
        <v>0.35</v>
      </c>
      <c r="BN135" s="81">
        <v>0.35</v>
      </c>
      <c r="BO135" s="82">
        <v>0.35</v>
      </c>
      <c r="BP135" s="80">
        <v>0.35</v>
      </c>
      <c r="BQ135" s="81">
        <v>0.35</v>
      </c>
      <c r="BR135" s="81">
        <v>0.35</v>
      </c>
      <c r="BS135" s="82">
        <v>0.35</v>
      </c>
      <c r="BT135" s="80">
        <v>0.35</v>
      </c>
      <c r="BU135" s="81">
        <v>0.35</v>
      </c>
      <c r="BV135" s="81">
        <v>0.35</v>
      </c>
      <c r="BW135" s="82">
        <v>0.35</v>
      </c>
      <c r="BX135" s="82"/>
      <c r="BY135" s="80">
        <v>0.35</v>
      </c>
      <c r="BZ135" s="81">
        <v>0.35</v>
      </c>
      <c r="CA135" s="81">
        <v>0.35</v>
      </c>
      <c r="CB135" s="81">
        <v>0.35</v>
      </c>
      <c r="CC135" s="81">
        <v>0.35</v>
      </c>
      <c r="CD135" s="81">
        <v>0.35</v>
      </c>
      <c r="CE135" s="81">
        <v>0.35</v>
      </c>
      <c r="CF135" s="81">
        <v>0.35</v>
      </c>
      <c r="CG135" s="81">
        <v>0.35</v>
      </c>
      <c r="CH135" s="81">
        <v>0.35</v>
      </c>
      <c r="CI135" s="82">
        <v>0.35</v>
      </c>
      <c r="CJ135" s="81">
        <v>0.35</v>
      </c>
      <c r="CK135" s="81">
        <v>0.35</v>
      </c>
      <c r="CL135" s="81">
        <v>0.35</v>
      </c>
      <c r="CM135" s="81">
        <v>0.35</v>
      </c>
      <c r="CN135" s="81">
        <v>0.35</v>
      </c>
      <c r="CO135" s="81">
        <v>0.35</v>
      </c>
      <c r="CP135" s="81">
        <v>0.35</v>
      </c>
      <c r="CQ135" s="107"/>
      <c r="CR135" s="80">
        <v>0.35</v>
      </c>
      <c r="CS135" s="81">
        <v>0.35</v>
      </c>
      <c r="CT135" s="81">
        <v>0.35</v>
      </c>
      <c r="CU135" s="81">
        <v>0.35</v>
      </c>
      <c r="CV135" s="81">
        <v>0.35</v>
      </c>
      <c r="CW135" s="81">
        <v>0.35</v>
      </c>
      <c r="CX135" s="81">
        <v>0.35</v>
      </c>
      <c r="CY135" s="81">
        <v>0.35</v>
      </c>
      <c r="CZ135" s="82">
        <v>0.35</v>
      </c>
      <c r="DA135" s="80">
        <v>0.35</v>
      </c>
      <c r="DB135" s="81">
        <v>0.35</v>
      </c>
      <c r="DC135" s="81">
        <v>0.35</v>
      </c>
      <c r="DD135" s="81">
        <v>0.35</v>
      </c>
      <c r="DE135" s="81">
        <v>0.35</v>
      </c>
      <c r="DF135" s="82">
        <v>0.35</v>
      </c>
      <c r="DK135"/>
      <c r="DL135"/>
      <c r="DM135"/>
      <c r="DN135"/>
      <c r="DO135"/>
      <c r="DP135"/>
    </row>
    <row r="136" spans="1:122" s="7" customFormat="1" ht="14.25">
      <c r="B136" s="19"/>
      <c r="C136" s="34"/>
      <c r="D136" s="57"/>
      <c r="E136" s="57"/>
      <c r="F136" s="57"/>
      <c r="G136" s="58"/>
      <c r="H136" s="57"/>
      <c r="I136" s="57"/>
      <c r="J136" s="57"/>
      <c r="K136" s="58"/>
      <c r="L136" s="57"/>
      <c r="M136" s="57"/>
      <c r="N136" s="57"/>
      <c r="O136" s="58"/>
      <c r="P136" s="57"/>
      <c r="Q136" s="57"/>
      <c r="R136" s="57"/>
      <c r="S136" s="58"/>
      <c r="T136" s="57"/>
      <c r="U136" s="57"/>
      <c r="V136" s="57"/>
      <c r="W136" s="58"/>
      <c r="X136" s="57"/>
      <c r="Y136" s="57"/>
      <c r="Z136" s="57"/>
      <c r="AA136" s="57"/>
      <c r="AB136" s="56"/>
      <c r="AC136" s="57"/>
      <c r="AD136" s="57"/>
      <c r="AE136" s="57"/>
      <c r="AF136" s="56"/>
      <c r="AG136" s="57"/>
      <c r="AH136" s="57"/>
      <c r="AI136" s="57"/>
      <c r="AJ136" s="56"/>
      <c r="AK136" s="57"/>
      <c r="AL136" s="57"/>
      <c r="AM136" s="58"/>
      <c r="AN136" s="57"/>
      <c r="AO136" s="57"/>
      <c r="AP136" s="57"/>
      <c r="AQ136" s="58"/>
      <c r="AR136" s="56"/>
      <c r="AS136" s="57"/>
      <c r="AT136" s="57"/>
      <c r="AU136" s="58"/>
      <c r="AV136" s="56"/>
      <c r="AW136" s="57"/>
      <c r="AX136" s="57"/>
      <c r="AY136" s="58"/>
      <c r="AZ136" s="56"/>
      <c r="BA136" s="57"/>
      <c r="BB136" s="57"/>
      <c r="BC136" s="58"/>
      <c r="BD136" s="56"/>
      <c r="BE136" s="57"/>
      <c r="BF136" s="57"/>
      <c r="BG136" s="58"/>
      <c r="BH136" s="56"/>
      <c r="BI136" s="57"/>
      <c r="BJ136" s="57"/>
      <c r="BK136" s="58"/>
      <c r="BL136" s="56"/>
      <c r="BM136" s="57"/>
      <c r="BN136" s="57"/>
      <c r="BO136" s="58"/>
      <c r="BP136" s="56"/>
      <c r="BQ136" s="57"/>
      <c r="BR136" s="57"/>
      <c r="BS136" s="58"/>
      <c r="BT136" s="56"/>
      <c r="BU136" s="57"/>
      <c r="BV136" s="57"/>
      <c r="BW136" s="58"/>
      <c r="BX136" s="58"/>
      <c r="BY136" s="56"/>
      <c r="BZ136" s="57"/>
      <c r="CA136" s="57"/>
      <c r="CB136" s="57"/>
      <c r="CC136" s="57"/>
      <c r="CD136" s="57"/>
      <c r="CE136" s="57"/>
      <c r="CF136" s="57"/>
      <c r="CG136" s="57"/>
      <c r="CH136" s="57"/>
      <c r="CI136" s="58"/>
      <c r="CJ136" s="57"/>
      <c r="CK136" s="57"/>
      <c r="CL136" s="57"/>
      <c r="CM136" s="57"/>
      <c r="CN136" s="57"/>
      <c r="CO136" s="57"/>
      <c r="CP136" s="57"/>
      <c r="CQ136" s="108"/>
      <c r="CR136" s="56"/>
      <c r="CS136" s="57"/>
      <c r="CT136" s="57"/>
      <c r="CU136" s="57"/>
      <c r="CV136" s="57"/>
      <c r="CW136" s="57"/>
      <c r="CX136" s="57"/>
      <c r="CY136" s="57"/>
      <c r="CZ136" s="58"/>
      <c r="DA136" s="56"/>
      <c r="DB136" s="57"/>
      <c r="DC136" s="57"/>
      <c r="DD136" s="57"/>
      <c r="DE136" s="57"/>
      <c r="DF136" s="58"/>
      <c r="DK136"/>
      <c r="DL136"/>
      <c r="DM136"/>
      <c r="DN136"/>
      <c r="DO136"/>
      <c r="DP136"/>
    </row>
    <row r="137" spans="1:122" s="7" customFormat="1" ht="14.25">
      <c r="B137" s="83" t="s">
        <v>63</v>
      </c>
      <c r="C137" s="84"/>
      <c r="D137" s="85">
        <f t="shared" ref="D137:AI137" si="789">D31+D42+D53</f>
        <v>58.68</v>
      </c>
      <c r="E137" s="86">
        <f t="shared" si="789"/>
        <v>64.452000000000012</v>
      </c>
      <c r="F137" s="86">
        <f t="shared" si="789"/>
        <v>57.213999999999999</v>
      </c>
      <c r="G137" s="87">
        <f t="shared" si="789"/>
        <v>100.042</v>
      </c>
      <c r="H137" s="86">
        <f t="shared" si="789"/>
        <v>59.195</v>
      </c>
      <c r="I137" s="86">
        <f t="shared" si="789"/>
        <v>76.573999999999998</v>
      </c>
      <c r="J137" s="86">
        <f t="shared" si="789"/>
        <v>65.972999999999999</v>
      </c>
      <c r="K137" s="87">
        <f t="shared" si="789"/>
        <v>68.822000000000017</v>
      </c>
      <c r="L137" s="86">
        <f t="shared" si="789"/>
        <v>65.073999999999998</v>
      </c>
      <c r="M137" s="86">
        <f t="shared" si="789"/>
        <v>64.278999999999996</v>
      </c>
      <c r="N137" s="86">
        <f t="shared" si="789"/>
        <v>66.103999999999999</v>
      </c>
      <c r="O137" s="87">
        <f t="shared" si="789"/>
        <v>62.181999999999988</v>
      </c>
      <c r="P137" s="86">
        <f t="shared" si="789"/>
        <v>66.218999999999994</v>
      </c>
      <c r="Q137" s="86">
        <f t="shared" si="789"/>
        <v>66.802999999999997</v>
      </c>
      <c r="R137" s="86">
        <f t="shared" si="789"/>
        <v>67.488</v>
      </c>
      <c r="S137" s="87">
        <f t="shared" si="789"/>
        <v>128.49629999999996</v>
      </c>
      <c r="T137" s="86">
        <f t="shared" si="789"/>
        <v>60.448999999999998</v>
      </c>
      <c r="U137" s="86">
        <f t="shared" si="789"/>
        <v>55.668999999999997</v>
      </c>
      <c r="V137" s="86">
        <f t="shared" si="789"/>
        <v>56.216000000000001</v>
      </c>
      <c r="W137" s="87">
        <f t="shared" si="789"/>
        <v>56.565000000000026</v>
      </c>
      <c r="X137" s="86">
        <f t="shared" si="789"/>
        <v>61.313000000000002</v>
      </c>
      <c r="Y137" s="86">
        <f t="shared" si="789"/>
        <v>61.798000000000009</v>
      </c>
      <c r="Z137" s="86">
        <f t="shared" si="789"/>
        <v>63.637</v>
      </c>
      <c r="AA137" s="86">
        <f t="shared" si="789"/>
        <v>65.844000000000008</v>
      </c>
      <c r="AB137" s="85">
        <f t="shared" si="789"/>
        <v>62.893999999999998</v>
      </c>
      <c r="AC137" s="86">
        <f t="shared" si="789"/>
        <v>68.617999999999995</v>
      </c>
      <c r="AD137" s="86">
        <f t="shared" si="789"/>
        <v>55.429000000000002</v>
      </c>
      <c r="AE137" s="86">
        <f t="shared" si="789"/>
        <v>59.576000000000001</v>
      </c>
      <c r="AF137" s="85">
        <f t="shared" si="789"/>
        <v>60.021000000000001</v>
      </c>
      <c r="AG137" s="86">
        <f t="shared" si="789"/>
        <v>61.542000000000002</v>
      </c>
      <c r="AH137" s="86">
        <f t="shared" si="789"/>
        <v>64.793999999999997</v>
      </c>
      <c r="AI137" s="86">
        <f t="shared" si="789"/>
        <v>70.731999999999957</v>
      </c>
      <c r="AJ137" s="85">
        <f t="shared" ref="AJ137:BO137" si="790">AJ31+AJ42+AJ53</f>
        <v>71.195999999999998</v>
      </c>
      <c r="AK137" s="86">
        <f t="shared" si="790"/>
        <v>72.921000000000006</v>
      </c>
      <c r="AL137" s="86">
        <f t="shared" si="790"/>
        <v>83.998999999999995</v>
      </c>
      <c r="AM137" s="87">
        <f t="shared" si="790"/>
        <v>96.86399999999999</v>
      </c>
      <c r="AN137" s="86">
        <f t="shared" si="790"/>
        <v>96.881999999999991</v>
      </c>
      <c r="AO137" s="86">
        <f t="shared" si="790"/>
        <v>108.458</v>
      </c>
      <c r="AP137" s="86">
        <f t="shared" si="790"/>
        <v>103.25800000000001</v>
      </c>
      <c r="AQ137" s="87">
        <f t="shared" si="790"/>
        <v>102.86499999999999</v>
      </c>
      <c r="AR137" s="85">
        <f t="shared" si="790"/>
        <v>105.982</v>
      </c>
      <c r="AS137" s="86">
        <f t="shared" si="790"/>
        <v>108</v>
      </c>
      <c r="AT137" s="86">
        <f t="shared" si="790"/>
        <v>103.9</v>
      </c>
      <c r="AU137" s="87">
        <f t="shared" si="790"/>
        <v>103.60000000000001</v>
      </c>
      <c r="AV137" s="85">
        <f t="shared" si="790"/>
        <v>106</v>
      </c>
      <c r="AW137" s="86">
        <f t="shared" si="790"/>
        <v>109.8</v>
      </c>
      <c r="AX137" s="86">
        <f t="shared" si="790"/>
        <v>115.7</v>
      </c>
      <c r="AY137" s="87">
        <f t="shared" si="790"/>
        <v>125.9</v>
      </c>
      <c r="AZ137" s="85">
        <f t="shared" si="790"/>
        <v>126.2</v>
      </c>
      <c r="BA137" s="86">
        <f t="shared" si="790"/>
        <v>132.30000000000001</v>
      </c>
      <c r="BB137" s="86">
        <f t="shared" si="790"/>
        <v>134.30000000000001</v>
      </c>
      <c r="BC137" s="87">
        <f t="shared" si="790"/>
        <v>138.60000000000002</v>
      </c>
      <c r="BD137" s="85">
        <f t="shared" si="790"/>
        <v>141.6</v>
      </c>
      <c r="BE137" s="86">
        <f t="shared" si="790"/>
        <v>132.69999999999999</v>
      </c>
      <c r="BF137" s="86">
        <f>BF31+BF42+BF53</f>
        <v>139.70000000000002</v>
      </c>
      <c r="BG137" s="87">
        <f>BG31+BG42+BG53</f>
        <v>132.5</v>
      </c>
      <c r="BH137" s="85">
        <f>BH31+BH42+BH53</f>
        <v>142</v>
      </c>
      <c r="BI137" s="86">
        <f>BI31+BI42+BI53</f>
        <v>144.19999999999999</v>
      </c>
      <c r="BJ137" s="86">
        <f t="shared" si="790"/>
        <v>148.80000000000001</v>
      </c>
      <c r="BK137" s="87">
        <f>BK31+BK42+BK53</f>
        <v>153</v>
      </c>
      <c r="BL137" s="85">
        <f>BL31+BL42+BL53</f>
        <v>153.30000000000001</v>
      </c>
      <c r="BM137" s="86">
        <f t="shared" si="790"/>
        <v>152.754147875</v>
      </c>
      <c r="BN137" s="86">
        <f t="shared" si="790"/>
        <v>149.82710170253026</v>
      </c>
      <c r="BO137" s="87">
        <f t="shared" si="790"/>
        <v>159.41371578492371</v>
      </c>
      <c r="BP137" s="85">
        <f t="shared" ref="BP137:BW137" si="791">BP31+BP42+BP53</f>
        <v>162.69605365191825</v>
      </c>
      <c r="BQ137" s="86">
        <f t="shared" si="791"/>
        <v>155.4184531067844</v>
      </c>
      <c r="BR137" s="86">
        <f t="shared" si="791"/>
        <v>155.44151497436633</v>
      </c>
      <c r="BS137" s="87">
        <f t="shared" si="791"/>
        <v>163.08369141995945</v>
      </c>
      <c r="BT137" s="85">
        <f t="shared" si="791"/>
        <v>166.52430815895076</v>
      </c>
      <c r="BU137" s="86">
        <f t="shared" si="791"/>
        <v>162.00151764141901</v>
      </c>
      <c r="BV137" s="86">
        <f t="shared" si="791"/>
        <v>163.33579323509716</v>
      </c>
      <c r="BW137" s="87">
        <f t="shared" si="791"/>
        <v>171.74673472363395</v>
      </c>
      <c r="BX137" s="58"/>
      <c r="BY137" s="85">
        <f t="shared" ref="BY137:CN137" si="792">BY31+BY42+BY53</f>
        <v>280.38800000000003</v>
      </c>
      <c r="BZ137" s="86">
        <f t="shared" si="792"/>
        <v>270.56400000000002</v>
      </c>
      <c r="CA137" s="86">
        <f t="shared" si="792"/>
        <v>257.63899999999995</v>
      </c>
      <c r="CB137" s="86">
        <f t="shared" si="792"/>
        <v>329.00629999999995</v>
      </c>
      <c r="CC137" s="86">
        <f t="shared" si="792"/>
        <v>228.89900000000003</v>
      </c>
      <c r="CD137" s="86">
        <f t="shared" si="792"/>
        <v>252.59200000000001</v>
      </c>
      <c r="CE137" s="86">
        <f t="shared" si="792"/>
        <v>246.51699999999997</v>
      </c>
      <c r="CF137" s="86">
        <f t="shared" si="792"/>
        <v>257.08899999999994</v>
      </c>
      <c r="CG137" s="86">
        <f t="shared" si="792"/>
        <v>324.98</v>
      </c>
      <c r="CH137" s="86">
        <f t="shared" si="792"/>
        <v>411.46299999999997</v>
      </c>
      <c r="CI137" s="87">
        <f t="shared" si="792"/>
        <v>421.48200000000003</v>
      </c>
      <c r="CJ137" s="86">
        <f t="shared" si="792"/>
        <v>457.4</v>
      </c>
      <c r="CK137" s="86">
        <f t="shared" si="792"/>
        <v>531.40000000000009</v>
      </c>
      <c r="CL137" s="86">
        <f t="shared" si="792"/>
        <v>546.5</v>
      </c>
      <c r="CM137" s="86">
        <f t="shared" si="792"/>
        <v>588</v>
      </c>
      <c r="CN137" s="86">
        <f t="shared" si="792"/>
        <v>615.29496536245392</v>
      </c>
      <c r="CO137" s="86">
        <f>CO31+CO42+CO53</f>
        <v>636.63971315302842</v>
      </c>
      <c r="CP137" s="86">
        <f>CP31+CP42+CP53</f>
        <v>663.60835375910085</v>
      </c>
      <c r="CQ137" s="108"/>
      <c r="CR137" s="85">
        <f t="shared" ref="CR137:DD137" si="793">CR31+CR42+CR53</f>
        <v>258.78399999999999</v>
      </c>
      <c r="CS137" s="86">
        <f t="shared" si="793"/>
        <v>323.23629999999997</v>
      </c>
      <c r="CT137" s="86">
        <f t="shared" si="793"/>
        <v>229.76300000000001</v>
      </c>
      <c r="CU137" s="86">
        <f t="shared" si="793"/>
        <v>254.17299999999997</v>
      </c>
      <c r="CV137" s="86">
        <f t="shared" si="793"/>
        <v>243.64400000000001</v>
      </c>
      <c r="CW137" s="86">
        <f t="shared" si="793"/>
        <v>268.26399999999995</v>
      </c>
      <c r="CX137" s="86">
        <f t="shared" si="793"/>
        <v>350.666</v>
      </c>
      <c r="CY137" s="86">
        <f t="shared" si="793"/>
        <v>420.56299999999999</v>
      </c>
      <c r="CZ137" s="87">
        <f t="shared" si="793"/>
        <v>421.49999999999994</v>
      </c>
      <c r="DA137" s="85">
        <f t="shared" si="793"/>
        <v>477.6</v>
      </c>
      <c r="DB137" s="86">
        <f t="shared" si="793"/>
        <v>546.80000000000007</v>
      </c>
      <c r="DC137" s="86">
        <f t="shared" si="793"/>
        <v>546.9</v>
      </c>
      <c r="DD137" s="86">
        <f t="shared" si="793"/>
        <v>599.30000000000007</v>
      </c>
      <c r="DE137" s="86">
        <f>DE31+DE42+DE53</f>
        <v>624.69101901437216</v>
      </c>
      <c r="DF137" s="87">
        <f>DF31+DF42+DF53</f>
        <v>640.46796766006082</v>
      </c>
      <c r="DK137"/>
      <c r="DL137"/>
      <c r="DM137"/>
      <c r="DN137"/>
      <c r="DO137"/>
      <c r="DP137"/>
    </row>
    <row r="138" spans="1:122" s="7" customFormat="1" ht="14.25">
      <c r="B138" s="88" t="s">
        <v>64</v>
      </c>
      <c r="C138" s="89"/>
      <c r="D138" s="90">
        <f t="shared" ref="D138:AI138" si="794">D14+D31+D42</f>
        <v>152.62700000000001</v>
      </c>
      <c r="E138" s="91">
        <f t="shared" si="794"/>
        <v>153.89400000000001</v>
      </c>
      <c r="F138" s="91">
        <f t="shared" si="794"/>
        <v>150.26</v>
      </c>
      <c r="G138" s="92">
        <f t="shared" si="794"/>
        <v>155.66800000000001</v>
      </c>
      <c r="H138" s="91">
        <f t="shared" si="794"/>
        <v>163.96600000000001</v>
      </c>
      <c r="I138" s="91">
        <f t="shared" si="794"/>
        <v>171.31300000000002</v>
      </c>
      <c r="J138" s="91">
        <f t="shared" si="794"/>
        <v>188.798</v>
      </c>
      <c r="K138" s="91">
        <f t="shared" si="794"/>
        <v>196.88499999999999</v>
      </c>
      <c r="L138" s="90">
        <f t="shared" si="794"/>
        <v>196.47799999999998</v>
      </c>
      <c r="M138" s="91">
        <f t="shared" si="794"/>
        <v>181.64</v>
      </c>
      <c r="N138" s="91">
        <f t="shared" si="794"/>
        <v>179.226</v>
      </c>
      <c r="O138" s="91">
        <f t="shared" si="794"/>
        <v>182.53999999999994</v>
      </c>
      <c r="P138" s="90">
        <f t="shared" si="794"/>
        <v>189.28500000000003</v>
      </c>
      <c r="Q138" s="91">
        <f t="shared" si="794"/>
        <v>182.15100000000001</v>
      </c>
      <c r="R138" s="91">
        <f t="shared" si="794"/>
        <v>190.66299999999998</v>
      </c>
      <c r="S138" s="91">
        <f t="shared" si="794"/>
        <v>248.8793</v>
      </c>
      <c r="T138" s="90">
        <f t="shared" si="794"/>
        <v>175.154</v>
      </c>
      <c r="U138" s="91">
        <f t="shared" si="794"/>
        <v>166.64099999999999</v>
      </c>
      <c r="V138" s="91">
        <f t="shared" si="794"/>
        <v>161.84100000000001</v>
      </c>
      <c r="W138" s="92">
        <f t="shared" si="794"/>
        <v>171.74800000000002</v>
      </c>
      <c r="X138" s="91">
        <f t="shared" si="794"/>
        <v>187.57599999999999</v>
      </c>
      <c r="Y138" s="91">
        <f t="shared" si="794"/>
        <v>181.268</v>
      </c>
      <c r="Z138" s="91">
        <f t="shared" si="794"/>
        <v>191.31200000000001</v>
      </c>
      <c r="AA138" s="91">
        <f t="shared" si="794"/>
        <v>202.91799999999995</v>
      </c>
      <c r="AB138" s="90">
        <f t="shared" si="794"/>
        <v>188.10599999999999</v>
      </c>
      <c r="AC138" s="91">
        <f t="shared" si="794"/>
        <v>159.505</v>
      </c>
      <c r="AD138" s="91">
        <f t="shared" si="794"/>
        <v>168.14400000000001</v>
      </c>
      <c r="AE138" s="91">
        <f t="shared" si="794"/>
        <v>193.01900000000006</v>
      </c>
      <c r="AF138" s="90">
        <f t="shared" si="794"/>
        <v>201.10399999999998</v>
      </c>
      <c r="AG138" s="91">
        <f t="shared" si="794"/>
        <v>198.24600000000001</v>
      </c>
      <c r="AH138" s="91">
        <f t="shared" si="794"/>
        <v>221.43700000000001</v>
      </c>
      <c r="AI138" s="91">
        <f t="shared" si="794"/>
        <v>246.22199999999989</v>
      </c>
      <c r="AJ138" s="90">
        <f t="shared" ref="AJ138:BO138" si="795">AJ14+AJ31+AJ42</f>
        <v>256.17599999999999</v>
      </c>
      <c r="AK138" s="91">
        <f t="shared" si="795"/>
        <v>255.71299999999999</v>
      </c>
      <c r="AL138" s="91">
        <f t="shared" si="795"/>
        <v>278.36799999999999</v>
      </c>
      <c r="AM138" s="92">
        <f t="shared" si="795"/>
        <v>314.23599999999999</v>
      </c>
      <c r="AN138" s="91">
        <f t="shared" si="795"/>
        <v>311.74</v>
      </c>
      <c r="AO138" s="91">
        <f t="shared" si="795"/>
        <v>305.64100000000002</v>
      </c>
      <c r="AP138" s="91">
        <f t="shared" si="795"/>
        <v>317.24900000000002</v>
      </c>
      <c r="AQ138" s="92">
        <f t="shared" si="795"/>
        <v>337.82100000000003</v>
      </c>
      <c r="AR138" s="90">
        <f t="shared" si="795"/>
        <v>357.34</v>
      </c>
      <c r="AS138" s="91">
        <f t="shared" si="795"/>
        <v>344.5</v>
      </c>
      <c r="AT138" s="91">
        <f t="shared" si="795"/>
        <v>344.8</v>
      </c>
      <c r="AU138" s="92">
        <f t="shared" si="795"/>
        <v>364.8</v>
      </c>
      <c r="AV138" s="90">
        <f t="shared" si="795"/>
        <v>382.7</v>
      </c>
      <c r="AW138" s="91">
        <f t="shared" si="795"/>
        <v>372.1</v>
      </c>
      <c r="AX138" s="91">
        <f t="shared" si="795"/>
        <v>432.8</v>
      </c>
      <c r="AY138" s="92">
        <f t="shared" si="795"/>
        <v>512.4</v>
      </c>
      <c r="AZ138" s="90">
        <f t="shared" si="795"/>
        <v>548.9</v>
      </c>
      <c r="BA138" s="91">
        <f t="shared" si="795"/>
        <v>532.79999999999995</v>
      </c>
      <c r="BB138" s="91">
        <f t="shared" si="795"/>
        <v>542.29999999999995</v>
      </c>
      <c r="BC138" s="92">
        <f t="shared" si="795"/>
        <v>574.4</v>
      </c>
      <c r="BD138" s="90">
        <f t="shared" si="795"/>
        <v>587.90000000000009</v>
      </c>
      <c r="BE138" s="91">
        <f t="shared" si="795"/>
        <v>508.5</v>
      </c>
      <c r="BF138" s="91">
        <f>BF14+BF31+BF42</f>
        <v>498.19999999999993</v>
      </c>
      <c r="BG138" s="92">
        <f>BG14+BG31+BG42</f>
        <v>537.5</v>
      </c>
      <c r="BH138" s="90">
        <f>BH14+BH31+BH42</f>
        <v>583.29999999999995</v>
      </c>
      <c r="BI138" s="91">
        <f>BI14+BI31+BI42</f>
        <v>563.5</v>
      </c>
      <c r="BJ138" s="91">
        <f t="shared" si="795"/>
        <v>588.70000000000005</v>
      </c>
      <c r="BK138" s="92">
        <f>BK14+BK31+BK42</f>
        <v>633.9</v>
      </c>
      <c r="BL138" s="90">
        <f>BL14+BL31+BL42</f>
        <v>664.4</v>
      </c>
      <c r="BM138" s="91">
        <f t="shared" si="795"/>
        <v>601.29566086</v>
      </c>
      <c r="BN138" s="91">
        <f t="shared" si="795"/>
        <v>579.99385823543037</v>
      </c>
      <c r="BO138" s="92">
        <f t="shared" si="795"/>
        <v>669.53332977790649</v>
      </c>
      <c r="BP138" s="90">
        <f t="shared" ref="BP138:BW138" si="796">BP14+BP31+BP42</f>
        <v>693.51173639160857</v>
      </c>
      <c r="BQ138" s="91">
        <f t="shared" si="796"/>
        <v>640.30305869978156</v>
      </c>
      <c r="BR138" s="91">
        <f t="shared" si="796"/>
        <v>639.94637564376387</v>
      </c>
      <c r="BS138" s="92">
        <f t="shared" si="796"/>
        <v>682.68548056858276</v>
      </c>
      <c r="BT138" s="90">
        <f t="shared" si="796"/>
        <v>708.19066295849404</v>
      </c>
      <c r="BU138" s="91">
        <f t="shared" si="796"/>
        <v>674.3410034361558</v>
      </c>
      <c r="BV138" s="91">
        <f t="shared" si="796"/>
        <v>681.80253726279568</v>
      </c>
      <c r="BW138" s="92">
        <f t="shared" si="796"/>
        <v>732.33127246714605</v>
      </c>
      <c r="BX138" s="58"/>
      <c r="BY138" s="90">
        <f t="shared" ref="BY138:CN138" si="797">BY14+BY31+BY42</f>
        <v>612.44900000000007</v>
      </c>
      <c r="BZ138" s="91">
        <f t="shared" si="797"/>
        <v>720.9620000000001</v>
      </c>
      <c r="CA138" s="91">
        <f t="shared" si="797"/>
        <v>739.88399999999979</v>
      </c>
      <c r="CB138" s="91">
        <f t="shared" si="797"/>
        <v>810.97829999999999</v>
      </c>
      <c r="CC138" s="91">
        <f t="shared" si="797"/>
        <v>675.38400000000001</v>
      </c>
      <c r="CD138" s="91">
        <f t="shared" si="797"/>
        <v>763.07400000000007</v>
      </c>
      <c r="CE138" s="91">
        <f t="shared" si="797"/>
        <v>708.77400000000011</v>
      </c>
      <c r="CF138" s="91">
        <f t="shared" si="797"/>
        <v>867.0089999999999</v>
      </c>
      <c r="CG138" s="91">
        <f t="shared" si="797"/>
        <v>1104.4929999999999</v>
      </c>
      <c r="CH138" s="91">
        <f t="shared" si="797"/>
        <v>1272.451</v>
      </c>
      <c r="CI138" s="92">
        <f t="shared" si="797"/>
        <v>1411.44</v>
      </c>
      <c r="CJ138" s="91">
        <f t="shared" si="797"/>
        <v>1700</v>
      </c>
      <c r="CK138" s="91">
        <f t="shared" si="797"/>
        <v>2198.4</v>
      </c>
      <c r="CL138" s="91">
        <f t="shared" si="797"/>
        <v>2132.1</v>
      </c>
      <c r="CM138" s="91">
        <f t="shared" si="797"/>
        <v>2369.4</v>
      </c>
      <c r="CN138" s="91">
        <f t="shared" si="797"/>
        <v>2515.2228488733372</v>
      </c>
      <c r="CO138" s="91">
        <f>CO14+CO31+CO42</f>
        <v>2656.4466513037369</v>
      </c>
      <c r="CP138" s="91">
        <f>CP14+CP31+CP42</f>
        <v>2796.6654761245914</v>
      </c>
      <c r="CQ138" s="56"/>
      <c r="CR138" s="90">
        <f t="shared" ref="CR138:DD138" si="798">CR14+CR31+CR42</f>
        <v>732.6909999999998</v>
      </c>
      <c r="CS138" s="91">
        <f t="shared" si="798"/>
        <v>796.8472999999999</v>
      </c>
      <c r="CT138" s="91">
        <f t="shared" si="798"/>
        <v>687.80600000000004</v>
      </c>
      <c r="CU138" s="91">
        <f t="shared" si="798"/>
        <v>763.60400000000004</v>
      </c>
      <c r="CV138" s="91">
        <f t="shared" si="798"/>
        <v>721.77200000000005</v>
      </c>
      <c r="CW138" s="91">
        <f t="shared" si="798"/>
        <v>922.0809999999999</v>
      </c>
      <c r="CX138" s="91">
        <f t="shared" si="798"/>
        <v>1160.0569999999998</v>
      </c>
      <c r="CY138" s="91">
        <f t="shared" si="798"/>
        <v>1318.0510000000002</v>
      </c>
      <c r="CZ138" s="92">
        <f t="shared" si="798"/>
        <v>1436.8</v>
      </c>
      <c r="DA138" s="90">
        <f t="shared" si="798"/>
        <v>1866.2</v>
      </c>
      <c r="DB138" s="91">
        <f t="shared" si="798"/>
        <v>2237.4</v>
      </c>
      <c r="DC138" s="91">
        <f t="shared" si="798"/>
        <v>2127.5</v>
      </c>
      <c r="DD138" s="91">
        <f t="shared" si="798"/>
        <v>2450.5</v>
      </c>
      <c r="DE138" s="91">
        <f>DE14+DE31+DE42</f>
        <v>2544.3345852649454</v>
      </c>
      <c r="DF138" s="92">
        <f>DF14+DF31+DF42</f>
        <v>2671.1255778706218</v>
      </c>
      <c r="DG138" s="3"/>
      <c r="DH138" s="3"/>
      <c r="DI138" s="3"/>
      <c r="DJ138" s="3"/>
      <c r="DK138"/>
      <c r="DL138"/>
      <c r="DM138"/>
      <c r="DN138"/>
      <c r="DO138"/>
      <c r="DP138"/>
      <c r="DQ138" s="3"/>
      <c r="DR138" s="3"/>
    </row>
    <row r="139" spans="1:122" s="3" customFormat="1" ht="14.25">
      <c r="B139" s="6"/>
      <c r="C139" s="6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7"/>
      <c r="CC139" s="57"/>
      <c r="CD139" s="57"/>
      <c r="CE139" s="57"/>
      <c r="CF139" s="57"/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7"/>
      <c r="DH139" s="7"/>
      <c r="DI139" s="7"/>
      <c r="DJ139" s="7"/>
      <c r="DK139"/>
      <c r="DL139"/>
      <c r="DM139"/>
      <c r="DN139"/>
      <c r="DO139"/>
      <c r="DP139"/>
      <c r="DQ139" s="7"/>
      <c r="DR139" s="7"/>
    </row>
    <row r="140" spans="1:122" s="3" customFormat="1" ht="14.25">
      <c r="B140" s="6"/>
      <c r="C140" s="6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7"/>
      <c r="DH140" s="7"/>
      <c r="DI140" s="7"/>
      <c r="DJ140" s="7"/>
      <c r="DK140"/>
      <c r="DL140"/>
      <c r="DM140"/>
      <c r="DN140"/>
      <c r="DO140"/>
      <c r="DP140"/>
      <c r="DQ140" s="7"/>
      <c r="DR140" s="7"/>
    </row>
    <row r="141" spans="1:122" s="3" customFormat="1" ht="15">
      <c r="B141" s="784" t="s">
        <v>472</v>
      </c>
      <c r="C141" s="785"/>
      <c r="D141" s="786"/>
      <c r="E141" s="786"/>
      <c r="F141" s="786"/>
      <c r="G141" s="787"/>
      <c r="H141" s="786"/>
      <c r="I141" s="786"/>
      <c r="J141" s="786"/>
      <c r="K141" s="787"/>
      <c r="L141" s="786"/>
      <c r="M141" s="786"/>
      <c r="N141" s="786"/>
      <c r="O141" s="787"/>
      <c r="P141" s="786"/>
      <c r="Q141" s="786"/>
      <c r="R141" s="786"/>
      <c r="S141" s="786"/>
      <c r="T141" s="786"/>
      <c r="U141" s="786"/>
      <c r="V141" s="786"/>
      <c r="W141" s="786"/>
      <c r="X141" s="786"/>
      <c r="Y141" s="786"/>
      <c r="Z141" s="786"/>
      <c r="AA141" s="786"/>
      <c r="AB141" s="786"/>
      <c r="AC141" s="786"/>
      <c r="AD141" s="786"/>
      <c r="AE141" s="786"/>
      <c r="AF141" s="786"/>
      <c r="AG141" s="786"/>
      <c r="AH141" s="786"/>
      <c r="AI141" s="786"/>
      <c r="AJ141" s="786"/>
      <c r="AK141" s="786"/>
      <c r="AL141" s="786"/>
      <c r="AM141" s="786"/>
      <c r="AN141" s="786"/>
      <c r="AO141" s="786"/>
      <c r="AP141" s="786"/>
      <c r="AQ141" s="786"/>
      <c r="AR141" s="786"/>
      <c r="AS141" s="786"/>
      <c r="AT141" s="786"/>
      <c r="AU141" s="786"/>
      <c r="AV141" s="786"/>
      <c r="AW141" s="786"/>
      <c r="AX141" s="786"/>
      <c r="AY141" s="786"/>
      <c r="AZ141" s="786"/>
      <c r="BA141" s="786"/>
      <c r="BB141" s="786"/>
      <c r="BC141" s="786"/>
      <c r="BD141" s="786"/>
      <c r="BE141" s="786"/>
      <c r="BF141" s="786"/>
      <c r="BG141" s="786"/>
      <c r="BH141" s="786"/>
      <c r="BI141" s="786"/>
      <c r="BJ141" s="786"/>
      <c r="BK141" s="786"/>
      <c r="BL141" s="786"/>
      <c r="BM141" s="786"/>
      <c r="BN141" s="786"/>
      <c r="BO141" s="787"/>
      <c r="BP141" s="786"/>
      <c r="BQ141" s="786"/>
      <c r="BR141" s="786"/>
      <c r="BS141" s="787"/>
      <c r="BT141" s="786"/>
      <c r="BU141" s="786"/>
      <c r="BV141" s="786"/>
      <c r="BW141" s="787"/>
      <c r="BX141" s="108"/>
      <c r="BY141" s="792"/>
      <c r="BZ141" s="786"/>
      <c r="CA141" s="786"/>
      <c r="CB141" s="786"/>
      <c r="CC141" s="786"/>
      <c r="CD141" s="786"/>
      <c r="CE141" s="786"/>
      <c r="CF141" s="786"/>
      <c r="CG141" s="786"/>
      <c r="CH141" s="786"/>
      <c r="CI141" s="786"/>
      <c r="CJ141" s="786"/>
      <c r="CK141" s="786"/>
      <c r="CL141" s="786"/>
      <c r="CM141" s="786"/>
      <c r="CN141" s="786"/>
      <c r="CO141" s="786"/>
      <c r="CP141" s="786"/>
      <c r="CQ141" s="108"/>
      <c r="CR141" s="792"/>
      <c r="CS141" s="786"/>
      <c r="CT141" s="786"/>
      <c r="CU141" s="786"/>
      <c r="CV141" s="786"/>
      <c r="CW141" s="786"/>
      <c r="CX141" s="786"/>
      <c r="CY141" s="786"/>
      <c r="CZ141" s="787"/>
      <c r="DA141" s="786"/>
      <c r="DB141" s="786"/>
      <c r="DC141" s="786"/>
      <c r="DD141" s="786"/>
      <c r="DE141" s="786"/>
      <c r="DF141" s="787"/>
      <c r="DG141" s="7"/>
      <c r="DH141" s="7"/>
      <c r="DI141" s="7"/>
      <c r="DJ141" s="7"/>
      <c r="DK141"/>
      <c r="DL141"/>
      <c r="DM141"/>
      <c r="DN141"/>
      <c r="DO141"/>
      <c r="DP141"/>
      <c r="DQ141" s="7"/>
      <c r="DR141" s="7"/>
    </row>
    <row r="142" spans="1:122" s="7" customFormat="1" ht="15">
      <c r="A142" s="505"/>
      <c r="B142" s="774" t="s">
        <v>473</v>
      </c>
      <c r="C142" s="775"/>
      <c r="D142" s="769">
        <f>SUM(D143:D144)</f>
        <v>12.826999999999995</v>
      </c>
      <c r="E142" s="769">
        <f t="shared" ref="E142:BO142" si="799">SUM(E143:E144)</f>
        <v>16.572000000000003</v>
      </c>
      <c r="F142" s="769">
        <f t="shared" si="799"/>
        <v>9.4820000000000206</v>
      </c>
      <c r="G142" s="776">
        <f t="shared" si="799"/>
        <v>3.3229999999999968</v>
      </c>
      <c r="H142" s="769">
        <f t="shared" si="799"/>
        <v>19.766999999999996</v>
      </c>
      <c r="I142" s="769">
        <f t="shared" si="799"/>
        <v>21.551000000000013</v>
      </c>
      <c r="J142" s="769">
        <f t="shared" si="799"/>
        <v>27.571000000000009</v>
      </c>
      <c r="K142" s="776">
        <f t="shared" si="799"/>
        <v>30.974999999999945</v>
      </c>
      <c r="L142" s="769">
        <f t="shared" si="799"/>
        <v>33.124000000000002</v>
      </c>
      <c r="M142" s="769">
        <f t="shared" si="799"/>
        <v>-65.702000000000012</v>
      </c>
      <c r="N142" s="769">
        <f t="shared" si="799"/>
        <v>21.346000000000014</v>
      </c>
      <c r="O142" s="776">
        <f t="shared" si="799"/>
        <v>103.14699999999999</v>
      </c>
      <c r="P142" s="769">
        <f t="shared" si="799"/>
        <v>23.010999999999989</v>
      </c>
      <c r="Q142" s="769">
        <f t="shared" si="799"/>
        <v>15.956000000000005</v>
      </c>
      <c r="R142" s="769">
        <f t="shared" si="799"/>
        <v>19.773000000000003</v>
      </c>
      <c r="S142" s="776">
        <f t="shared" si="799"/>
        <v>21.695700000000009</v>
      </c>
      <c r="T142" s="769">
        <f t="shared" si="799"/>
        <v>32.404000000000003</v>
      </c>
      <c r="U142" s="769">
        <f t="shared" si="799"/>
        <v>26.942</v>
      </c>
      <c r="V142" s="769">
        <f t="shared" si="799"/>
        <v>26.996000000000002</v>
      </c>
      <c r="W142" s="776">
        <f t="shared" si="799"/>
        <v>33.134999999999906</v>
      </c>
      <c r="X142" s="769">
        <f t="shared" si="799"/>
        <v>39.49499999999999</v>
      </c>
      <c r="Y142" s="769">
        <f t="shared" si="799"/>
        <v>36.994000000000007</v>
      </c>
      <c r="Z142" s="769">
        <f t="shared" si="799"/>
        <v>41.781000000000006</v>
      </c>
      <c r="AA142" s="776">
        <f t="shared" si="799"/>
        <v>47.310000000000102</v>
      </c>
      <c r="AB142" s="769">
        <f t="shared" si="799"/>
        <v>39.836000000000013</v>
      </c>
      <c r="AC142" s="769">
        <f t="shared" si="799"/>
        <v>32.824000000000012</v>
      </c>
      <c r="AD142" s="769">
        <f t="shared" si="799"/>
        <v>39.753</v>
      </c>
      <c r="AE142" s="776">
        <f t="shared" si="799"/>
        <v>52.935999999999964</v>
      </c>
      <c r="AF142" s="769">
        <f t="shared" si="799"/>
        <v>63.160999999999994</v>
      </c>
      <c r="AG142" s="769">
        <f t="shared" si="799"/>
        <v>60.08499999999998</v>
      </c>
      <c r="AH142" s="769">
        <f t="shared" si="799"/>
        <v>75.445999999999984</v>
      </c>
      <c r="AI142" s="776">
        <f t="shared" si="799"/>
        <v>94.215000000000018</v>
      </c>
      <c r="AJ142" s="769">
        <f t="shared" si="799"/>
        <v>106.42400000000001</v>
      </c>
      <c r="AK142" s="769">
        <f t="shared" si="799"/>
        <v>99.150999999999996</v>
      </c>
      <c r="AL142" s="769">
        <f t="shared" si="799"/>
        <v>112.78799999999998</v>
      </c>
      <c r="AM142" s="776">
        <f t="shared" si="799"/>
        <v>126.04999999999998</v>
      </c>
      <c r="AN142" s="769">
        <f t="shared" si="799"/>
        <v>122.45000000000002</v>
      </c>
      <c r="AO142" s="769">
        <f t="shared" si="799"/>
        <v>101.54233072011124</v>
      </c>
      <c r="AP142" s="769">
        <f t="shared" si="799"/>
        <v>108.857</v>
      </c>
      <c r="AQ142" s="776">
        <f t="shared" si="799"/>
        <v>121.044</v>
      </c>
      <c r="AR142" s="769">
        <f t="shared" si="799"/>
        <v>133.29500000000002</v>
      </c>
      <c r="AS142" s="769">
        <f t="shared" si="799"/>
        <v>118.18199999999997</v>
      </c>
      <c r="AT142" s="769">
        <f t="shared" si="799"/>
        <v>130.30000000000001</v>
      </c>
      <c r="AU142" s="769">
        <f t="shared" si="799"/>
        <v>149.20000000000002</v>
      </c>
      <c r="AV142" s="781">
        <f t="shared" si="799"/>
        <v>162.6</v>
      </c>
      <c r="AW142" s="769">
        <f t="shared" si="799"/>
        <v>151.99999999999997</v>
      </c>
      <c r="AX142" s="769">
        <f t="shared" si="799"/>
        <v>203.19999999999996</v>
      </c>
      <c r="AY142" s="776">
        <f t="shared" si="799"/>
        <v>266.00000000000006</v>
      </c>
      <c r="AZ142" s="781">
        <f t="shared" si="799"/>
        <v>317.7</v>
      </c>
      <c r="BA142" s="769">
        <f t="shared" si="799"/>
        <v>297.70000000000005</v>
      </c>
      <c r="BB142" s="769">
        <f t="shared" si="799"/>
        <v>337.30000000000007</v>
      </c>
      <c r="BC142" s="776">
        <f t="shared" si="799"/>
        <v>381.09999999999991</v>
      </c>
      <c r="BD142" s="781">
        <f t="shared" si="799"/>
        <v>418.09999999999997</v>
      </c>
      <c r="BE142" s="769">
        <f t="shared" si="799"/>
        <v>338.5</v>
      </c>
      <c r="BF142" s="769">
        <f>SUM(BF143:BF144)</f>
        <v>329.30000000000007</v>
      </c>
      <c r="BG142" s="776">
        <f>SUM(BG143:BG144)</f>
        <v>373.2</v>
      </c>
      <c r="BH142" s="781">
        <f>SUM(BH143:BH144)</f>
        <v>409.59999999999997</v>
      </c>
      <c r="BI142" s="769">
        <f>SUM(BI143:BI144)</f>
        <v>368.4</v>
      </c>
      <c r="BJ142" s="769">
        <f t="shared" si="799"/>
        <v>388.69999999999993</v>
      </c>
      <c r="BK142" s="776">
        <f>SUM(BK143:BK144)</f>
        <v>439.6</v>
      </c>
      <c r="BL142" s="781">
        <f t="shared" si="799"/>
        <v>477.60000000000014</v>
      </c>
      <c r="BM142" s="769">
        <f t="shared" si="799"/>
        <v>390.20062164000007</v>
      </c>
      <c r="BN142" s="769">
        <f t="shared" si="799"/>
        <v>379.6152854495698</v>
      </c>
      <c r="BO142" s="776">
        <f t="shared" si="799"/>
        <v>456.19041278335635</v>
      </c>
      <c r="BP142" s="781">
        <f t="shared" ref="BP142:BW142" si="800">SUM(BP143:BP144)</f>
        <v>477.78950853828161</v>
      </c>
      <c r="BQ142" s="769">
        <f t="shared" si="800"/>
        <v>437.32217028342956</v>
      </c>
      <c r="BR142" s="769">
        <f t="shared" si="800"/>
        <v>440.16964428040751</v>
      </c>
      <c r="BS142" s="776">
        <f t="shared" si="800"/>
        <v>473.62852571823072</v>
      </c>
      <c r="BT142" s="781">
        <f t="shared" si="800"/>
        <v>494.89255439315519</v>
      </c>
      <c r="BU142" s="769">
        <f t="shared" si="800"/>
        <v>471.63677422344045</v>
      </c>
      <c r="BV142" s="769">
        <f t="shared" si="800"/>
        <v>480.00522608160099</v>
      </c>
      <c r="BW142" s="776">
        <f t="shared" si="800"/>
        <v>517.32068433925463</v>
      </c>
      <c r="BX142" s="106"/>
      <c r="BY142" s="770">
        <f t="shared" ref="BY142:CN142" si="801">SUM(BY143:BY144)</f>
        <v>42.204000000000015</v>
      </c>
      <c r="BZ142" s="770">
        <f t="shared" si="801"/>
        <v>99.863999999999976</v>
      </c>
      <c r="CA142" s="770">
        <f t="shared" si="801"/>
        <v>91.914999999999992</v>
      </c>
      <c r="CB142" s="770">
        <f t="shared" si="801"/>
        <v>80.435699999999997</v>
      </c>
      <c r="CC142" s="770">
        <f t="shared" si="801"/>
        <v>119.47699999999992</v>
      </c>
      <c r="CD142" s="770">
        <f t="shared" si="801"/>
        <v>165.5800000000001</v>
      </c>
      <c r="CE142" s="770">
        <f t="shared" si="801"/>
        <v>165.34899999999999</v>
      </c>
      <c r="CF142" s="770">
        <f t="shared" si="801"/>
        <v>292.90699999999998</v>
      </c>
      <c r="CG142" s="770">
        <f t="shared" si="801"/>
        <v>444.41299999999995</v>
      </c>
      <c r="CH142" s="770">
        <f t="shared" si="801"/>
        <v>453.89333072011129</v>
      </c>
      <c r="CI142" s="776">
        <f t="shared" si="801"/>
        <v>530.97699999999998</v>
      </c>
      <c r="CJ142" s="770">
        <f t="shared" si="801"/>
        <v>783.8</v>
      </c>
      <c r="CK142" s="770">
        <f t="shared" si="801"/>
        <v>1333.8</v>
      </c>
      <c r="CL142" s="770">
        <f t="shared" si="801"/>
        <v>1459.1</v>
      </c>
      <c r="CM142" s="770">
        <f t="shared" si="801"/>
        <v>1606.3</v>
      </c>
      <c r="CN142" s="770">
        <f t="shared" si="801"/>
        <v>1703.6063198729264</v>
      </c>
      <c r="CO142" s="770">
        <f>SUM(CO143:CO144)</f>
        <v>1828.9098488203492</v>
      </c>
      <c r="CP142" s="770">
        <f>SUM(CP143:CP144)</f>
        <v>1963.8552390374512</v>
      </c>
      <c r="CQ142" s="844"/>
      <c r="CR142" s="770">
        <f t="shared" ref="CR142:DD142" si="802">SUM(CR143:CR144)</f>
        <v>81.801999999999978</v>
      </c>
      <c r="CS142" s="770">
        <f t="shared" si="802"/>
        <v>89.828700000000026</v>
      </c>
      <c r="CT142" s="770">
        <f t="shared" si="802"/>
        <v>126.56799999999991</v>
      </c>
      <c r="CU142" s="770">
        <f t="shared" si="802"/>
        <v>165.92100000000011</v>
      </c>
      <c r="CV142" s="770">
        <f t="shared" si="802"/>
        <v>188.67399999999998</v>
      </c>
      <c r="CW142" s="770">
        <f t="shared" si="802"/>
        <v>336.16999999999996</v>
      </c>
      <c r="CX142" s="770">
        <f t="shared" si="802"/>
        <v>460.43900000000002</v>
      </c>
      <c r="CY142" s="770">
        <f t="shared" si="802"/>
        <v>464.73833072011121</v>
      </c>
      <c r="CZ142" s="776">
        <f t="shared" si="802"/>
        <v>560.28199999999993</v>
      </c>
      <c r="DA142" s="770">
        <f t="shared" si="802"/>
        <v>938.90000000000009</v>
      </c>
      <c r="DB142" s="770">
        <f t="shared" si="802"/>
        <v>1434.1999999999998</v>
      </c>
      <c r="DC142" s="770">
        <f t="shared" si="802"/>
        <v>1450.6000000000001</v>
      </c>
      <c r="DD142" s="769">
        <f t="shared" si="802"/>
        <v>1674.3000000000002</v>
      </c>
      <c r="DE142" s="769">
        <f>SUM(DE143:DE144)</f>
        <v>1703.7958284112078</v>
      </c>
      <c r="DF142" s="776">
        <f>SUM(DF143:DF144)</f>
        <v>1846.0128946752229</v>
      </c>
      <c r="DK142"/>
      <c r="DL142"/>
      <c r="DM142"/>
      <c r="DN142"/>
      <c r="DO142"/>
      <c r="DP142"/>
    </row>
    <row r="143" spans="1:122" s="7" customFormat="1" ht="14.25">
      <c r="A143" s="505"/>
      <c r="B143" s="14" t="s">
        <v>471</v>
      </c>
      <c r="C143" s="6"/>
      <c r="D143" s="770">
        <f>D68</f>
        <v>3.7189999999999941</v>
      </c>
      <c r="E143" s="770">
        <f t="shared" ref="E143:BO143" si="803">E68</f>
        <v>7.3190000000000026</v>
      </c>
      <c r="F143" s="770">
        <f t="shared" si="803"/>
        <v>0.23500000000002075</v>
      </c>
      <c r="G143" s="771">
        <f t="shared" si="803"/>
        <v>-6.0100000000000051</v>
      </c>
      <c r="H143" s="770">
        <f t="shared" si="803"/>
        <v>11.141999999999996</v>
      </c>
      <c r="I143" s="770">
        <f t="shared" si="803"/>
        <v>13.132000000000012</v>
      </c>
      <c r="J143" s="770">
        <f t="shared" si="803"/>
        <v>18.579000000000008</v>
      </c>
      <c r="K143" s="771">
        <f t="shared" si="803"/>
        <v>21.181999999999945</v>
      </c>
      <c r="L143" s="770">
        <f t="shared" si="803"/>
        <v>23.682000000000002</v>
      </c>
      <c r="M143" s="770">
        <f t="shared" si="803"/>
        <v>-75.169000000000011</v>
      </c>
      <c r="N143" s="770">
        <f t="shared" si="803"/>
        <v>12.306000000000012</v>
      </c>
      <c r="O143" s="771">
        <f t="shared" si="803"/>
        <v>93.818999999999988</v>
      </c>
      <c r="P143" s="770">
        <f t="shared" si="803"/>
        <v>13.86699999999999</v>
      </c>
      <c r="Q143" s="770">
        <f t="shared" si="803"/>
        <v>6.6710000000000065</v>
      </c>
      <c r="R143" s="770">
        <f t="shared" si="803"/>
        <v>10.064999999999998</v>
      </c>
      <c r="S143" s="771">
        <f t="shared" si="803"/>
        <v>11.615700000000011</v>
      </c>
      <c r="T143" s="770">
        <f t="shared" si="803"/>
        <v>22.902000000000001</v>
      </c>
      <c r="U143" s="770">
        <f t="shared" si="803"/>
        <v>17.614000000000004</v>
      </c>
      <c r="V143" s="770">
        <f t="shared" si="803"/>
        <v>16.997</v>
      </c>
      <c r="W143" s="771">
        <f t="shared" si="803"/>
        <v>22.726999999999904</v>
      </c>
      <c r="X143" s="770">
        <f t="shared" si="803"/>
        <v>28.578999999999994</v>
      </c>
      <c r="Y143" s="770">
        <f t="shared" si="803"/>
        <v>25.917000000000009</v>
      </c>
      <c r="Z143" s="770">
        <f t="shared" si="803"/>
        <v>30.340000000000003</v>
      </c>
      <c r="AA143" s="771">
        <f t="shared" si="803"/>
        <v>36.032000000000096</v>
      </c>
      <c r="AB143" s="770">
        <f t="shared" si="803"/>
        <v>28.625000000000014</v>
      </c>
      <c r="AC143" s="770">
        <f t="shared" si="803"/>
        <v>21.220000000000013</v>
      </c>
      <c r="AD143" s="770">
        <f t="shared" si="803"/>
        <v>28.576999999999998</v>
      </c>
      <c r="AE143" s="771">
        <f t="shared" si="803"/>
        <v>42.513999999999967</v>
      </c>
      <c r="AF143" s="770">
        <f t="shared" si="803"/>
        <v>52.290999999999997</v>
      </c>
      <c r="AG143" s="770">
        <f t="shared" si="803"/>
        <v>48.704999999999977</v>
      </c>
      <c r="AH143" s="770">
        <f t="shared" si="803"/>
        <v>63.540999999999983</v>
      </c>
      <c r="AI143" s="771">
        <f t="shared" si="803"/>
        <v>81.797000000000025</v>
      </c>
      <c r="AJ143" s="770">
        <f t="shared" si="803"/>
        <v>92.835000000000008</v>
      </c>
      <c r="AK143" s="770">
        <f t="shared" si="803"/>
        <v>84.85799999999999</v>
      </c>
      <c r="AL143" s="770">
        <f t="shared" si="803"/>
        <v>97.549999999999983</v>
      </c>
      <c r="AM143" s="771">
        <f t="shared" si="803"/>
        <v>109.38199999999999</v>
      </c>
      <c r="AN143" s="770">
        <f t="shared" si="803"/>
        <v>105.17600000000002</v>
      </c>
      <c r="AO143" s="770">
        <f t="shared" si="803"/>
        <v>83.856330720111245</v>
      </c>
      <c r="AP143" s="770">
        <f t="shared" si="803"/>
        <v>91.722000000000008</v>
      </c>
      <c r="AQ143" s="771">
        <f t="shared" si="803"/>
        <v>103.59399999999999</v>
      </c>
      <c r="AR143" s="770">
        <f t="shared" si="803"/>
        <v>114.77700000000002</v>
      </c>
      <c r="AS143" s="770">
        <f t="shared" si="803"/>
        <v>99.699999999999974</v>
      </c>
      <c r="AT143" s="770">
        <f t="shared" si="803"/>
        <v>111.90000000000002</v>
      </c>
      <c r="AU143" s="770">
        <f t="shared" si="803"/>
        <v>130.30000000000001</v>
      </c>
      <c r="AV143" s="772">
        <f t="shared" si="803"/>
        <v>141.79999999999998</v>
      </c>
      <c r="AW143" s="770">
        <f t="shared" si="803"/>
        <v>130.39999999999998</v>
      </c>
      <c r="AX143" s="770">
        <f t="shared" si="803"/>
        <v>179.09999999999997</v>
      </c>
      <c r="AY143" s="771">
        <f t="shared" si="803"/>
        <v>235.70000000000007</v>
      </c>
      <c r="AZ143" s="772">
        <f t="shared" si="803"/>
        <v>282</v>
      </c>
      <c r="BA143" s="770">
        <f t="shared" si="803"/>
        <v>258.90000000000003</v>
      </c>
      <c r="BB143" s="770">
        <f t="shared" si="803"/>
        <v>295.40000000000003</v>
      </c>
      <c r="BC143" s="771">
        <f t="shared" si="803"/>
        <v>335.19999999999987</v>
      </c>
      <c r="BD143" s="772">
        <f t="shared" si="803"/>
        <v>366.59999999999997</v>
      </c>
      <c r="BE143" s="770">
        <f t="shared" si="803"/>
        <v>285</v>
      </c>
      <c r="BF143" s="770">
        <f>BF68</f>
        <v>274.70000000000005</v>
      </c>
      <c r="BG143" s="771">
        <f>BG68</f>
        <v>318.39999999999998</v>
      </c>
      <c r="BH143" s="772">
        <f>BH68</f>
        <v>354.29999999999995</v>
      </c>
      <c r="BI143" s="770">
        <f>BI68</f>
        <v>312.5</v>
      </c>
      <c r="BJ143" s="770">
        <f t="shared" si="803"/>
        <v>333.09999999999991</v>
      </c>
      <c r="BK143" s="771">
        <f>BK68</f>
        <v>379.20000000000005</v>
      </c>
      <c r="BL143" s="772">
        <f t="shared" si="803"/>
        <v>414.00000000000011</v>
      </c>
      <c r="BM143" s="770">
        <f t="shared" si="803"/>
        <v>326.91862164000008</v>
      </c>
      <c r="BN143" s="770">
        <f t="shared" si="803"/>
        <v>313.62514260206979</v>
      </c>
      <c r="BO143" s="771">
        <f t="shared" si="803"/>
        <v>387.59591293334381</v>
      </c>
      <c r="BP143" s="772">
        <f t="shared" ref="BP143:BW143" si="804">BP68</f>
        <v>406.10012096013537</v>
      </c>
      <c r="BQ143" s="770">
        <f t="shared" si="804"/>
        <v>363.21603102624186</v>
      </c>
      <c r="BR143" s="770">
        <f t="shared" si="804"/>
        <v>363.86296207133626</v>
      </c>
      <c r="BS143" s="771">
        <f t="shared" si="804"/>
        <v>395.1206474993005</v>
      </c>
      <c r="BT143" s="772">
        <f t="shared" si="804"/>
        <v>414.01698738607223</v>
      </c>
      <c r="BU143" s="770">
        <f t="shared" si="804"/>
        <v>388.29361500308221</v>
      </c>
      <c r="BV143" s="770">
        <f t="shared" si="804"/>
        <v>394.32851396975445</v>
      </c>
      <c r="BW143" s="771">
        <f t="shared" si="804"/>
        <v>429.28005236213482</v>
      </c>
      <c r="BX143" s="106"/>
      <c r="BY143" s="770">
        <f>SUM(D143:G143)</f>
        <v>5.2630000000000123</v>
      </c>
      <c r="BZ143" s="770">
        <f>SUM(H143:K143)</f>
        <v>64.034999999999968</v>
      </c>
      <c r="CA143" s="770">
        <f>SUM(L143:O143)</f>
        <v>54.637999999999991</v>
      </c>
      <c r="CB143" s="770">
        <f>SUM(P143:S143)</f>
        <v>42.218700000000005</v>
      </c>
      <c r="CC143" s="770">
        <f>SUM(T143:W143)</f>
        <v>80.23999999999991</v>
      </c>
      <c r="CD143" s="770">
        <f>SUM(X143:AA143)</f>
        <v>120.86800000000011</v>
      </c>
      <c r="CE143" s="770">
        <f>SUM(AB143:AE143)</f>
        <v>120.93599999999999</v>
      </c>
      <c r="CF143" s="770">
        <f>SUM(AF143:AI143)</f>
        <v>246.334</v>
      </c>
      <c r="CG143" s="770">
        <f>SUM(AJ143:AM143)</f>
        <v>384.62499999999994</v>
      </c>
      <c r="CH143" s="770">
        <f>SUM(AN143:AQ143)</f>
        <v>384.34833072011128</v>
      </c>
      <c r="CI143" s="771">
        <f>SUM(AR143:AU143)</f>
        <v>456.67700000000002</v>
      </c>
      <c r="CJ143" s="770">
        <f>SUM(AV143:AY143)</f>
        <v>687</v>
      </c>
      <c r="CK143" s="770">
        <f>SUM(AZ143:BC143)</f>
        <v>1171.5</v>
      </c>
      <c r="CL143" s="770">
        <f>SUM(BD143:BG143)</f>
        <v>1244.6999999999998</v>
      </c>
      <c r="CM143" s="770">
        <f>SUM(BH143:BK143)</f>
        <v>1379.1</v>
      </c>
      <c r="CN143" s="770">
        <f>SUM(BL143:BO143)</f>
        <v>1442.1396771754139</v>
      </c>
      <c r="CO143" s="770">
        <f>SUM(BP143:BS143)</f>
        <v>1528.2997615570139</v>
      </c>
      <c r="CP143" s="770">
        <f>SUM(BT143:BW143)</f>
        <v>1625.9191687210437</v>
      </c>
      <c r="CQ143" s="844"/>
      <c r="CR143" s="773">
        <f>SUM(M143:P143)</f>
        <v>44.822999999999979</v>
      </c>
      <c r="CS143" s="773">
        <f>SUM(Q143:T143)</f>
        <v>51.253700000000016</v>
      </c>
      <c r="CT143" s="773">
        <f>SUM(U143:X143)</f>
        <v>85.916999999999902</v>
      </c>
      <c r="CU143" s="773">
        <f>SUM(Y143:AB143)</f>
        <v>120.91400000000012</v>
      </c>
      <c r="CV143" s="773">
        <f>SUM(AC143:AF143)</f>
        <v>144.60199999999998</v>
      </c>
      <c r="CW143" s="773">
        <f>SUM(AG143:AJ143)</f>
        <v>286.87799999999999</v>
      </c>
      <c r="CX143" s="773">
        <f>SUM(AK143:AN143)</f>
        <v>396.96600000000001</v>
      </c>
      <c r="CY143" s="773">
        <f>SUM(AO143:AR143)</f>
        <v>393.94933072011122</v>
      </c>
      <c r="CZ143" s="777">
        <f>SUM(AS143:AV143)</f>
        <v>483.69999999999993</v>
      </c>
      <c r="DA143" s="773">
        <f>SUM(AW143:AZ143)</f>
        <v>827.2</v>
      </c>
      <c r="DB143" s="773">
        <f>SUM(BA143:BD143)</f>
        <v>1256.0999999999999</v>
      </c>
      <c r="DC143" s="773">
        <f>SUM(BE143:BH143)</f>
        <v>1232.4000000000001</v>
      </c>
      <c r="DD143" s="773">
        <f>SUM(BI143:BL143)</f>
        <v>1438.8000000000002</v>
      </c>
      <c r="DE143" s="773">
        <f>SUM(BM143:BP143)</f>
        <v>1434.2397981355491</v>
      </c>
      <c r="DF143" s="777">
        <f>SUM(BQ143:BT143)</f>
        <v>1536.216627982951</v>
      </c>
      <c r="DK143"/>
      <c r="DL143"/>
      <c r="DM143"/>
      <c r="DN143"/>
      <c r="DO143"/>
      <c r="DP143"/>
    </row>
    <row r="144" spans="1:122" s="3" customFormat="1" ht="14.25">
      <c r="A144" s="506"/>
      <c r="B144" s="14" t="s">
        <v>203</v>
      </c>
      <c r="C144" s="6"/>
      <c r="D144" s="770">
        <f>CFS!D11</f>
        <v>9.1080000000000005</v>
      </c>
      <c r="E144" s="770">
        <f>CFS!E11</f>
        <v>9.2530000000000001</v>
      </c>
      <c r="F144" s="770">
        <f>CFS!F11</f>
        <v>9.2469999999999999</v>
      </c>
      <c r="G144" s="771">
        <f>CFS!G11</f>
        <v>9.333000000000002</v>
      </c>
      <c r="H144" s="770">
        <f>CFS!H11</f>
        <v>8.625</v>
      </c>
      <c r="I144" s="770">
        <f>CFS!I11</f>
        <v>8.4190000000000005</v>
      </c>
      <c r="J144" s="770">
        <f>CFS!J11</f>
        <v>8.9920000000000009</v>
      </c>
      <c r="K144" s="771">
        <f>CFS!K11</f>
        <v>9.7929999999999993</v>
      </c>
      <c r="L144" s="770">
        <f>CFS!L11</f>
        <v>9.4420000000000002</v>
      </c>
      <c r="M144" s="770">
        <f>CFS!M11</f>
        <v>9.4669999999999987</v>
      </c>
      <c r="N144" s="770">
        <f>CFS!N11</f>
        <v>9.0400000000000027</v>
      </c>
      <c r="O144" s="771">
        <f>CFS!O11</f>
        <v>9.3279999999999994</v>
      </c>
      <c r="P144" s="770">
        <f>CFS!P11</f>
        <v>9.1440000000000001</v>
      </c>
      <c r="Q144" s="770">
        <f>CFS!Q11</f>
        <v>9.2849999999999984</v>
      </c>
      <c r="R144" s="770">
        <f>CFS!R11</f>
        <v>9.7080000000000037</v>
      </c>
      <c r="S144" s="771">
        <f>CFS!S11</f>
        <v>10.079999999999997</v>
      </c>
      <c r="T144" s="770">
        <f>CFS!T11</f>
        <v>9.5020000000000007</v>
      </c>
      <c r="U144" s="770">
        <f>CFS!U11</f>
        <v>9.3279999999999976</v>
      </c>
      <c r="V144" s="770">
        <f>CFS!V11</f>
        <v>9.9990000000000041</v>
      </c>
      <c r="W144" s="771">
        <f>CFS!W11</f>
        <v>10.408000000000003</v>
      </c>
      <c r="X144" s="770">
        <f>CFS!X11</f>
        <v>10.916</v>
      </c>
      <c r="Y144" s="770">
        <f>CFS!Y11</f>
        <v>11.076999999999998</v>
      </c>
      <c r="Z144" s="770">
        <f>CFS!Z11</f>
        <v>11.440999999999999</v>
      </c>
      <c r="AA144" s="771">
        <f>CFS!AA11</f>
        <v>11.278000000000002</v>
      </c>
      <c r="AB144" s="770">
        <f>CFS!AB11</f>
        <v>11.211</v>
      </c>
      <c r="AC144" s="770">
        <f>CFS!AC11</f>
        <v>11.604000000000001</v>
      </c>
      <c r="AD144" s="770">
        <f>CFS!AD11</f>
        <v>11.176</v>
      </c>
      <c r="AE144" s="771">
        <f>CFS!AE11</f>
        <v>10.421999999999995</v>
      </c>
      <c r="AF144" s="770">
        <f>CFS!AF11</f>
        <v>10.87</v>
      </c>
      <c r="AG144" s="770">
        <f>CFS!AG11</f>
        <v>11.38</v>
      </c>
      <c r="AH144" s="770">
        <f>CFS!AH11</f>
        <v>11.904999999999999</v>
      </c>
      <c r="AI144" s="771">
        <f>CFS!AI11</f>
        <v>12.417999999999997</v>
      </c>
      <c r="AJ144" s="770">
        <f>CFS!AJ11</f>
        <v>13.589</v>
      </c>
      <c r="AK144" s="770">
        <f>CFS!AK11</f>
        <v>14.293000000000001</v>
      </c>
      <c r="AL144" s="770">
        <f>CFS!AL11</f>
        <v>15.237999999999998</v>
      </c>
      <c r="AM144" s="771">
        <f>CFS!AM11</f>
        <v>16.667999999999999</v>
      </c>
      <c r="AN144" s="770">
        <f>CFS!AN11</f>
        <v>17.274000000000001</v>
      </c>
      <c r="AO144" s="770">
        <f>CFS!AO11</f>
        <v>17.686</v>
      </c>
      <c r="AP144" s="770">
        <f>CFS!AP11</f>
        <v>17.134999999999998</v>
      </c>
      <c r="AQ144" s="771">
        <f>CFS!AQ11</f>
        <v>17.450000000000003</v>
      </c>
      <c r="AR144" s="770">
        <f>CFS!AR11</f>
        <v>18.518000000000001</v>
      </c>
      <c r="AS144" s="770">
        <f>CFS!AS11</f>
        <v>18.481999999999999</v>
      </c>
      <c r="AT144" s="770">
        <f>CFS!AT11</f>
        <v>18.399999999999999</v>
      </c>
      <c r="AU144" s="770">
        <f>CFS!AU11</f>
        <v>18.899999999999999</v>
      </c>
      <c r="AV144" s="772">
        <f>CFS!AV11</f>
        <v>20.8</v>
      </c>
      <c r="AW144" s="770">
        <f>CFS!AW11</f>
        <v>21.599999999999998</v>
      </c>
      <c r="AX144" s="770">
        <f>CFS!AX11</f>
        <v>24.100000000000005</v>
      </c>
      <c r="AY144" s="771">
        <f>CFS!AY11</f>
        <v>30.299999999999994</v>
      </c>
      <c r="AZ144" s="772">
        <f>CFS!AZ11</f>
        <v>35.700000000000003</v>
      </c>
      <c r="BA144" s="770">
        <f>CFS!BA11</f>
        <v>38.799999999999997</v>
      </c>
      <c r="BB144" s="770">
        <f>CFS!BB11</f>
        <v>41.900000000000006</v>
      </c>
      <c r="BC144" s="771">
        <f>CFS!BC11</f>
        <v>45.900000000000006</v>
      </c>
      <c r="BD144" s="772">
        <f>CFS!BD11</f>
        <v>51.5</v>
      </c>
      <c r="BE144" s="770">
        <f>CFS!BE11</f>
        <v>53.5</v>
      </c>
      <c r="BF144" s="770">
        <f>CFS!BF11</f>
        <v>54.599999999999994</v>
      </c>
      <c r="BG144" s="771">
        <f>CFS!BG11</f>
        <v>54.800000000000011</v>
      </c>
      <c r="BH144" s="772">
        <f>CFS!BH11</f>
        <v>55.3</v>
      </c>
      <c r="BI144" s="770">
        <f>CFS!BI11</f>
        <v>55.900000000000006</v>
      </c>
      <c r="BJ144" s="770">
        <f>CFS!BJ11</f>
        <v>55.600000000000009</v>
      </c>
      <c r="BK144" s="771">
        <f>CFS!BK11</f>
        <v>60.399999999999963</v>
      </c>
      <c r="BL144" s="772">
        <f>CFS!BL11</f>
        <v>63.6</v>
      </c>
      <c r="BM144" s="770">
        <f>CFS!BM11</f>
        <v>63.282000000000004</v>
      </c>
      <c r="BN144" s="770">
        <f>CFS!BN11</f>
        <v>65.99014284750001</v>
      </c>
      <c r="BO144" s="771">
        <f>CFS!BO11</f>
        <v>68.594499850012511</v>
      </c>
      <c r="BP144" s="772">
        <f>CFS!BP11</f>
        <v>71.689387578146253</v>
      </c>
      <c r="BQ144" s="770">
        <f>CFS!BQ11</f>
        <v>74.106139257187678</v>
      </c>
      <c r="BR144" s="770">
        <f>CFS!BR11</f>
        <v>76.306682209071241</v>
      </c>
      <c r="BS144" s="771">
        <f>CFS!BS11</f>
        <v>78.507878218930216</v>
      </c>
      <c r="BT144" s="772">
        <f>CFS!BT11</f>
        <v>80.87556700708295</v>
      </c>
      <c r="BU144" s="770">
        <f>CFS!BU11</f>
        <v>83.343159220358231</v>
      </c>
      <c r="BV144" s="770">
        <f>CFS!BV11</f>
        <v>85.676712111846513</v>
      </c>
      <c r="BW144" s="771">
        <f>CFS!BW11</f>
        <v>88.040631977119759</v>
      </c>
      <c r="BX144" s="106"/>
      <c r="BY144" s="770">
        <f>SUM(D144:G144)</f>
        <v>36.941000000000003</v>
      </c>
      <c r="BZ144" s="770">
        <f>SUM(H144:K144)</f>
        <v>35.829000000000001</v>
      </c>
      <c r="CA144" s="770">
        <f>SUM(L144:O144)</f>
        <v>37.277000000000001</v>
      </c>
      <c r="CB144" s="770">
        <f>SUM(P144:S144)</f>
        <v>38.216999999999999</v>
      </c>
      <c r="CC144" s="770">
        <f>SUM(T144:W144)</f>
        <v>39.237000000000002</v>
      </c>
      <c r="CD144" s="770">
        <f>SUM(X144:AA144)</f>
        <v>44.712000000000003</v>
      </c>
      <c r="CE144" s="770">
        <f>SUM(AB144:AE144)</f>
        <v>44.412999999999997</v>
      </c>
      <c r="CF144" s="770">
        <f>SUM(AF144:AI144)</f>
        <v>46.573</v>
      </c>
      <c r="CG144" s="770">
        <f>SUM(AJ144:AM144)</f>
        <v>59.787999999999997</v>
      </c>
      <c r="CH144" s="770">
        <f>SUM(AN144:AQ144)</f>
        <v>69.545000000000002</v>
      </c>
      <c r="CI144" s="771">
        <f>SUM(AR144:AU144)</f>
        <v>74.3</v>
      </c>
      <c r="CJ144" s="770">
        <f>SUM(AV144:AY144)</f>
        <v>96.8</v>
      </c>
      <c r="CK144" s="770">
        <f>SUM(AZ144:BC144)</f>
        <v>162.30000000000001</v>
      </c>
      <c r="CL144" s="770">
        <f>SUM(BD144:BG144)</f>
        <v>214.4</v>
      </c>
      <c r="CM144" s="770">
        <f>SUM(BH144:BK144)</f>
        <v>227.2</v>
      </c>
      <c r="CN144" s="770">
        <f>SUM(BL144:BO144)</f>
        <v>261.4666426975125</v>
      </c>
      <c r="CO144" s="770">
        <f>SUM(BP144:BS144)</f>
        <v>300.6100872633354</v>
      </c>
      <c r="CP144" s="770">
        <f>SUM(BT144:BW144)</f>
        <v>337.93607031640744</v>
      </c>
      <c r="CQ144" s="844"/>
      <c r="CR144" s="773">
        <f>SUM(M144:P144)</f>
        <v>36.978999999999999</v>
      </c>
      <c r="CS144" s="773">
        <f>SUM(Q144:T144)</f>
        <v>38.575000000000003</v>
      </c>
      <c r="CT144" s="773">
        <f>SUM(U144:X144)</f>
        <v>40.65100000000001</v>
      </c>
      <c r="CU144" s="773">
        <f>SUM(Y144:AB144)</f>
        <v>45.006999999999998</v>
      </c>
      <c r="CV144" s="773">
        <f>SUM(AC144:AF144)</f>
        <v>44.071999999999996</v>
      </c>
      <c r="CW144" s="773">
        <f>SUM(AG144:AJ144)</f>
        <v>49.291999999999994</v>
      </c>
      <c r="CX144" s="773">
        <f>SUM(AK144:AN144)</f>
        <v>63.472999999999999</v>
      </c>
      <c r="CY144" s="773">
        <f>SUM(AO144:AR144)</f>
        <v>70.789000000000001</v>
      </c>
      <c r="CZ144" s="777">
        <f>SUM(AS144:AV144)</f>
        <v>76.581999999999994</v>
      </c>
      <c r="DA144" s="773">
        <f>SUM(AW144:AZ144)</f>
        <v>111.7</v>
      </c>
      <c r="DB144" s="773">
        <f>SUM(BA144:BD144)</f>
        <v>178.10000000000002</v>
      </c>
      <c r="DC144" s="773">
        <f>SUM(BE144:BH144)</f>
        <v>218.2</v>
      </c>
      <c r="DD144" s="773">
        <f>SUM(BI144:BL144)</f>
        <v>235.49999999999997</v>
      </c>
      <c r="DE144" s="773">
        <f>SUM(BM144:BP144)</f>
        <v>269.55603027565877</v>
      </c>
      <c r="DF144" s="777">
        <f>SUM(BQ144:BT144)</f>
        <v>309.79626669227207</v>
      </c>
      <c r="DK144"/>
      <c r="DL144"/>
      <c r="DM144"/>
      <c r="DN144"/>
      <c r="DO144"/>
      <c r="DP144"/>
    </row>
    <row r="145" spans="1:122" s="7" customFormat="1" ht="9.75" customHeight="1">
      <c r="A145" s="505"/>
      <c r="B145" s="14"/>
      <c r="C145" s="6"/>
      <c r="D145" s="770"/>
      <c r="E145" s="770"/>
      <c r="F145" s="770"/>
      <c r="G145" s="771"/>
      <c r="H145" s="770"/>
      <c r="I145" s="770"/>
      <c r="J145" s="770"/>
      <c r="K145" s="771"/>
      <c r="L145" s="770"/>
      <c r="M145" s="770"/>
      <c r="N145" s="770"/>
      <c r="O145" s="771"/>
      <c r="P145" s="770"/>
      <c r="Q145" s="770"/>
      <c r="R145" s="770"/>
      <c r="S145" s="771"/>
      <c r="T145" s="770"/>
      <c r="U145" s="770"/>
      <c r="V145" s="770"/>
      <c r="W145" s="771"/>
      <c r="X145" s="770"/>
      <c r="Y145" s="770"/>
      <c r="Z145" s="770"/>
      <c r="AA145" s="771"/>
      <c r="AB145" s="770"/>
      <c r="AC145" s="770"/>
      <c r="AD145" s="770"/>
      <c r="AE145" s="771"/>
      <c r="AF145" s="770"/>
      <c r="AG145" s="770"/>
      <c r="AH145" s="770"/>
      <c r="AI145" s="771"/>
      <c r="AJ145" s="770"/>
      <c r="AK145" s="770"/>
      <c r="AL145" s="770"/>
      <c r="AM145" s="771"/>
      <c r="AN145" s="770"/>
      <c r="AO145" s="770"/>
      <c r="AP145" s="770"/>
      <c r="AQ145" s="771"/>
      <c r="AR145" s="770"/>
      <c r="AS145" s="770"/>
      <c r="AT145" s="770"/>
      <c r="AU145" s="770"/>
      <c r="AV145" s="772"/>
      <c r="AW145" s="770"/>
      <c r="AX145" s="770"/>
      <c r="AY145" s="771"/>
      <c r="AZ145" s="772"/>
      <c r="BA145" s="770"/>
      <c r="BB145" s="770"/>
      <c r="BC145" s="771"/>
      <c r="BD145" s="772"/>
      <c r="BE145" s="770"/>
      <c r="BF145" s="770"/>
      <c r="BG145" s="771"/>
      <c r="BH145" s="772"/>
      <c r="BI145" s="770"/>
      <c r="BJ145" s="770"/>
      <c r="BK145" s="771"/>
      <c r="BL145" s="772"/>
      <c r="BM145" s="770"/>
      <c r="BN145" s="770"/>
      <c r="BO145" s="771"/>
      <c r="BP145" s="772"/>
      <c r="BQ145" s="770"/>
      <c r="BR145" s="770"/>
      <c r="BS145" s="771"/>
      <c r="BT145" s="772"/>
      <c r="BU145" s="770"/>
      <c r="BV145" s="770"/>
      <c r="BW145" s="771"/>
      <c r="BX145" s="106"/>
      <c r="BY145" s="770"/>
      <c r="BZ145" s="770"/>
      <c r="CA145" s="770"/>
      <c r="CB145" s="770"/>
      <c r="CC145" s="770"/>
      <c r="CD145" s="770"/>
      <c r="CE145" s="770"/>
      <c r="CF145" s="770"/>
      <c r="CG145" s="770"/>
      <c r="CH145" s="770"/>
      <c r="CI145" s="771"/>
      <c r="CJ145" s="770"/>
      <c r="CK145" s="770"/>
      <c r="CL145" s="770"/>
      <c r="CM145" s="770"/>
      <c r="CN145" s="770"/>
      <c r="CO145" s="770"/>
      <c r="CP145" s="770"/>
      <c r="CQ145" s="844"/>
      <c r="CR145" s="770"/>
      <c r="CS145" s="770"/>
      <c r="CT145" s="770"/>
      <c r="CU145" s="770"/>
      <c r="CV145" s="770"/>
      <c r="CW145" s="770"/>
      <c r="CX145" s="770"/>
      <c r="CY145" s="770"/>
      <c r="CZ145" s="771"/>
      <c r="DA145" s="770"/>
      <c r="DB145" s="770"/>
      <c r="DC145" s="770"/>
      <c r="DD145" s="770"/>
      <c r="DE145" s="770"/>
      <c r="DF145" s="771"/>
      <c r="DK145"/>
      <c r="DL145"/>
      <c r="DM145"/>
      <c r="DN145"/>
      <c r="DO145"/>
      <c r="DP145"/>
    </row>
    <row r="146" spans="1:122" s="7" customFormat="1" ht="15">
      <c r="A146" s="505"/>
      <c r="B146" s="46" t="s">
        <v>458</v>
      </c>
      <c r="C146" s="6"/>
      <c r="D146" s="770">
        <f>SUM(D147:D148)</f>
        <v>12.826999999999995</v>
      </c>
      <c r="E146" s="770">
        <f t="shared" ref="E146:BO146" si="805">SUM(E147:E148)</f>
        <v>18.807000000000002</v>
      </c>
      <c r="F146" s="770">
        <f t="shared" si="805"/>
        <v>9.4820000000000206</v>
      </c>
      <c r="G146" s="771">
        <f t="shared" si="805"/>
        <v>3.3229999999999968</v>
      </c>
      <c r="H146" s="770">
        <f t="shared" si="805"/>
        <v>19.766999999999996</v>
      </c>
      <c r="I146" s="770">
        <f t="shared" si="805"/>
        <v>21.551000000000013</v>
      </c>
      <c r="J146" s="770">
        <f t="shared" si="805"/>
        <v>27.571000000000009</v>
      </c>
      <c r="K146" s="771">
        <f t="shared" si="805"/>
        <v>30.974999999999945</v>
      </c>
      <c r="L146" s="770">
        <f t="shared" si="805"/>
        <v>33.124000000000002</v>
      </c>
      <c r="M146" s="770">
        <f t="shared" si="805"/>
        <v>-66.588000000000008</v>
      </c>
      <c r="N146" s="770">
        <f t="shared" si="805"/>
        <v>21.346000000000014</v>
      </c>
      <c r="O146" s="771">
        <f t="shared" si="805"/>
        <v>103.14699999999999</v>
      </c>
      <c r="P146" s="770">
        <f t="shared" si="805"/>
        <v>19.979999999999997</v>
      </c>
      <c r="Q146" s="770">
        <f t="shared" si="805"/>
        <v>12.368000000000011</v>
      </c>
      <c r="R146" s="770">
        <f t="shared" si="805"/>
        <v>16.103000000000002</v>
      </c>
      <c r="S146" s="771">
        <f t="shared" si="805"/>
        <v>22.803700000000006</v>
      </c>
      <c r="T146" s="770">
        <f t="shared" si="805"/>
        <v>30.378000000000007</v>
      </c>
      <c r="U146" s="770">
        <f t="shared" si="805"/>
        <v>22.897000000000013</v>
      </c>
      <c r="V146" s="770">
        <f t="shared" si="805"/>
        <v>23.351000000000006</v>
      </c>
      <c r="W146" s="771">
        <f t="shared" si="805"/>
        <v>29.113999999999905</v>
      </c>
      <c r="X146" s="770">
        <f t="shared" si="805"/>
        <v>34.487999999999985</v>
      </c>
      <c r="Y146" s="770">
        <f t="shared" si="805"/>
        <v>31.350999999999999</v>
      </c>
      <c r="Z146" s="770">
        <f t="shared" si="805"/>
        <v>35.669000000000011</v>
      </c>
      <c r="AA146" s="771">
        <f t="shared" si="805"/>
        <v>40.860000000000099</v>
      </c>
      <c r="AB146" s="770">
        <f t="shared" si="805"/>
        <v>33.247000000000007</v>
      </c>
      <c r="AC146" s="770">
        <f t="shared" si="805"/>
        <v>28.560000000000016</v>
      </c>
      <c r="AD146" s="770">
        <f t="shared" si="805"/>
        <v>34.284999999999989</v>
      </c>
      <c r="AE146" s="771">
        <f t="shared" si="805"/>
        <v>45.790999999999954</v>
      </c>
      <c r="AF146" s="770">
        <f t="shared" si="805"/>
        <v>55.076999999999991</v>
      </c>
      <c r="AG146" s="770">
        <f t="shared" si="805"/>
        <v>51.364999999999988</v>
      </c>
      <c r="AH146" s="770">
        <f t="shared" si="805"/>
        <v>66.010999999999996</v>
      </c>
      <c r="AI146" s="771">
        <f t="shared" si="805"/>
        <v>79.712000000000018</v>
      </c>
      <c r="AJ146" s="770">
        <f t="shared" si="805"/>
        <v>92.533000000000015</v>
      </c>
      <c r="AK146" s="770">
        <f t="shared" si="805"/>
        <v>83.991</v>
      </c>
      <c r="AL146" s="770">
        <f t="shared" si="805"/>
        <v>94.561999999999983</v>
      </c>
      <c r="AM146" s="771">
        <f t="shared" si="805"/>
        <v>107.703</v>
      </c>
      <c r="AN146" s="770">
        <f t="shared" si="805"/>
        <v>99.350000000000023</v>
      </c>
      <c r="AO146" s="770">
        <f t="shared" si="805"/>
        <v>79.580999999999989</v>
      </c>
      <c r="AP146" s="770">
        <f t="shared" si="805"/>
        <v>89.575999999999993</v>
      </c>
      <c r="AQ146" s="771">
        <f t="shared" si="805"/>
        <v>101.395</v>
      </c>
      <c r="AR146" s="770">
        <f t="shared" si="805"/>
        <v>114.91200000000002</v>
      </c>
      <c r="AS146" s="770">
        <f t="shared" si="805"/>
        <v>99.181999999999988</v>
      </c>
      <c r="AT146" s="770">
        <f t="shared" si="805"/>
        <v>111</v>
      </c>
      <c r="AU146" s="770">
        <f t="shared" si="805"/>
        <v>131.10000000000002</v>
      </c>
      <c r="AV146" s="772">
        <f t="shared" si="805"/>
        <v>143.30000000000001</v>
      </c>
      <c r="AW146" s="770">
        <f t="shared" si="805"/>
        <v>130.49999999999997</v>
      </c>
      <c r="AX146" s="770">
        <f t="shared" si="805"/>
        <v>178.29999999999998</v>
      </c>
      <c r="AY146" s="771">
        <f t="shared" si="805"/>
        <v>240.80000000000004</v>
      </c>
      <c r="AZ146" s="772">
        <f t="shared" si="805"/>
        <v>295.8</v>
      </c>
      <c r="BA146" s="770">
        <f t="shared" si="805"/>
        <v>268.10000000000002</v>
      </c>
      <c r="BB146" s="770">
        <f t="shared" si="805"/>
        <v>309.60000000000002</v>
      </c>
      <c r="BC146" s="771">
        <f t="shared" si="805"/>
        <v>354.59999999999991</v>
      </c>
      <c r="BD146" s="772">
        <f t="shared" si="805"/>
        <v>394.79999999999995</v>
      </c>
      <c r="BE146" s="770">
        <f t="shared" si="805"/>
        <v>320.10000000000002</v>
      </c>
      <c r="BF146" s="770">
        <f>SUM(BF147:BF148)</f>
        <v>309.90000000000009</v>
      </c>
      <c r="BG146" s="771">
        <f>SUM(BG147:BG148)</f>
        <v>353</v>
      </c>
      <c r="BH146" s="772">
        <f>SUM(BH147:BH148)</f>
        <v>388</v>
      </c>
      <c r="BI146" s="770">
        <f>SUM(BI147:BI148)</f>
        <v>344.1</v>
      </c>
      <c r="BJ146" s="770">
        <f t="shared" si="805"/>
        <v>367.7</v>
      </c>
      <c r="BK146" s="771">
        <f>SUM(BK147:BK148)</f>
        <v>411.1</v>
      </c>
      <c r="BL146" s="772">
        <f t="shared" si="805"/>
        <v>451.80000000000007</v>
      </c>
      <c r="BM146" s="770">
        <f t="shared" si="805"/>
        <v>364.70062164000007</v>
      </c>
      <c r="BN146" s="770">
        <f t="shared" si="805"/>
        <v>354.1152854495698</v>
      </c>
      <c r="BO146" s="771">
        <f t="shared" si="805"/>
        <v>430.69041278335635</v>
      </c>
      <c r="BP146" s="772">
        <f t="shared" ref="BP146:BW146" si="806">SUM(BP147:BP148)</f>
        <v>452.28950853828161</v>
      </c>
      <c r="BQ146" s="770">
        <f t="shared" si="806"/>
        <v>411.82217028342956</v>
      </c>
      <c r="BR146" s="770">
        <f t="shared" si="806"/>
        <v>414.66964428040751</v>
      </c>
      <c r="BS146" s="771">
        <f t="shared" si="806"/>
        <v>448.12852571823072</v>
      </c>
      <c r="BT146" s="772">
        <f t="shared" si="806"/>
        <v>469.39255439315519</v>
      </c>
      <c r="BU146" s="770">
        <f t="shared" si="806"/>
        <v>446.13677422344045</v>
      </c>
      <c r="BV146" s="770">
        <f t="shared" si="806"/>
        <v>454.50522608160099</v>
      </c>
      <c r="BW146" s="771">
        <f t="shared" si="806"/>
        <v>491.82068433925457</v>
      </c>
      <c r="BX146" s="106"/>
      <c r="BY146" s="770">
        <f t="shared" ref="BY146:CN146" si="807">SUM(BY147:BY148)</f>
        <v>44.439000000000014</v>
      </c>
      <c r="BZ146" s="770">
        <f t="shared" si="807"/>
        <v>99.863999999999976</v>
      </c>
      <c r="CA146" s="770">
        <f t="shared" si="807"/>
        <v>91.028999999999996</v>
      </c>
      <c r="CB146" s="770">
        <f t="shared" si="807"/>
        <v>71.254700000000014</v>
      </c>
      <c r="CC146" s="770">
        <f t="shared" si="807"/>
        <v>105.73999999999992</v>
      </c>
      <c r="CD146" s="770">
        <f t="shared" si="807"/>
        <v>142.36800000000011</v>
      </c>
      <c r="CE146" s="770">
        <f t="shared" si="807"/>
        <v>141.88299999999998</v>
      </c>
      <c r="CF146" s="770">
        <f t="shared" si="807"/>
        <v>252.16499999999999</v>
      </c>
      <c r="CG146" s="770">
        <f t="shared" si="807"/>
        <v>378.78899999999999</v>
      </c>
      <c r="CH146" s="770">
        <f t="shared" si="807"/>
        <v>369.90199999999999</v>
      </c>
      <c r="CI146" s="771">
        <f t="shared" si="807"/>
        <v>456.19400000000002</v>
      </c>
      <c r="CJ146" s="770">
        <f t="shared" si="807"/>
        <v>692.9</v>
      </c>
      <c r="CK146" s="770">
        <f t="shared" si="807"/>
        <v>1228.1000000000001</v>
      </c>
      <c r="CL146" s="770">
        <f t="shared" si="807"/>
        <v>1377.8000000000002</v>
      </c>
      <c r="CM146" s="770">
        <f t="shared" si="807"/>
        <v>1510.9</v>
      </c>
      <c r="CN146" s="770">
        <f t="shared" si="807"/>
        <v>1601.3063198729262</v>
      </c>
      <c r="CO146" s="770">
        <f>SUM(CO147:CO148)</f>
        <v>1726.9098488203492</v>
      </c>
      <c r="CP146" s="770">
        <f>SUM(CP147:CP148)</f>
        <v>1861.8552390374512</v>
      </c>
      <c r="CQ146" s="844"/>
      <c r="CR146" s="770">
        <f t="shared" ref="CR146:DD146" si="808">SUM(CR147:CR148)</f>
        <v>77.884999999999991</v>
      </c>
      <c r="CS146" s="770">
        <f t="shared" si="808"/>
        <v>81.652700000000024</v>
      </c>
      <c r="CT146" s="770">
        <f t="shared" si="808"/>
        <v>109.84999999999992</v>
      </c>
      <c r="CU146" s="770">
        <f t="shared" si="808"/>
        <v>141.12700000000012</v>
      </c>
      <c r="CV146" s="770">
        <f t="shared" si="808"/>
        <v>163.71299999999997</v>
      </c>
      <c r="CW146" s="770">
        <f t="shared" si="808"/>
        <v>289.62099999999998</v>
      </c>
      <c r="CX146" s="770">
        <f t="shared" si="808"/>
        <v>385.60600000000005</v>
      </c>
      <c r="CY146" s="770">
        <f t="shared" si="808"/>
        <v>385.464</v>
      </c>
      <c r="CZ146" s="771">
        <f t="shared" si="808"/>
        <v>484.58199999999999</v>
      </c>
      <c r="DA146" s="770">
        <f t="shared" si="808"/>
        <v>845.40000000000009</v>
      </c>
      <c r="DB146" s="770">
        <f t="shared" si="808"/>
        <v>1327.1</v>
      </c>
      <c r="DC146" s="770">
        <f t="shared" si="808"/>
        <v>1371.0000000000002</v>
      </c>
      <c r="DD146" s="770">
        <f t="shared" si="808"/>
        <v>1574.7</v>
      </c>
      <c r="DE146" s="770">
        <f>SUM(DE147:DE148)</f>
        <v>1601.7958284112078</v>
      </c>
      <c r="DF146" s="771">
        <f>SUM(DF147:DF148)</f>
        <v>1744.0128946752229</v>
      </c>
      <c r="DK146"/>
      <c r="DL146"/>
      <c r="DM146"/>
      <c r="DN146"/>
      <c r="DO146"/>
      <c r="DP146"/>
    </row>
    <row r="147" spans="1:122" s="3" customFormat="1" ht="14.25">
      <c r="B147" s="14" t="s">
        <v>474</v>
      </c>
      <c r="C147" s="6"/>
      <c r="D147" s="773">
        <f>D70</f>
        <v>3.7189999999999941</v>
      </c>
      <c r="E147" s="773">
        <f t="shared" ref="E147:BO147" si="809">E70</f>
        <v>9.554000000000002</v>
      </c>
      <c r="F147" s="773">
        <f t="shared" si="809"/>
        <v>0.23500000000002075</v>
      </c>
      <c r="G147" s="777">
        <f t="shared" si="809"/>
        <v>-6.0100000000000051</v>
      </c>
      <c r="H147" s="773">
        <f t="shared" si="809"/>
        <v>11.141999999999996</v>
      </c>
      <c r="I147" s="773">
        <f t="shared" si="809"/>
        <v>13.132000000000012</v>
      </c>
      <c r="J147" s="773">
        <f t="shared" si="809"/>
        <v>18.579000000000008</v>
      </c>
      <c r="K147" s="777">
        <f t="shared" si="809"/>
        <v>21.181999999999945</v>
      </c>
      <c r="L147" s="773">
        <f t="shared" si="809"/>
        <v>23.682000000000002</v>
      </c>
      <c r="M147" s="773">
        <f t="shared" si="809"/>
        <v>-76.055000000000007</v>
      </c>
      <c r="N147" s="773">
        <f t="shared" si="809"/>
        <v>12.306000000000012</v>
      </c>
      <c r="O147" s="777">
        <f t="shared" si="809"/>
        <v>93.818999999999988</v>
      </c>
      <c r="P147" s="773">
        <f t="shared" si="809"/>
        <v>10.835999999999999</v>
      </c>
      <c r="Q147" s="773">
        <f t="shared" si="809"/>
        <v>3.0830000000000126</v>
      </c>
      <c r="R147" s="773">
        <f t="shared" si="809"/>
        <v>6.394999999999996</v>
      </c>
      <c r="S147" s="777">
        <f t="shared" si="809"/>
        <v>12.723700000000008</v>
      </c>
      <c r="T147" s="773">
        <f t="shared" si="809"/>
        <v>20.876000000000005</v>
      </c>
      <c r="U147" s="773">
        <f t="shared" si="809"/>
        <v>13.569000000000017</v>
      </c>
      <c r="V147" s="773">
        <f t="shared" si="809"/>
        <v>13.352000000000004</v>
      </c>
      <c r="W147" s="777">
        <f t="shared" si="809"/>
        <v>18.705999999999904</v>
      </c>
      <c r="X147" s="773">
        <f t="shared" si="809"/>
        <v>23.571999999999989</v>
      </c>
      <c r="Y147" s="773">
        <f t="shared" si="809"/>
        <v>20.274000000000001</v>
      </c>
      <c r="Z147" s="773">
        <f t="shared" si="809"/>
        <v>24.228000000000009</v>
      </c>
      <c r="AA147" s="777">
        <f t="shared" si="809"/>
        <v>29.582000000000093</v>
      </c>
      <c r="AB147" s="773">
        <f t="shared" si="809"/>
        <v>22.036000000000008</v>
      </c>
      <c r="AC147" s="773">
        <f t="shared" si="809"/>
        <v>16.956000000000017</v>
      </c>
      <c r="AD147" s="773">
        <f t="shared" si="809"/>
        <v>23.108999999999988</v>
      </c>
      <c r="AE147" s="777">
        <f t="shared" si="809"/>
        <v>35.368999999999957</v>
      </c>
      <c r="AF147" s="773">
        <f t="shared" si="809"/>
        <v>44.206999999999994</v>
      </c>
      <c r="AG147" s="773">
        <f t="shared" si="809"/>
        <v>39.984999999999985</v>
      </c>
      <c r="AH147" s="773">
        <f t="shared" si="809"/>
        <v>54.105999999999995</v>
      </c>
      <c r="AI147" s="777">
        <f t="shared" si="809"/>
        <v>67.294000000000025</v>
      </c>
      <c r="AJ147" s="773">
        <f t="shared" si="809"/>
        <v>78.944000000000017</v>
      </c>
      <c r="AK147" s="773">
        <f t="shared" si="809"/>
        <v>69.697999999999993</v>
      </c>
      <c r="AL147" s="773">
        <f t="shared" si="809"/>
        <v>79.323999999999984</v>
      </c>
      <c r="AM147" s="777">
        <f t="shared" si="809"/>
        <v>91.034999999999997</v>
      </c>
      <c r="AN147" s="773">
        <f t="shared" si="809"/>
        <v>82.076000000000022</v>
      </c>
      <c r="AO147" s="773">
        <f t="shared" si="809"/>
        <v>61.894999999999996</v>
      </c>
      <c r="AP147" s="773">
        <f t="shared" si="809"/>
        <v>72.441000000000003</v>
      </c>
      <c r="AQ147" s="777">
        <f t="shared" si="809"/>
        <v>83.944999999999993</v>
      </c>
      <c r="AR147" s="773">
        <f t="shared" si="809"/>
        <v>96.39400000000002</v>
      </c>
      <c r="AS147" s="773">
        <f t="shared" si="809"/>
        <v>80.699999999999989</v>
      </c>
      <c r="AT147" s="773">
        <f t="shared" si="809"/>
        <v>92.600000000000009</v>
      </c>
      <c r="AU147" s="773">
        <f t="shared" si="809"/>
        <v>112.20000000000002</v>
      </c>
      <c r="AV147" s="782">
        <f t="shared" si="809"/>
        <v>122.5</v>
      </c>
      <c r="AW147" s="773">
        <f t="shared" si="809"/>
        <v>108.89999999999998</v>
      </c>
      <c r="AX147" s="773">
        <f t="shared" si="809"/>
        <v>154.19999999999999</v>
      </c>
      <c r="AY147" s="777">
        <f t="shared" si="809"/>
        <v>210.50000000000006</v>
      </c>
      <c r="AZ147" s="782">
        <f t="shared" si="809"/>
        <v>260.10000000000002</v>
      </c>
      <c r="BA147" s="773">
        <f t="shared" si="809"/>
        <v>229.30000000000004</v>
      </c>
      <c r="BB147" s="773">
        <f t="shared" si="809"/>
        <v>267.70000000000005</v>
      </c>
      <c r="BC147" s="777">
        <f t="shared" si="809"/>
        <v>308.69999999999993</v>
      </c>
      <c r="BD147" s="782">
        <f t="shared" si="809"/>
        <v>343.29999999999995</v>
      </c>
      <c r="BE147" s="773">
        <f t="shared" si="809"/>
        <v>266.60000000000002</v>
      </c>
      <c r="BF147" s="773">
        <f>BF70</f>
        <v>255.30000000000007</v>
      </c>
      <c r="BG147" s="777">
        <f>BG70</f>
        <v>298.2</v>
      </c>
      <c r="BH147" s="782">
        <f>BH70</f>
        <v>332.7</v>
      </c>
      <c r="BI147" s="773">
        <f>BI70</f>
        <v>288.20000000000005</v>
      </c>
      <c r="BJ147" s="773">
        <f t="shared" si="809"/>
        <v>312.09999999999997</v>
      </c>
      <c r="BK147" s="777">
        <f>BK70</f>
        <v>350.70000000000005</v>
      </c>
      <c r="BL147" s="782">
        <f t="shared" si="809"/>
        <v>388.20000000000005</v>
      </c>
      <c r="BM147" s="773">
        <f t="shared" si="809"/>
        <v>301.41862164000008</v>
      </c>
      <c r="BN147" s="773">
        <f t="shared" si="809"/>
        <v>288.12514260206979</v>
      </c>
      <c r="BO147" s="777">
        <f t="shared" si="809"/>
        <v>362.09591293334381</v>
      </c>
      <c r="BP147" s="782">
        <f t="shared" ref="BP147:BW147" si="810">BP70</f>
        <v>380.60012096013537</v>
      </c>
      <c r="BQ147" s="773">
        <f t="shared" si="810"/>
        <v>337.71603102624186</v>
      </c>
      <c r="BR147" s="773">
        <f t="shared" si="810"/>
        <v>338.36296207133626</v>
      </c>
      <c r="BS147" s="777">
        <f t="shared" si="810"/>
        <v>369.6206474993005</v>
      </c>
      <c r="BT147" s="782">
        <f t="shared" si="810"/>
        <v>388.51698738607223</v>
      </c>
      <c r="BU147" s="773">
        <f t="shared" si="810"/>
        <v>362.79361500308221</v>
      </c>
      <c r="BV147" s="773">
        <f t="shared" si="810"/>
        <v>368.82851396975445</v>
      </c>
      <c r="BW147" s="777">
        <f t="shared" si="810"/>
        <v>403.78005236213482</v>
      </c>
      <c r="BX147" s="108"/>
      <c r="BY147" s="770">
        <f>SUM(D147:G147)</f>
        <v>7.4980000000000118</v>
      </c>
      <c r="BZ147" s="770">
        <f>SUM(H147:K147)</f>
        <v>64.034999999999968</v>
      </c>
      <c r="CA147" s="770">
        <f>SUM(L147:O147)</f>
        <v>53.751999999999995</v>
      </c>
      <c r="CB147" s="770">
        <f>SUM(P147:S147)</f>
        <v>33.037700000000015</v>
      </c>
      <c r="CC147" s="770">
        <f>SUM(T147:W147)</f>
        <v>66.502999999999929</v>
      </c>
      <c r="CD147" s="770">
        <f>SUM(X147:AA147)</f>
        <v>97.656000000000091</v>
      </c>
      <c r="CE147" s="770">
        <f>SUM(AB147:AE147)</f>
        <v>97.46999999999997</v>
      </c>
      <c r="CF147" s="770">
        <f>SUM(AF147:AI147)</f>
        <v>205.59199999999998</v>
      </c>
      <c r="CG147" s="770">
        <f>SUM(AJ147:AM147)</f>
        <v>319.00099999999998</v>
      </c>
      <c r="CH147" s="770">
        <f>SUM(AN147:AQ147)</f>
        <v>300.35699999999997</v>
      </c>
      <c r="CI147" s="771">
        <f>SUM(AR147:AU147)</f>
        <v>381.89400000000001</v>
      </c>
      <c r="CJ147" s="770">
        <f>SUM(AV147:AY147)</f>
        <v>596.1</v>
      </c>
      <c r="CK147" s="770">
        <f>SUM(AZ147:BC147)</f>
        <v>1065.8000000000002</v>
      </c>
      <c r="CL147" s="770">
        <f>SUM(BD147:BG147)</f>
        <v>1163.4000000000001</v>
      </c>
      <c r="CM147" s="770">
        <f>SUM(BH147:BK147)</f>
        <v>1283.7</v>
      </c>
      <c r="CN147" s="770">
        <f>SUM(BL147:BO147)</f>
        <v>1339.8396771754137</v>
      </c>
      <c r="CO147" s="770">
        <f>SUM(BP147:BS147)</f>
        <v>1426.2997615570139</v>
      </c>
      <c r="CP147" s="770">
        <f>SUM(BT147:BW147)</f>
        <v>1523.9191687210437</v>
      </c>
      <c r="CQ147" s="844"/>
      <c r="CR147" s="773">
        <f>SUM(M147:P147)</f>
        <v>40.905999999999992</v>
      </c>
      <c r="CS147" s="773">
        <f>SUM(Q147:T147)</f>
        <v>43.077700000000021</v>
      </c>
      <c r="CT147" s="773">
        <f>SUM(U147:X147)</f>
        <v>69.198999999999913</v>
      </c>
      <c r="CU147" s="773">
        <f>SUM(Y147:AB147)</f>
        <v>96.120000000000118</v>
      </c>
      <c r="CV147" s="773">
        <f>SUM(AC147:AF147)</f>
        <v>119.64099999999996</v>
      </c>
      <c r="CW147" s="773">
        <f>SUM(AG147:AJ147)</f>
        <v>240.32900000000001</v>
      </c>
      <c r="CX147" s="773">
        <f>SUM(AK147:AN147)</f>
        <v>322.13300000000004</v>
      </c>
      <c r="CY147" s="773">
        <f>SUM(AO147:AR147)</f>
        <v>314.67500000000001</v>
      </c>
      <c r="CZ147" s="777">
        <f>SUM(AS147:AV147)</f>
        <v>408</v>
      </c>
      <c r="DA147" s="773">
        <f>SUM(AW147:AZ147)</f>
        <v>733.7</v>
      </c>
      <c r="DB147" s="773">
        <f>SUM(BA147:BD147)</f>
        <v>1149</v>
      </c>
      <c r="DC147" s="773">
        <f>SUM(BE147:BH147)</f>
        <v>1152.8000000000002</v>
      </c>
      <c r="DD147" s="773">
        <f>SUM(BI147:BL147)</f>
        <v>1339.2</v>
      </c>
      <c r="DE147" s="773">
        <f>SUM(BM147:BP147)</f>
        <v>1332.2397981355491</v>
      </c>
      <c r="DF147" s="777">
        <f>SUM(BQ147:BT147)</f>
        <v>1434.216627982951</v>
      </c>
      <c r="DG147" s="7"/>
      <c r="DH147" s="7"/>
      <c r="DI147" s="7"/>
      <c r="DJ147" s="7"/>
      <c r="DK147"/>
      <c r="DL147"/>
      <c r="DM147"/>
      <c r="DN147"/>
      <c r="DO147"/>
      <c r="DP147"/>
      <c r="DQ147" s="7"/>
      <c r="DR147" s="7"/>
    </row>
    <row r="148" spans="1:122" s="3" customFormat="1" ht="14.25">
      <c r="B148" s="185" t="s">
        <v>203</v>
      </c>
      <c r="C148" s="778"/>
      <c r="D148" s="779">
        <f>D144</f>
        <v>9.1080000000000005</v>
      </c>
      <c r="E148" s="779">
        <f t="shared" ref="E148:BO148" si="811">E144</f>
        <v>9.2530000000000001</v>
      </c>
      <c r="F148" s="779">
        <f t="shared" si="811"/>
        <v>9.2469999999999999</v>
      </c>
      <c r="G148" s="780">
        <f t="shared" si="811"/>
        <v>9.333000000000002</v>
      </c>
      <c r="H148" s="779">
        <f t="shared" si="811"/>
        <v>8.625</v>
      </c>
      <c r="I148" s="779">
        <f t="shared" si="811"/>
        <v>8.4190000000000005</v>
      </c>
      <c r="J148" s="779">
        <f t="shared" si="811"/>
        <v>8.9920000000000009</v>
      </c>
      <c r="K148" s="780">
        <f t="shared" si="811"/>
        <v>9.7929999999999993</v>
      </c>
      <c r="L148" s="779">
        <f t="shared" si="811"/>
        <v>9.4420000000000002</v>
      </c>
      <c r="M148" s="779">
        <f t="shared" si="811"/>
        <v>9.4669999999999987</v>
      </c>
      <c r="N148" s="779">
        <f t="shared" si="811"/>
        <v>9.0400000000000027</v>
      </c>
      <c r="O148" s="780">
        <f t="shared" si="811"/>
        <v>9.3279999999999994</v>
      </c>
      <c r="P148" s="779">
        <f t="shared" si="811"/>
        <v>9.1440000000000001</v>
      </c>
      <c r="Q148" s="779">
        <f t="shared" si="811"/>
        <v>9.2849999999999984</v>
      </c>
      <c r="R148" s="779">
        <f t="shared" si="811"/>
        <v>9.7080000000000037</v>
      </c>
      <c r="S148" s="780">
        <f t="shared" si="811"/>
        <v>10.079999999999997</v>
      </c>
      <c r="T148" s="779">
        <f t="shared" si="811"/>
        <v>9.5020000000000007</v>
      </c>
      <c r="U148" s="779">
        <f t="shared" si="811"/>
        <v>9.3279999999999976</v>
      </c>
      <c r="V148" s="779">
        <f t="shared" si="811"/>
        <v>9.9990000000000041</v>
      </c>
      <c r="W148" s="780">
        <f t="shared" si="811"/>
        <v>10.408000000000003</v>
      </c>
      <c r="X148" s="779">
        <f t="shared" si="811"/>
        <v>10.916</v>
      </c>
      <c r="Y148" s="779">
        <f t="shared" si="811"/>
        <v>11.076999999999998</v>
      </c>
      <c r="Z148" s="779">
        <f t="shared" si="811"/>
        <v>11.440999999999999</v>
      </c>
      <c r="AA148" s="780">
        <f t="shared" si="811"/>
        <v>11.278000000000002</v>
      </c>
      <c r="AB148" s="779">
        <f t="shared" si="811"/>
        <v>11.211</v>
      </c>
      <c r="AC148" s="779">
        <f t="shared" si="811"/>
        <v>11.604000000000001</v>
      </c>
      <c r="AD148" s="779">
        <f t="shared" si="811"/>
        <v>11.176</v>
      </c>
      <c r="AE148" s="780">
        <f t="shared" si="811"/>
        <v>10.421999999999995</v>
      </c>
      <c r="AF148" s="779">
        <f t="shared" si="811"/>
        <v>10.87</v>
      </c>
      <c r="AG148" s="779">
        <f t="shared" si="811"/>
        <v>11.38</v>
      </c>
      <c r="AH148" s="779">
        <f t="shared" si="811"/>
        <v>11.904999999999999</v>
      </c>
      <c r="AI148" s="780">
        <f t="shared" si="811"/>
        <v>12.417999999999997</v>
      </c>
      <c r="AJ148" s="779">
        <f t="shared" si="811"/>
        <v>13.589</v>
      </c>
      <c r="AK148" s="779">
        <f t="shared" si="811"/>
        <v>14.293000000000001</v>
      </c>
      <c r="AL148" s="779">
        <f t="shared" si="811"/>
        <v>15.237999999999998</v>
      </c>
      <c r="AM148" s="780">
        <f t="shared" si="811"/>
        <v>16.667999999999999</v>
      </c>
      <c r="AN148" s="779">
        <f t="shared" si="811"/>
        <v>17.274000000000001</v>
      </c>
      <c r="AO148" s="779">
        <f t="shared" si="811"/>
        <v>17.686</v>
      </c>
      <c r="AP148" s="779">
        <f t="shared" si="811"/>
        <v>17.134999999999998</v>
      </c>
      <c r="AQ148" s="780">
        <f t="shared" si="811"/>
        <v>17.450000000000003</v>
      </c>
      <c r="AR148" s="779">
        <f t="shared" si="811"/>
        <v>18.518000000000001</v>
      </c>
      <c r="AS148" s="779">
        <f t="shared" si="811"/>
        <v>18.481999999999999</v>
      </c>
      <c r="AT148" s="779">
        <f t="shared" si="811"/>
        <v>18.399999999999999</v>
      </c>
      <c r="AU148" s="779">
        <f t="shared" si="811"/>
        <v>18.899999999999999</v>
      </c>
      <c r="AV148" s="783">
        <f t="shared" si="811"/>
        <v>20.8</v>
      </c>
      <c r="AW148" s="779">
        <f t="shared" si="811"/>
        <v>21.599999999999998</v>
      </c>
      <c r="AX148" s="779">
        <f t="shared" si="811"/>
        <v>24.100000000000005</v>
      </c>
      <c r="AY148" s="780">
        <f t="shared" si="811"/>
        <v>30.299999999999994</v>
      </c>
      <c r="AZ148" s="783">
        <f t="shared" si="811"/>
        <v>35.700000000000003</v>
      </c>
      <c r="BA148" s="779">
        <f t="shared" si="811"/>
        <v>38.799999999999997</v>
      </c>
      <c r="BB148" s="779">
        <f t="shared" si="811"/>
        <v>41.900000000000006</v>
      </c>
      <c r="BC148" s="780">
        <f t="shared" si="811"/>
        <v>45.900000000000006</v>
      </c>
      <c r="BD148" s="783">
        <f t="shared" si="811"/>
        <v>51.5</v>
      </c>
      <c r="BE148" s="779">
        <f t="shared" si="811"/>
        <v>53.5</v>
      </c>
      <c r="BF148" s="779">
        <f>BF144</f>
        <v>54.599999999999994</v>
      </c>
      <c r="BG148" s="780">
        <f>BG144</f>
        <v>54.800000000000011</v>
      </c>
      <c r="BH148" s="783">
        <f>BH144</f>
        <v>55.3</v>
      </c>
      <c r="BI148" s="779">
        <f>BI144</f>
        <v>55.900000000000006</v>
      </c>
      <c r="BJ148" s="779">
        <f t="shared" si="811"/>
        <v>55.600000000000009</v>
      </c>
      <c r="BK148" s="780">
        <f>BK144</f>
        <v>60.399999999999963</v>
      </c>
      <c r="BL148" s="783">
        <f t="shared" si="811"/>
        <v>63.6</v>
      </c>
      <c r="BM148" s="779">
        <f t="shared" si="811"/>
        <v>63.282000000000004</v>
      </c>
      <c r="BN148" s="779">
        <f t="shared" si="811"/>
        <v>65.99014284750001</v>
      </c>
      <c r="BO148" s="780">
        <f t="shared" si="811"/>
        <v>68.594499850012511</v>
      </c>
      <c r="BP148" s="783">
        <f t="shared" ref="BP148:BW148" si="812">BP144</f>
        <v>71.689387578146253</v>
      </c>
      <c r="BQ148" s="779">
        <f t="shared" si="812"/>
        <v>74.106139257187678</v>
      </c>
      <c r="BR148" s="779">
        <f t="shared" si="812"/>
        <v>76.306682209071241</v>
      </c>
      <c r="BS148" s="780">
        <f t="shared" si="812"/>
        <v>78.507878218930216</v>
      </c>
      <c r="BT148" s="783">
        <f t="shared" si="812"/>
        <v>80.87556700708295</v>
      </c>
      <c r="BU148" s="779">
        <f t="shared" si="812"/>
        <v>83.343159220358231</v>
      </c>
      <c r="BV148" s="779">
        <f t="shared" si="812"/>
        <v>85.676712111846513</v>
      </c>
      <c r="BW148" s="780">
        <f t="shared" si="812"/>
        <v>88.040631977119759</v>
      </c>
      <c r="BX148" s="108"/>
      <c r="BY148" s="793">
        <f>SUM(D148:G148)</f>
        <v>36.941000000000003</v>
      </c>
      <c r="BZ148" s="794">
        <f>SUM(H148:K148)</f>
        <v>35.829000000000001</v>
      </c>
      <c r="CA148" s="794">
        <f>SUM(L148:O148)</f>
        <v>37.277000000000001</v>
      </c>
      <c r="CB148" s="794">
        <f>SUM(P148:S148)</f>
        <v>38.216999999999999</v>
      </c>
      <c r="CC148" s="794">
        <f>SUM(T148:W148)</f>
        <v>39.237000000000002</v>
      </c>
      <c r="CD148" s="794">
        <f>SUM(X148:AA148)</f>
        <v>44.712000000000003</v>
      </c>
      <c r="CE148" s="794">
        <f>SUM(AB148:AE148)</f>
        <v>44.412999999999997</v>
      </c>
      <c r="CF148" s="794">
        <f>SUM(AF148:AI148)</f>
        <v>46.573</v>
      </c>
      <c r="CG148" s="794">
        <f>SUM(AJ148:AM148)</f>
        <v>59.787999999999997</v>
      </c>
      <c r="CH148" s="794">
        <f>SUM(AN148:AQ148)</f>
        <v>69.545000000000002</v>
      </c>
      <c r="CI148" s="839">
        <f>SUM(AR148:AU148)</f>
        <v>74.3</v>
      </c>
      <c r="CJ148" s="794">
        <f>SUM(AV148:AY148)</f>
        <v>96.8</v>
      </c>
      <c r="CK148" s="794">
        <f>SUM(AZ148:BC148)</f>
        <v>162.30000000000001</v>
      </c>
      <c r="CL148" s="794">
        <f>SUM(BD148:BG148)</f>
        <v>214.4</v>
      </c>
      <c r="CM148" s="794">
        <f>SUM(BH148:BK148)</f>
        <v>227.2</v>
      </c>
      <c r="CN148" s="794">
        <f>SUM(BL148:BO148)</f>
        <v>261.4666426975125</v>
      </c>
      <c r="CO148" s="794">
        <f>SUM(BP148:BS148)</f>
        <v>300.6100872633354</v>
      </c>
      <c r="CP148" s="794">
        <f>SUM(BT148:BW148)</f>
        <v>337.93607031640744</v>
      </c>
      <c r="CQ148" s="844"/>
      <c r="CR148" s="779">
        <f>SUM(M148:P148)</f>
        <v>36.978999999999999</v>
      </c>
      <c r="CS148" s="779">
        <f>SUM(Q148:T148)</f>
        <v>38.575000000000003</v>
      </c>
      <c r="CT148" s="779">
        <f>SUM(U148:X148)</f>
        <v>40.65100000000001</v>
      </c>
      <c r="CU148" s="779">
        <f>SUM(Y148:AB148)</f>
        <v>45.006999999999998</v>
      </c>
      <c r="CV148" s="779">
        <f>SUM(AC148:AF148)</f>
        <v>44.071999999999996</v>
      </c>
      <c r="CW148" s="779">
        <f>SUM(AG148:AJ148)</f>
        <v>49.291999999999994</v>
      </c>
      <c r="CX148" s="779">
        <f>SUM(AK148:AN148)</f>
        <v>63.472999999999999</v>
      </c>
      <c r="CY148" s="779">
        <f>SUM(AO148:AR148)</f>
        <v>70.789000000000001</v>
      </c>
      <c r="CZ148" s="780">
        <f>SUM(AS148:AV148)</f>
        <v>76.581999999999994</v>
      </c>
      <c r="DA148" s="779">
        <f>SUM(AW148:AZ148)</f>
        <v>111.7</v>
      </c>
      <c r="DB148" s="779">
        <f>SUM(BA148:BD148)</f>
        <v>178.10000000000002</v>
      </c>
      <c r="DC148" s="779">
        <f>SUM(BE148:BH148)</f>
        <v>218.2</v>
      </c>
      <c r="DD148" s="779">
        <f>SUM(BI148:BL148)</f>
        <v>235.49999999999997</v>
      </c>
      <c r="DE148" s="779">
        <f>SUM(BM148:BP148)</f>
        <v>269.55603027565877</v>
      </c>
      <c r="DF148" s="780">
        <f>SUM(BQ148:BT148)</f>
        <v>309.79626669227207</v>
      </c>
      <c r="DG148" s="7"/>
      <c r="DH148" s="7"/>
      <c r="DI148" s="7"/>
      <c r="DJ148" s="7"/>
      <c r="DK148"/>
      <c r="DL148"/>
      <c r="DM148"/>
      <c r="DN148"/>
      <c r="DO148"/>
      <c r="DP148"/>
      <c r="DQ148" s="7"/>
      <c r="DR148" s="7"/>
    </row>
    <row r="149" spans="1:122" s="3" customFormat="1" ht="14.25">
      <c r="B149" s="6"/>
      <c r="C149" s="6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7"/>
      <c r="DH149" s="7"/>
      <c r="DI149" s="7"/>
      <c r="DJ149" s="7"/>
      <c r="DK149"/>
      <c r="DL149"/>
      <c r="DM149"/>
      <c r="DN149"/>
      <c r="DO149"/>
      <c r="DP149"/>
      <c r="DQ149" s="7"/>
      <c r="DR149" s="7"/>
    </row>
    <row r="150" spans="1:122" s="3" customFormat="1" ht="14.25">
      <c r="B150" s="6"/>
      <c r="C150" s="6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7"/>
      <c r="DH150" s="7"/>
      <c r="DI150" s="7"/>
      <c r="DJ150" s="7"/>
      <c r="DK150"/>
      <c r="DL150"/>
      <c r="DM150"/>
      <c r="DN150"/>
      <c r="DO150"/>
      <c r="DP150"/>
      <c r="DQ150" s="7"/>
      <c r="DR150" s="7"/>
    </row>
    <row r="151" spans="1:122" s="3" customFormat="1" ht="14.25">
      <c r="B151" s="6"/>
      <c r="C151" s="6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7"/>
      <c r="DH151" s="7"/>
      <c r="DI151" s="7"/>
      <c r="DJ151" s="7"/>
      <c r="DK151"/>
      <c r="DL151"/>
      <c r="DM151"/>
      <c r="DN151"/>
      <c r="DO151"/>
      <c r="DP151"/>
      <c r="DQ151" s="7"/>
      <c r="DR151" s="7"/>
    </row>
    <row r="152" spans="1:122" s="3" customFormat="1" ht="14.25">
      <c r="B152" s="6"/>
      <c r="C152" s="6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7"/>
      <c r="DH152" s="7"/>
      <c r="DI152" s="7"/>
      <c r="DJ152" s="7"/>
      <c r="DK152"/>
      <c r="DL152"/>
      <c r="DM152"/>
      <c r="DN152"/>
      <c r="DO152"/>
      <c r="DP152"/>
      <c r="DQ152" s="7"/>
      <c r="DR152" s="7"/>
    </row>
    <row r="153" spans="1:122" s="3" customFormat="1" ht="14.25">
      <c r="B153" s="6"/>
      <c r="C153" s="6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7"/>
      <c r="DH153" s="7"/>
      <c r="DI153" s="7"/>
      <c r="DJ153" s="7"/>
      <c r="DK153"/>
      <c r="DL153"/>
      <c r="DM153"/>
      <c r="DN153"/>
      <c r="DO153"/>
      <c r="DP153"/>
      <c r="DQ153" s="7"/>
      <c r="DR153" s="7"/>
    </row>
    <row r="154" spans="1:122" s="3" customFormat="1" ht="14.25">
      <c r="B154" s="6"/>
      <c r="C154" s="6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7"/>
      <c r="DH154" s="7"/>
      <c r="DI154" s="7"/>
      <c r="DJ154" s="7"/>
      <c r="DK154"/>
      <c r="DL154"/>
      <c r="DM154"/>
      <c r="DN154"/>
      <c r="DO154"/>
      <c r="DP154"/>
      <c r="DQ154" s="7"/>
      <c r="DR154" s="7"/>
    </row>
    <row r="155" spans="1:122" s="3" customFormat="1" ht="14.25">
      <c r="B155" s="6"/>
      <c r="C155" s="6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7"/>
      <c r="DH155" s="7"/>
      <c r="DI155" s="7"/>
      <c r="DJ155" s="7"/>
      <c r="DK155"/>
      <c r="DL155"/>
      <c r="DM155"/>
      <c r="DN155"/>
      <c r="DO155"/>
      <c r="DP155"/>
      <c r="DQ155" s="7"/>
      <c r="DR155" s="7"/>
    </row>
    <row r="156" spans="1:122" s="3" customFormat="1" ht="14.25">
      <c r="B156" s="6"/>
      <c r="C156" s="6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7"/>
      <c r="DH156" s="7"/>
      <c r="DI156" s="7"/>
      <c r="DJ156" s="7"/>
      <c r="DK156"/>
      <c r="DL156"/>
      <c r="DM156"/>
      <c r="DN156"/>
      <c r="DO156"/>
      <c r="DP156"/>
      <c r="DQ156" s="7"/>
      <c r="DR156" s="7"/>
    </row>
    <row r="157" spans="1:122" s="3" customFormat="1" ht="14.25">
      <c r="B157" s="6"/>
      <c r="C157" s="6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7"/>
      <c r="DH157" s="7"/>
      <c r="DI157" s="7"/>
      <c r="DJ157" s="7"/>
      <c r="DK157"/>
      <c r="DL157"/>
      <c r="DM157"/>
      <c r="DN157"/>
      <c r="DO157"/>
      <c r="DP157"/>
      <c r="DQ157" s="7"/>
      <c r="DR157" s="7"/>
    </row>
    <row r="158" spans="1:122" s="3" customFormat="1" ht="14.25">
      <c r="B158" s="6"/>
      <c r="C158" s="6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7"/>
      <c r="DH158" s="7"/>
      <c r="DI158" s="7"/>
      <c r="DJ158" s="7"/>
      <c r="DK158"/>
      <c r="DL158"/>
      <c r="DM158"/>
      <c r="DN158"/>
      <c r="DO158"/>
      <c r="DP158"/>
      <c r="DQ158" s="7"/>
      <c r="DR158" s="7"/>
    </row>
    <row r="159" spans="1:122" s="3" customFormat="1" ht="14.25">
      <c r="B159" s="6"/>
      <c r="C159" s="6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7"/>
      <c r="DH159" s="7"/>
      <c r="DI159" s="7"/>
      <c r="DJ159" s="7"/>
      <c r="DK159"/>
      <c r="DL159"/>
      <c r="DM159"/>
      <c r="DN159"/>
      <c r="DO159"/>
      <c r="DP159"/>
      <c r="DQ159" s="7"/>
      <c r="DR159" s="7"/>
    </row>
    <row r="160" spans="1:122" s="3" customFormat="1" ht="14.25">
      <c r="B160" s="6"/>
      <c r="C160" s="6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7"/>
      <c r="DH160" s="7"/>
      <c r="DI160" s="7"/>
      <c r="DJ160" s="7"/>
      <c r="DK160"/>
      <c r="DL160"/>
      <c r="DM160"/>
      <c r="DN160"/>
      <c r="DO160"/>
      <c r="DP160"/>
      <c r="DQ160" s="7"/>
      <c r="DR160" s="7"/>
    </row>
    <row r="161" spans="2:122" s="3" customFormat="1" ht="14.25">
      <c r="B161" s="6"/>
      <c r="C161" s="6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7"/>
      <c r="DH161" s="7"/>
      <c r="DI161" s="7"/>
      <c r="DJ161" s="7"/>
      <c r="DK161"/>
      <c r="DL161"/>
      <c r="DM161"/>
      <c r="DN161"/>
      <c r="DO161"/>
      <c r="DP161"/>
      <c r="DQ161" s="7"/>
      <c r="DR161" s="7"/>
    </row>
    <row r="162" spans="2:122" s="3" customFormat="1" ht="14.25">
      <c r="B162" s="6"/>
      <c r="C162" s="6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7"/>
      <c r="DH162" s="7"/>
      <c r="DI162" s="7"/>
      <c r="DJ162" s="7"/>
      <c r="DK162"/>
      <c r="DL162"/>
      <c r="DM162"/>
      <c r="DN162"/>
      <c r="DO162"/>
      <c r="DP162"/>
      <c r="DQ162" s="7"/>
      <c r="DR162" s="7"/>
    </row>
    <row r="163" spans="2:122" s="3" customFormat="1" ht="14.25">
      <c r="B163" s="6"/>
      <c r="C163" s="6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7"/>
      <c r="DH163" s="7"/>
      <c r="DI163" s="7"/>
      <c r="DJ163" s="7"/>
      <c r="DK163"/>
      <c r="DL163"/>
      <c r="DM163"/>
      <c r="DN163"/>
      <c r="DO163"/>
      <c r="DP163"/>
      <c r="DQ163" s="7"/>
      <c r="DR163" s="7"/>
    </row>
    <row r="164" spans="2:122" s="3" customFormat="1" ht="14.25">
      <c r="B164" s="6"/>
      <c r="C164" s="6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7"/>
      <c r="DH164" s="7"/>
      <c r="DI164" s="7"/>
      <c r="DJ164" s="7"/>
      <c r="DK164"/>
      <c r="DL164"/>
      <c r="DM164"/>
      <c r="DN164"/>
      <c r="DO164"/>
      <c r="DP164"/>
      <c r="DQ164" s="7"/>
      <c r="DR164" s="7"/>
    </row>
    <row r="165" spans="2:122" s="3" customFormat="1" ht="14.25">
      <c r="B165" s="6"/>
      <c r="C165" s="6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7"/>
      <c r="DH165" s="7"/>
      <c r="DI165" s="7"/>
      <c r="DJ165" s="7"/>
      <c r="DK165"/>
      <c r="DL165"/>
      <c r="DM165"/>
      <c r="DN165"/>
      <c r="DO165"/>
      <c r="DP165"/>
      <c r="DQ165" s="7"/>
      <c r="DR165" s="7"/>
    </row>
    <row r="166" spans="2:122" s="3" customFormat="1" ht="14.25">
      <c r="B166" s="6"/>
      <c r="C166" s="6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7"/>
      <c r="DH166" s="7"/>
      <c r="DI166" s="7"/>
      <c r="DJ166" s="7"/>
      <c r="DK166"/>
      <c r="DL166"/>
      <c r="DM166"/>
      <c r="DN166"/>
      <c r="DO166"/>
      <c r="DP166"/>
      <c r="DQ166" s="7"/>
      <c r="DR166" s="7"/>
    </row>
    <row r="167" spans="2:122" s="3" customFormat="1" ht="14.25">
      <c r="B167" s="6"/>
      <c r="C167" s="6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7"/>
      <c r="DH167" s="7"/>
      <c r="DI167" s="7"/>
      <c r="DJ167" s="7"/>
      <c r="DK167"/>
      <c r="DL167"/>
      <c r="DM167"/>
      <c r="DN167"/>
      <c r="DO167"/>
      <c r="DP167"/>
      <c r="DQ167" s="7"/>
      <c r="DR167" s="7"/>
    </row>
    <row r="168" spans="2:122" s="3" customFormat="1" ht="14.25">
      <c r="B168" s="6"/>
      <c r="C168" s="6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7"/>
      <c r="DH168" s="7"/>
      <c r="DI168" s="7"/>
      <c r="DJ168" s="7"/>
      <c r="DK168"/>
      <c r="DL168"/>
      <c r="DM168"/>
      <c r="DN168"/>
      <c r="DO168"/>
      <c r="DP168"/>
      <c r="DQ168" s="7"/>
      <c r="DR168" s="7"/>
    </row>
    <row r="169" spans="2:122" s="3" customFormat="1" ht="14.25">
      <c r="B169" s="6"/>
      <c r="C169" s="6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7"/>
      <c r="DH169" s="7"/>
      <c r="DI169" s="7"/>
      <c r="DJ169" s="7"/>
      <c r="DK169"/>
      <c r="DL169"/>
      <c r="DM169"/>
      <c r="DN169"/>
      <c r="DO169"/>
      <c r="DP169"/>
      <c r="DQ169" s="7"/>
      <c r="DR169" s="7"/>
    </row>
    <row r="170" spans="2:122" s="3" customFormat="1" ht="14.25">
      <c r="B170" s="6"/>
      <c r="C170" s="6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7"/>
      <c r="DH170" s="7"/>
      <c r="DI170" s="7"/>
      <c r="DJ170" s="7"/>
      <c r="DK170"/>
      <c r="DL170"/>
      <c r="DM170"/>
      <c r="DN170"/>
      <c r="DO170"/>
      <c r="DP170"/>
      <c r="DQ170" s="7"/>
      <c r="DR170" s="7"/>
    </row>
    <row r="171" spans="2:122" s="3" customFormat="1" ht="14.25">
      <c r="B171" s="6"/>
      <c r="C171" s="6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7"/>
      <c r="DH171" s="7"/>
      <c r="DI171" s="7"/>
      <c r="DJ171" s="7"/>
      <c r="DK171"/>
      <c r="DL171"/>
      <c r="DM171"/>
      <c r="DN171"/>
      <c r="DO171"/>
      <c r="DP171"/>
      <c r="DQ171" s="7"/>
      <c r="DR171" s="7"/>
    </row>
    <row r="172" spans="2:122" s="3" customFormat="1" ht="14.25">
      <c r="B172" s="6"/>
      <c r="C172" s="6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7"/>
      <c r="DH172" s="7"/>
      <c r="DI172" s="7"/>
      <c r="DJ172" s="7"/>
      <c r="DK172"/>
      <c r="DL172"/>
      <c r="DM172"/>
      <c r="DN172"/>
      <c r="DO172"/>
      <c r="DP172"/>
      <c r="DQ172" s="7"/>
      <c r="DR172" s="7"/>
    </row>
    <row r="173" spans="2:122" s="3" customFormat="1" ht="14.25">
      <c r="B173" s="6"/>
      <c r="C173" s="6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7"/>
      <c r="DH173" s="7"/>
      <c r="DI173" s="7"/>
      <c r="DJ173" s="7"/>
      <c r="DK173"/>
      <c r="DL173"/>
      <c r="DM173"/>
      <c r="DN173"/>
      <c r="DO173"/>
      <c r="DP173"/>
      <c r="DQ173" s="7"/>
      <c r="DR173" s="7"/>
    </row>
    <row r="174" spans="2:122" s="3" customFormat="1" ht="14.25">
      <c r="B174" s="6"/>
      <c r="C174" s="6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7"/>
      <c r="DH174" s="7"/>
      <c r="DI174" s="7"/>
      <c r="DJ174" s="7"/>
      <c r="DK174"/>
      <c r="DL174"/>
      <c r="DM174"/>
      <c r="DN174"/>
      <c r="DO174"/>
      <c r="DP174"/>
      <c r="DQ174" s="7"/>
      <c r="DR174" s="7"/>
    </row>
    <row r="175" spans="2:122" s="3" customFormat="1" ht="14.25">
      <c r="B175" s="6"/>
      <c r="C175" s="6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7"/>
      <c r="DH175" s="7"/>
      <c r="DI175" s="7"/>
      <c r="DJ175" s="7"/>
      <c r="DK175"/>
      <c r="DL175"/>
      <c r="DM175"/>
      <c r="DN175"/>
      <c r="DO175"/>
      <c r="DP175"/>
      <c r="DQ175" s="7"/>
      <c r="DR175" s="7"/>
    </row>
    <row r="176" spans="2:122" s="3" customFormat="1" ht="14.25">
      <c r="B176" s="6"/>
      <c r="C176" s="6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7"/>
      <c r="DH176" s="7"/>
      <c r="DI176" s="7"/>
      <c r="DJ176" s="7"/>
      <c r="DK176"/>
      <c r="DL176"/>
      <c r="DM176"/>
      <c r="DN176"/>
      <c r="DO176"/>
      <c r="DP176"/>
      <c r="DQ176" s="7"/>
      <c r="DR176" s="7"/>
    </row>
    <row r="177" spans="2:122" s="3" customFormat="1" ht="14.25">
      <c r="B177" s="6"/>
      <c r="C177" s="6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7"/>
      <c r="DH177" s="7"/>
      <c r="DI177" s="7"/>
      <c r="DJ177" s="7"/>
      <c r="DK177"/>
      <c r="DL177"/>
      <c r="DM177"/>
      <c r="DN177"/>
      <c r="DO177"/>
      <c r="DP177"/>
      <c r="DQ177" s="7"/>
      <c r="DR177" s="7"/>
    </row>
    <row r="178" spans="2:122" s="3" customFormat="1" ht="14.25">
      <c r="B178" s="6"/>
      <c r="C178" s="6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7"/>
      <c r="DH178" s="7"/>
      <c r="DI178" s="7"/>
      <c r="DJ178" s="7"/>
      <c r="DK178"/>
      <c r="DL178"/>
      <c r="DM178"/>
      <c r="DN178"/>
      <c r="DO178"/>
      <c r="DP178"/>
      <c r="DQ178" s="7"/>
      <c r="DR178" s="7"/>
    </row>
    <row r="179" spans="2:122" s="3" customFormat="1" ht="14.25">
      <c r="B179" s="6"/>
      <c r="C179" s="6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7"/>
      <c r="DH179" s="7"/>
      <c r="DI179" s="7"/>
      <c r="DJ179" s="7"/>
      <c r="DK179"/>
      <c r="DL179"/>
      <c r="DM179"/>
      <c r="DN179"/>
      <c r="DO179"/>
      <c r="DP179"/>
      <c r="DQ179" s="7"/>
      <c r="DR179" s="7"/>
    </row>
    <row r="180" spans="2:122" s="3" customFormat="1" ht="14.25">
      <c r="B180" s="6"/>
      <c r="C180" s="6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7"/>
      <c r="DH180" s="7"/>
      <c r="DI180" s="7"/>
      <c r="DJ180" s="7"/>
      <c r="DK180"/>
      <c r="DL180"/>
      <c r="DM180"/>
      <c r="DN180"/>
      <c r="DO180"/>
      <c r="DP180"/>
      <c r="DQ180" s="7"/>
      <c r="DR180" s="7"/>
    </row>
    <row r="181" spans="2:122" s="3" customFormat="1" ht="14.25">
      <c r="B181" s="6"/>
      <c r="C181" s="6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7"/>
      <c r="DH181" s="7"/>
      <c r="DI181" s="7"/>
      <c r="DJ181" s="7"/>
      <c r="DK181"/>
      <c r="DL181"/>
      <c r="DM181"/>
      <c r="DN181"/>
      <c r="DO181"/>
      <c r="DP181"/>
      <c r="DQ181" s="7"/>
      <c r="DR181" s="7"/>
    </row>
    <row r="182" spans="2:122" s="3" customFormat="1" ht="14.25">
      <c r="B182" s="6"/>
      <c r="C182" s="6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7"/>
      <c r="DH182" s="7"/>
      <c r="DI182" s="7"/>
      <c r="DJ182" s="7"/>
      <c r="DK182"/>
      <c r="DL182"/>
      <c r="DM182"/>
      <c r="DN182"/>
      <c r="DO182"/>
      <c r="DP182"/>
      <c r="DQ182" s="7"/>
      <c r="DR182" s="7"/>
    </row>
    <row r="183" spans="2:122" s="3" customFormat="1" ht="14.25">
      <c r="B183" s="6"/>
      <c r="C183" s="6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7"/>
      <c r="DH183" s="7"/>
      <c r="DI183" s="7"/>
      <c r="DJ183" s="7"/>
      <c r="DK183"/>
      <c r="DL183"/>
      <c r="DM183"/>
      <c r="DN183"/>
      <c r="DO183"/>
      <c r="DP183"/>
      <c r="DQ183" s="7"/>
      <c r="DR183" s="7"/>
    </row>
    <row r="184" spans="2:122" s="3" customFormat="1" ht="14.25">
      <c r="B184" s="6"/>
      <c r="C184" s="6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7"/>
      <c r="DH184" s="7"/>
      <c r="DI184" s="7"/>
      <c r="DJ184" s="7"/>
      <c r="DK184"/>
      <c r="DL184"/>
      <c r="DM184"/>
      <c r="DN184"/>
      <c r="DO184"/>
      <c r="DP184"/>
      <c r="DQ184" s="7"/>
      <c r="DR184" s="7"/>
    </row>
    <row r="185" spans="2:122" s="3" customFormat="1" ht="14.25">
      <c r="B185" s="6"/>
      <c r="C185" s="6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7"/>
      <c r="DH185" s="7"/>
      <c r="DI185" s="7"/>
      <c r="DJ185" s="7"/>
      <c r="DK185"/>
      <c r="DL185"/>
      <c r="DM185"/>
      <c r="DN185"/>
      <c r="DO185"/>
      <c r="DP185"/>
      <c r="DQ185" s="7"/>
      <c r="DR185" s="7"/>
    </row>
    <row r="186" spans="2:122" s="3" customFormat="1" ht="14.25">
      <c r="B186" s="6"/>
      <c r="C186" s="6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7"/>
      <c r="DH186" s="7"/>
      <c r="DI186" s="7"/>
      <c r="DJ186" s="7"/>
      <c r="DK186"/>
      <c r="DL186"/>
      <c r="DM186"/>
      <c r="DN186"/>
      <c r="DO186"/>
      <c r="DP186"/>
      <c r="DQ186" s="7"/>
      <c r="DR186" s="7"/>
    </row>
    <row r="187" spans="2:122" s="3" customFormat="1" ht="14.25">
      <c r="B187" s="6"/>
      <c r="C187" s="6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7"/>
      <c r="DH187" s="7"/>
      <c r="DI187" s="7"/>
      <c r="DJ187" s="7"/>
      <c r="DK187"/>
      <c r="DL187"/>
      <c r="DM187"/>
      <c r="DN187"/>
      <c r="DO187"/>
      <c r="DP187"/>
      <c r="DQ187" s="7"/>
      <c r="DR187" s="7"/>
    </row>
    <row r="188" spans="2:122" s="3" customFormat="1" ht="14.25">
      <c r="B188" s="6"/>
      <c r="C188" s="6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7"/>
      <c r="DH188" s="7"/>
      <c r="DI188" s="7"/>
      <c r="DJ188" s="7"/>
      <c r="DK188"/>
      <c r="DL188"/>
      <c r="DM188"/>
      <c r="DN188"/>
      <c r="DO188"/>
      <c r="DP188"/>
      <c r="DQ188" s="7"/>
      <c r="DR188" s="7"/>
    </row>
    <row r="189" spans="2:122" s="3" customFormat="1" ht="14.25">
      <c r="B189" s="6"/>
      <c r="C189" s="6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7"/>
      <c r="DH189" s="7"/>
      <c r="DI189" s="7"/>
      <c r="DJ189" s="7"/>
      <c r="DK189"/>
      <c r="DL189"/>
      <c r="DM189"/>
      <c r="DN189"/>
      <c r="DO189"/>
      <c r="DP189"/>
      <c r="DQ189" s="7"/>
      <c r="DR189" s="7"/>
    </row>
    <row r="190" spans="2:122" s="3" customFormat="1" ht="14.25">
      <c r="B190" s="6"/>
      <c r="C190" s="6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7"/>
      <c r="DH190" s="7"/>
      <c r="DI190" s="7"/>
      <c r="DJ190" s="7"/>
      <c r="DK190"/>
      <c r="DL190"/>
      <c r="DM190"/>
      <c r="DN190"/>
      <c r="DO190"/>
      <c r="DP190"/>
      <c r="DQ190" s="7"/>
      <c r="DR190" s="7"/>
    </row>
    <row r="191" spans="2:122" s="3" customFormat="1" ht="14.25">
      <c r="B191" s="6"/>
      <c r="C191" s="6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7"/>
      <c r="DH191" s="7"/>
      <c r="DI191" s="7"/>
      <c r="DJ191" s="7"/>
      <c r="DK191"/>
      <c r="DL191"/>
      <c r="DM191"/>
      <c r="DN191"/>
      <c r="DO191"/>
      <c r="DP191"/>
      <c r="DQ191" s="7"/>
      <c r="DR191" s="7"/>
    </row>
    <row r="192" spans="2:122" s="3" customFormat="1" ht="14.25">
      <c r="B192" s="6"/>
      <c r="C192" s="6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7"/>
      <c r="DH192" s="7"/>
      <c r="DI192" s="7"/>
      <c r="DJ192" s="7"/>
      <c r="DK192"/>
      <c r="DL192"/>
      <c r="DM192"/>
      <c r="DN192"/>
      <c r="DO192"/>
      <c r="DP192"/>
      <c r="DQ192" s="7"/>
      <c r="DR192" s="7"/>
    </row>
    <row r="193" spans="2:122" s="3" customFormat="1" ht="14.25">
      <c r="B193" s="6"/>
      <c r="C193" s="6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7"/>
      <c r="DH193" s="7"/>
      <c r="DI193" s="7"/>
      <c r="DJ193" s="7"/>
      <c r="DK193"/>
      <c r="DL193"/>
      <c r="DM193"/>
      <c r="DN193"/>
      <c r="DO193"/>
      <c r="DP193"/>
      <c r="DQ193" s="7"/>
      <c r="DR193" s="7"/>
    </row>
    <row r="194" spans="2:122" s="3" customFormat="1" ht="14.25">
      <c r="B194" s="6"/>
      <c r="C194" s="6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7"/>
      <c r="DH194" s="7"/>
      <c r="DI194" s="7"/>
      <c r="DJ194" s="7"/>
      <c r="DK194"/>
      <c r="DL194"/>
      <c r="DM194"/>
      <c r="DN194"/>
      <c r="DO194"/>
      <c r="DP194"/>
      <c r="DQ194" s="7"/>
      <c r="DR194" s="7"/>
    </row>
    <row r="195" spans="2:122" s="3" customFormat="1" ht="14.25">
      <c r="B195" s="6"/>
      <c r="C195" s="6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7"/>
      <c r="DH195" s="7"/>
      <c r="DI195" s="7"/>
      <c r="DJ195" s="7"/>
      <c r="DK195"/>
      <c r="DL195"/>
      <c r="DM195"/>
      <c r="DN195"/>
      <c r="DO195"/>
      <c r="DP195"/>
      <c r="DQ195" s="7"/>
      <c r="DR195" s="7"/>
    </row>
    <row r="196" spans="2:122" s="3" customFormat="1" ht="14.25">
      <c r="B196" s="6"/>
      <c r="C196" s="6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7"/>
      <c r="DH196" s="7"/>
      <c r="DI196" s="7"/>
      <c r="DJ196" s="7"/>
      <c r="DK196"/>
      <c r="DL196"/>
      <c r="DM196"/>
      <c r="DN196"/>
      <c r="DO196"/>
      <c r="DP196"/>
      <c r="DQ196" s="7"/>
      <c r="DR196" s="7"/>
    </row>
    <row r="197" spans="2:122" s="3" customFormat="1" ht="14.25">
      <c r="B197" s="6"/>
      <c r="C197" s="6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7"/>
      <c r="DH197" s="7"/>
      <c r="DI197" s="7"/>
      <c r="DJ197" s="7"/>
      <c r="DK197"/>
      <c r="DL197"/>
      <c r="DM197"/>
      <c r="DN197"/>
      <c r="DO197"/>
      <c r="DP197"/>
      <c r="DQ197" s="7"/>
      <c r="DR197" s="7"/>
    </row>
    <row r="198" spans="2:122" s="3" customFormat="1" ht="14.25">
      <c r="B198" s="6"/>
      <c r="C198" s="6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7"/>
      <c r="DH198" s="7"/>
      <c r="DI198" s="7"/>
      <c r="DJ198" s="7"/>
      <c r="DK198"/>
      <c r="DL198"/>
      <c r="DM198"/>
      <c r="DN198"/>
      <c r="DO198"/>
      <c r="DP198"/>
      <c r="DQ198" s="7"/>
      <c r="DR198" s="7"/>
    </row>
    <row r="199" spans="2:122" s="3" customFormat="1" ht="14.25">
      <c r="B199" s="6"/>
      <c r="C199" s="6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7"/>
      <c r="DH199" s="7"/>
      <c r="DI199" s="7"/>
      <c r="DJ199" s="7"/>
      <c r="DK199"/>
      <c r="DL199"/>
      <c r="DM199"/>
      <c r="DN199"/>
      <c r="DO199"/>
      <c r="DP199"/>
      <c r="DQ199" s="7"/>
      <c r="DR199" s="7"/>
    </row>
    <row r="200" spans="2:122" s="3" customFormat="1" ht="14.25">
      <c r="B200" s="6"/>
      <c r="C200" s="6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7"/>
      <c r="DH200" s="7"/>
      <c r="DI200" s="7"/>
      <c r="DJ200" s="7"/>
      <c r="DK200"/>
      <c r="DL200"/>
      <c r="DM200"/>
      <c r="DN200"/>
      <c r="DO200"/>
      <c r="DP200"/>
      <c r="DQ200" s="7"/>
      <c r="DR200" s="7"/>
    </row>
    <row r="201" spans="2:122" s="3" customFormat="1" ht="14.25">
      <c r="B201" s="6"/>
      <c r="C201" s="6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7"/>
      <c r="DH201" s="7"/>
      <c r="DI201" s="7"/>
      <c r="DJ201" s="7"/>
      <c r="DK201"/>
      <c r="DL201"/>
      <c r="DM201"/>
      <c r="DN201"/>
      <c r="DO201"/>
      <c r="DP201"/>
      <c r="DQ201" s="7"/>
      <c r="DR201" s="7"/>
    </row>
    <row r="202" spans="2:122" s="3" customFormat="1" ht="14.25">
      <c r="B202" s="6"/>
      <c r="C202" s="6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7"/>
      <c r="DH202" s="7"/>
      <c r="DI202" s="7"/>
      <c r="DJ202" s="7"/>
      <c r="DK202"/>
      <c r="DL202"/>
      <c r="DM202"/>
      <c r="DN202"/>
      <c r="DO202"/>
      <c r="DP202"/>
      <c r="DQ202" s="7"/>
      <c r="DR202" s="7"/>
    </row>
    <row r="203" spans="2:122" s="3" customFormat="1" ht="14.25">
      <c r="B203" s="6"/>
      <c r="C203" s="6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7"/>
      <c r="DH203" s="7"/>
      <c r="DI203" s="7"/>
      <c r="DJ203" s="7"/>
      <c r="DK203"/>
      <c r="DL203"/>
      <c r="DM203"/>
      <c r="DN203"/>
      <c r="DO203"/>
      <c r="DP203"/>
      <c r="DQ203" s="7"/>
      <c r="DR203" s="7"/>
    </row>
    <row r="204" spans="2:122" s="3" customFormat="1" ht="14.25">
      <c r="B204" s="6"/>
      <c r="C204" s="6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7"/>
      <c r="DH204" s="7"/>
      <c r="DI204" s="7"/>
      <c r="DJ204" s="7"/>
      <c r="DK204"/>
      <c r="DL204"/>
      <c r="DM204"/>
      <c r="DN204"/>
      <c r="DO204"/>
      <c r="DP204"/>
      <c r="DQ204" s="7"/>
      <c r="DR204" s="7"/>
    </row>
    <row r="205" spans="2:122" s="3" customFormat="1" ht="14.25">
      <c r="B205" s="6"/>
      <c r="C205" s="6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7"/>
      <c r="DH205" s="7"/>
      <c r="DI205" s="7"/>
      <c r="DJ205" s="7"/>
      <c r="DK205"/>
      <c r="DL205"/>
      <c r="DM205"/>
      <c r="DN205"/>
      <c r="DO205"/>
      <c r="DP205"/>
      <c r="DQ205" s="7"/>
      <c r="DR205" s="7"/>
    </row>
    <row r="206" spans="2:122" s="3" customFormat="1" ht="14.25">
      <c r="B206" s="6"/>
      <c r="C206" s="6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7"/>
      <c r="DH206" s="7"/>
      <c r="DI206" s="7"/>
      <c r="DJ206" s="7"/>
      <c r="DK206"/>
      <c r="DL206"/>
      <c r="DM206"/>
      <c r="DN206"/>
      <c r="DO206"/>
      <c r="DP206"/>
      <c r="DQ206" s="7"/>
      <c r="DR206" s="7"/>
    </row>
    <row r="207" spans="2:122" s="3" customFormat="1" ht="14.25">
      <c r="B207" s="6"/>
      <c r="C207" s="6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7"/>
      <c r="DH207" s="7"/>
      <c r="DI207" s="7"/>
      <c r="DJ207" s="7"/>
      <c r="DK207"/>
      <c r="DL207"/>
      <c r="DM207"/>
      <c r="DN207"/>
      <c r="DO207"/>
      <c r="DP207"/>
      <c r="DQ207" s="7"/>
      <c r="DR207" s="7"/>
    </row>
    <row r="208" spans="2:122" s="3" customFormat="1" ht="14.25">
      <c r="B208" s="6"/>
      <c r="C208" s="6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7"/>
      <c r="DH208" s="7"/>
      <c r="DI208" s="7"/>
      <c r="DJ208" s="7"/>
      <c r="DK208"/>
      <c r="DL208"/>
      <c r="DM208"/>
      <c r="DN208"/>
      <c r="DO208"/>
      <c r="DP208"/>
      <c r="DQ208" s="7"/>
      <c r="DR208" s="7"/>
    </row>
    <row r="209" spans="2:122" s="3" customFormat="1" ht="14.25">
      <c r="B209" s="6"/>
      <c r="C209" s="6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7"/>
      <c r="DH209" s="7"/>
      <c r="DI209" s="7"/>
      <c r="DJ209" s="7"/>
      <c r="DK209"/>
      <c r="DL209"/>
      <c r="DM209"/>
      <c r="DN209"/>
      <c r="DO209"/>
      <c r="DP209"/>
      <c r="DQ209" s="7"/>
      <c r="DR209" s="7"/>
    </row>
    <row r="210" spans="2:122" s="3" customFormat="1" ht="14.25">
      <c r="B210" s="6"/>
      <c r="C210" s="6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7"/>
      <c r="DH210" s="7"/>
      <c r="DI210" s="7"/>
      <c r="DJ210" s="7"/>
      <c r="DK210"/>
      <c r="DL210"/>
      <c r="DM210"/>
      <c r="DN210"/>
      <c r="DO210"/>
      <c r="DP210"/>
      <c r="DQ210" s="7"/>
      <c r="DR210" s="7"/>
    </row>
    <row r="211" spans="2:122" s="3" customFormat="1" ht="14.25">
      <c r="B211" s="6"/>
      <c r="C211" s="6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7"/>
      <c r="DH211" s="7"/>
      <c r="DI211" s="7"/>
      <c r="DJ211" s="7"/>
      <c r="DK211"/>
      <c r="DL211"/>
      <c r="DM211"/>
      <c r="DN211"/>
      <c r="DO211"/>
      <c r="DP211"/>
      <c r="DQ211" s="7"/>
      <c r="DR211" s="7"/>
    </row>
    <row r="212" spans="2:122" s="3" customFormat="1" ht="14.25">
      <c r="B212" s="6"/>
      <c r="C212" s="6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7"/>
      <c r="DH212" s="7"/>
      <c r="DI212" s="7"/>
      <c r="DJ212" s="7"/>
      <c r="DK212"/>
      <c r="DL212"/>
      <c r="DM212"/>
      <c r="DN212"/>
      <c r="DO212"/>
      <c r="DP212"/>
      <c r="DQ212" s="7"/>
      <c r="DR212" s="7"/>
    </row>
    <row r="213" spans="2:122" s="3" customFormat="1" ht="14.25">
      <c r="B213" s="6"/>
      <c r="C213" s="6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7"/>
      <c r="DH213" s="7"/>
      <c r="DI213" s="7"/>
      <c r="DJ213" s="7"/>
      <c r="DK213"/>
      <c r="DL213"/>
      <c r="DM213"/>
      <c r="DN213"/>
      <c r="DO213"/>
      <c r="DP213"/>
      <c r="DQ213" s="7"/>
      <c r="DR213" s="7"/>
    </row>
    <row r="214" spans="2:122" s="3" customFormat="1" ht="14.25">
      <c r="B214" s="6"/>
      <c r="C214" s="6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7"/>
      <c r="DH214" s="7"/>
      <c r="DI214" s="7"/>
      <c r="DJ214" s="7"/>
      <c r="DK214"/>
      <c r="DL214"/>
      <c r="DM214"/>
      <c r="DN214"/>
      <c r="DO214"/>
      <c r="DP214"/>
      <c r="DQ214" s="7"/>
      <c r="DR214" s="7"/>
    </row>
    <row r="215" spans="2:122" s="3" customFormat="1" ht="14.25">
      <c r="B215" s="6"/>
      <c r="C215" s="6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7"/>
      <c r="DH215" s="7"/>
      <c r="DI215" s="7"/>
      <c r="DJ215" s="7"/>
      <c r="DK215"/>
      <c r="DL215"/>
      <c r="DM215"/>
      <c r="DN215"/>
      <c r="DO215"/>
      <c r="DP215"/>
      <c r="DQ215" s="7"/>
      <c r="DR215" s="7"/>
    </row>
    <row r="216" spans="2:122" s="3" customFormat="1" ht="14.25">
      <c r="B216" s="6"/>
      <c r="C216" s="6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7"/>
      <c r="DH216" s="7"/>
      <c r="DI216" s="7"/>
      <c r="DJ216" s="7"/>
      <c r="DK216"/>
      <c r="DL216"/>
      <c r="DM216"/>
      <c r="DN216"/>
      <c r="DO216"/>
      <c r="DP216"/>
      <c r="DQ216" s="7"/>
      <c r="DR216" s="7"/>
    </row>
    <row r="217" spans="2:122" s="3" customFormat="1" ht="14.25">
      <c r="B217" s="6"/>
      <c r="C217" s="6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7"/>
      <c r="DH217" s="7"/>
      <c r="DI217" s="7"/>
      <c r="DJ217" s="7"/>
      <c r="DK217"/>
      <c r="DL217"/>
      <c r="DM217"/>
      <c r="DN217"/>
      <c r="DO217"/>
      <c r="DP217"/>
      <c r="DQ217" s="7"/>
      <c r="DR217" s="7"/>
    </row>
    <row r="218" spans="2:122" s="3" customFormat="1" ht="14.25">
      <c r="B218" s="6"/>
      <c r="C218" s="6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7"/>
      <c r="AT218" s="57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7"/>
      <c r="DH218" s="7"/>
      <c r="DI218" s="7"/>
      <c r="DJ218" s="7"/>
      <c r="DK218"/>
      <c r="DL218"/>
      <c r="DM218"/>
      <c r="DN218"/>
      <c r="DO218"/>
      <c r="DP218"/>
      <c r="DQ218" s="7"/>
      <c r="DR218" s="7"/>
    </row>
    <row r="219" spans="2:122" s="3" customFormat="1" ht="14.25">
      <c r="B219" s="6"/>
      <c r="C219" s="6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7"/>
      <c r="DH219" s="7"/>
      <c r="DI219" s="7"/>
      <c r="DJ219" s="7"/>
      <c r="DK219"/>
      <c r="DL219"/>
      <c r="DM219"/>
      <c r="DN219"/>
      <c r="DO219"/>
      <c r="DP219"/>
      <c r="DQ219" s="7"/>
      <c r="DR219" s="7"/>
    </row>
    <row r="220" spans="2:122" s="3" customFormat="1" ht="14.25">
      <c r="B220" s="6"/>
      <c r="C220" s="6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7"/>
      <c r="DH220" s="7"/>
      <c r="DI220" s="7"/>
      <c r="DJ220" s="7"/>
      <c r="DK220"/>
      <c r="DL220"/>
      <c r="DM220"/>
      <c r="DN220"/>
      <c r="DO220"/>
      <c r="DP220"/>
      <c r="DQ220" s="7"/>
      <c r="DR220" s="7"/>
    </row>
    <row r="221" spans="2:122" s="3" customFormat="1" ht="14.25">
      <c r="B221" s="6"/>
      <c r="C221" s="6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7"/>
      <c r="DH221" s="7"/>
      <c r="DI221" s="7"/>
      <c r="DJ221" s="7"/>
      <c r="DK221"/>
      <c r="DL221"/>
      <c r="DM221"/>
      <c r="DN221"/>
      <c r="DO221"/>
      <c r="DP221"/>
      <c r="DQ221" s="7"/>
      <c r="DR221" s="7"/>
    </row>
    <row r="222" spans="2:122" s="3" customFormat="1" ht="14.25">
      <c r="B222" s="6"/>
      <c r="C222" s="6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7"/>
      <c r="AT222" s="57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7"/>
      <c r="DH222" s="7"/>
      <c r="DI222" s="7"/>
      <c r="DJ222" s="7"/>
      <c r="DK222"/>
      <c r="DL222"/>
      <c r="DM222"/>
      <c r="DN222"/>
      <c r="DO222"/>
      <c r="DP222"/>
      <c r="DQ222" s="7"/>
      <c r="DR222" s="7"/>
    </row>
    <row r="223" spans="2:122" s="3" customFormat="1" ht="14.25">
      <c r="B223" s="6"/>
      <c r="C223" s="6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7"/>
      <c r="AT223" s="57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7"/>
      <c r="DH223" s="7"/>
      <c r="DI223" s="7"/>
      <c r="DJ223" s="7"/>
      <c r="DK223"/>
      <c r="DL223"/>
      <c r="DM223"/>
      <c r="DN223"/>
      <c r="DO223"/>
      <c r="DP223"/>
      <c r="DQ223" s="7"/>
      <c r="DR223" s="7"/>
    </row>
    <row r="224" spans="2:122" s="3" customFormat="1" ht="14.25">
      <c r="B224" s="6"/>
      <c r="C224" s="6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7"/>
      <c r="AT224" s="57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7"/>
      <c r="DH224" s="7"/>
      <c r="DI224" s="7"/>
      <c r="DJ224" s="7"/>
      <c r="DK224"/>
      <c r="DL224"/>
      <c r="DM224"/>
      <c r="DN224"/>
      <c r="DO224"/>
      <c r="DP224"/>
      <c r="DQ224" s="7"/>
      <c r="DR224" s="7"/>
    </row>
    <row r="225" spans="2:122" s="3" customFormat="1" ht="14.25">
      <c r="B225" s="6"/>
      <c r="C225" s="6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7"/>
      <c r="AT225" s="57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7"/>
      <c r="DH225" s="7"/>
      <c r="DI225" s="7"/>
      <c r="DJ225" s="7"/>
      <c r="DK225"/>
      <c r="DL225"/>
      <c r="DM225"/>
      <c r="DN225"/>
      <c r="DO225"/>
      <c r="DP225"/>
      <c r="DQ225" s="7"/>
      <c r="DR225" s="7"/>
    </row>
    <row r="226" spans="2:122" s="3" customFormat="1" ht="14.25">
      <c r="B226" s="6"/>
      <c r="C226" s="6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7"/>
      <c r="AT226" s="57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7"/>
      <c r="DH226" s="7"/>
      <c r="DI226" s="7"/>
      <c r="DJ226" s="7"/>
      <c r="DK226"/>
      <c r="DL226"/>
      <c r="DM226"/>
      <c r="DN226"/>
      <c r="DO226"/>
      <c r="DP226"/>
      <c r="DQ226" s="7"/>
      <c r="DR226" s="7"/>
    </row>
    <row r="227" spans="2:122" s="3" customFormat="1" ht="14.25">
      <c r="B227" s="6"/>
      <c r="C227" s="6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7"/>
      <c r="DH227" s="7"/>
      <c r="DI227" s="7"/>
      <c r="DJ227" s="7"/>
      <c r="DK227"/>
      <c r="DL227"/>
      <c r="DM227"/>
      <c r="DN227"/>
      <c r="DO227"/>
      <c r="DP227"/>
      <c r="DQ227" s="7"/>
      <c r="DR227" s="7"/>
    </row>
    <row r="228" spans="2:122" s="3" customFormat="1" ht="14.25">
      <c r="B228" s="6"/>
      <c r="C228" s="6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7"/>
      <c r="DH228" s="7"/>
      <c r="DI228" s="7"/>
      <c r="DJ228" s="7"/>
      <c r="DK228"/>
      <c r="DL228"/>
      <c r="DM228"/>
      <c r="DN228"/>
      <c r="DO228"/>
      <c r="DP228"/>
      <c r="DQ228" s="7"/>
      <c r="DR228" s="7"/>
    </row>
    <row r="229" spans="2:122" s="3" customFormat="1" ht="14.25">
      <c r="B229" s="6"/>
      <c r="C229" s="6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7"/>
      <c r="DH229" s="7"/>
      <c r="DI229" s="7"/>
      <c r="DJ229" s="7"/>
      <c r="DK229"/>
      <c r="DL229"/>
      <c r="DM229"/>
      <c r="DN229"/>
      <c r="DO229"/>
      <c r="DP229"/>
      <c r="DQ229" s="7"/>
      <c r="DR229" s="7"/>
    </row>
    <row r="230" spans="2:122" s="3" customFormat="1" ht="14.25">
      <c r="B230" s="6"/>
      <c r="C230" s="6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7"/>
      <c r="AT230" s="57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7"/>
      <c r="DH230" s="7"/>
      <c r="DI230" s="7"/>
      <c r="DJ230" s="7"/>
      <c r="DK230"/>
      <c r="DL230"/>
      <c r="DM230"/>
      <c r="DN230"/>
      <c r="DO230"/>
      <c r="DP230"/>
      <c r="DQ230" s="7"/>
      <c r="DR230" s="7"/>
    </row>
    <row r="231" spans="2:122" s="3" customFormat="1" ht="14.25">
      <c r="B231" s="6"/>
      <c r="C231" s="6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7"/>
      <c r="AT231" s="57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7"/>
      <c r="DH231" s="7"/>
      <c r="DI231" s="7"/>
      <c r="DJ231" s="7"/>
      <c r="DK231"/>
      <c r="DL231"/>
      <c r="DM231"/>
      <c r="DN231"/>
      <c r="DO231"/>
      <c r="DP231"/>
      <c r="DQ231" s="7"/>
      <c r="DR231" s="7"/>
    </row>
    <row r="232" spans="2:122" s="3" customFormat="1" ht="14.25">
      <c r="B232" s="6"/>
      <c r="C232" s="6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7"/>
      <c r="AT232" s="57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7"/>
      <c r="DH232" s="7"/>
      <c r="DI232" s="7"/>
      <c r="DJ232" s="7"/>
      <c r="DK232"/>
      <c r="DL232"/>
      <c r="DM232"/>
      <c r="DN232"/>
      <c r="DO232"/>
      <c r="DP232"/>
      <c r="DQ232" s="7"/>
      <c r="DR232" s="7"/>
    </row>
    <row r="233" spans="2:122" s="3" customFormat="1" ht="14.25">
      <c r="B233" s="6"/>
      <c r="C233" s="6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7"/>
      <c r="DH233" s="7"/>
      <c r="DI233" s="7"/>
      <c r="DJ233" s="7"/>
      <c r="DK233"/>
      <c r="DL233"/>
      <c r="DM233"/>
      <c r="DN233"/>
      <c r="DO233"/>
      <c r="DP233"/>
      <c r="DQ233" s="7"/>
      <c r="DR233" s="7"/>
    </row>
    <row r="234" spans="2:122" s="3" customFormat="1" ht="14.25">
      <c r="B234" s="6"/>
      <c r="C234" s="6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7"/>
      <c r="AT234" s="57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7"/>
      <c r="DH234" s="7"/>
      <c r="DI234" s="7"/>
      <c r="DJ234" s="7"/>
      <c r="DK234"/>
      <c r="DL234"/>
      <c r="DM234"/>
      <c r="DN234"/>
      <c r="DO234"/>
      <c r="DP234"/>
      <c r="DQ234" s="7"/>
      <c r="DR234" s="7"/>
    </row>
    <row r="235" spans="2:122" s="3" customFormat="1" ht="14.25">
      <c r="B235" s="6"/>
      <c r="C235" s="6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7"/>
      <c r="DH235" s="7"/>
      <c r="DI235" s="7"/>
      <c r="DJ235" s="7"/>
      <c r="DK235"/>
      <c r="DL235"/>
      <c r="DM235"/>
      <c r="DN235"/>
      <c r="DO235"/>
      <c r="DP235"/>
      <c r="DQ235" s="7"/>
      <c r="DR235" s="7"/>
    </row>
    <row r="236" spans="2:122" s="3" customFormat="1" ht="14.25">
      <c r="B236" s="6"/>
      <c r="C236" s="6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7"/>
      <c r="DH236" s="7"/>
      <c r="DI236" s="7"/>
      <c r="DJ236" s="7"/>
      <c r="DK236"/>
      <c r="DL236"/>
      <c r="DM236"/>
      <c r="DN236"/>
      <c r="DO236"/>
      <c r="DP236"/>
      <c r="DQ236" s="7"/>
      <c r="DR236" s="7"/>
    </row>
    <row r="237" spans="2:122" s="3" customFormat="1" ht="14.25">
      <c r="B237" s="6"/>
      <c r="C237" s="6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7"/>
      <c r="DH237" s="7"/>
      <c r="DI237" s="7"/>
      <c r="DJ237" s="7"/>
      <c r="DK237"/>
      <c r="DL237"/>
      <c r="DM237"/>
      <c r="DN237"/>
      <c r="DO237"/>
      <c r="DP237"/>
      <c r="DQ237" s="7"/>
      <c r="DR237" s="7"/>
    </row>
    <row r="238" spans="2:122" s="3" customFormat="1" ht="14.25">
      <c r="B238" s="6"/>
      <c r="C238" s="6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7"/>
      <c r="AT238" s="57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7"/>
      <c r="DH238" s="7"/>
      <c r="DI238" s="7"/>
      <c r="DJ238" s="7"/>
      <c r="DK238"/>
      <c r="DL238"/>
      <c r="DM238"/>
      <c r="DN238"/>
      <c r="DO238"/>
      <c r="DP238"/>
      <c r="DQ238" s="7"/>
      <c r="DR238" s="7"/>
    </row>
    <row r="239" spans="2:122" s="3" customFormat="1" ht="14.25">
      <c r="B239" s="6"/>
      <c r="C239" s="6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7"/>
      <c r="AT239" s="57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7"/>
      <c r="DH239" s="7"/>
      <c r="DI239" s="7"/>
      <c r="DJ239" s="7"/>
      <c r="DK239"/>
      <c r="DL239"/>
      <c r="DM239"/>
      <c r="DN239"/>
      <c r="DO239"/>
      <c r="DP239"/>
      <c r="DQ239" s="7"/>
      <c r="DR239" s="7"/>
    </row>
    <row r="240" spans="2:122" s="3" customFormat="1" ht="14.25">
      <c r="B240" s="6"/>
      <c r="C240" s="6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7"/>
      <c r="AT240" s="57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7"/>
      <c r="DH240" s="7"/>
      <c r="DI240" s="7"/>
      <c r="DJ240" s="7"/>
      <c r="DK240"/>
      <c r="DL240"/>
      <c r="DM240"/>
      <c r="DN240"/>
      <c r="DO240"/>
      <c r="DP240"/>
      <c r="DQ240" s="7"/>
      <c r="DR240" s="7"/>
    </row>
    <row r="241" spans="2:122" s="3" customFormat="1" ht="14.25">
      <c r="B241" s="6"/>
      <c r="C241" s="6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7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7"/>
      <c r="DH241" s="7"/>
      <c r="DI241" s="7"/>
      <c r="DJ241" s="7"/>
      <c r="DK241"/>
      <c r="DL241"/>
      <c r="DM241"/>
      <c r="DN241"/>
      <c r="DO241"/>
      <c r="DP241"/>
      <c r="DQ241" s="7"/>
      <c r="DR241" s="7"/>
    </row>
    <row r="242" spans="2:122" s="3" customFormat="1" ht="14.25">
      <c r="B242" s="6"/>
      <c r="C242" s="6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7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7"/>
      <c r="DH242" s="7"/>
      <c r="DI242" s="7"/>
      <c r="DJ242" s="7"/>
      <c r="DK242"/>
      <c r="DL242"/>
      <c r="DM242"/>
      <c r="DN242"/>
      <c r="DO242"/>
      <c r="DP242"/>
      <c r="DQ242" s="7"/>
      <c r="DR242" s="7"/>
    </row>
    <row r="243" spans="2:122" s="3" customFormat="1" ht="14.25">
      <c r="B243" s="6"/>
      <c r="C243" s="6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7"/>
      <c r="DH243" s="7"/>
      <c r="DI243" s="7"/>
      <c r="DJ243" s="7"/>
      <c r="DK243"/>
      <c r="DL243"/>
      <c r="DM243"/>
      <c r="DN243"/>
      <c r="DO243"/>
      <c r="DP243"/>
      <c r="DQ243" s="7"/>
      <c r="DR243" s="7"/>
    </row>
    <row r="244" spans="2:122" s="3" customFormat="1" ht="14.25">
      <c r="B244" s="6"/>
      <c r="C244" s="6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7"/>
      <c r="DH244" s="7"/>
      <c r="DI244" s="7"/>
      <c r="DJ244" s="7"/>
      <c r="DK244"/>
      <c r="DL244"/>
      <c r="DM244"/>
      <c r="DN244"/>
      <c r="DO244"/>
      <c r="DP244"/>
      <c r="DQ244" s="7"/>
      <c r="DR244" s="7"/>
    </row>
    <row r="245" spans="2:122" s="3" customFormat="1" ht="14.25">
      <c r="B245" s="6"/>
      <c r="C245" s="6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7"/>
      <c r="DH245" s="7"/>
      <c r="DI245" s="7"/>
      <c r="DJ245" s="7"/>
      <c r="DK245"/>
      <c r="DL245"/>
      <c r="DM245"/>
      <c r="DN245"/>
      <c r="DO245"/>
      <c r="DP245"/>
      <c r="DQ245" s="7"/>
      <c r="DR245" s="7"/>
    </row>
    <row r="246" spans="2:122" s="3" customFormat="1" ht="14.25">
      <c r="B246" s="6"/>
      <c r="C246" s="6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7"/>
      <c r="DH246" s="7"/>
      <c r="DI246" s="7"/>
      <c r="DJ246" s="7"/>
      <c r="DK246"/>
      <c r="DL246"/>
      <c r="DM246"/>
      <c r="DN246"/>
      <c r="DO246"/>
      <c r="DP246"/>
      <c r="DQ246" s="7"/>
      <c r="DR246" s="7"/>
    </row>
    <row r="247" spans="2:122" s="3" customFormat="1" ht="14.25">
      <c r="B247" s="6"/>
      <c r="C247" s="6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7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7"/>
      <c r="DH247" s="7"/>
      <c r="DI247" s="7"/>
      <c r="DJ247" s="7"/>
      <c r="DK247"/>
      <c r="DL247"/>
      <c r="DM247"/>
      <c r="DN247"/>
      <c r="DO247"/>
      <c r="DP247"/>
      <c r="DQ247" s="7"/>
      <c r="DR247" s="7"/>
    </row>
    <row r="248" spans="2:122" s="3" customFormat="1" ht="14.25">
      <c r="B248" s="6"/>
      <c r="C248" s="6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7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7"/>
      <c r="DH248" s="7"/>
      <c r="DI248" s="7"/>
      <c r="DJ248" s="7"/>
      <c r="DK248"/>
      <c r="DL248"/>
      <c r="DM248"/>
      <c r="DN248"/>
      <c r="DO248"/>
      <c r="DP248"/>
      <c r="DQ248" s="7"/>
      <c r="DR248" s="7"/>
    </row>
    <row r="249" spans="2:122" s="3" customFormat="1" ht="14.25">
      <c r="B249" s="6"/>
      <c r="C249" s="6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7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7"/>
      <c r="DH249" s="7"/>
      <c r="DI249" s="7"/>
      <c r="DJ249" s="7"/>
      <c r="DK249"/>
      <c r="DL249"/>
      <c r="DM249"/>
      <c r="DN249"/>
      <c r="DO249"/>
      <c r="DP249"/>
      <c r="DQ249" s="7"/>
      <c r="DR249" s="7"/>
    </row>
    <row r="250" spans="2:122" s="3" customFormat="1" ht="14.25">
      <c r="B250" s="6"/>
      <c r="C250" s="6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7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7"/>
      <c r="DH250" s="7"/>
      <c r="DI250" s="7"/>
      <c r="DJ250" s="7"/>
      <c r="DK250"/>
      <c r="DL250"/>
      <c r="DM250"/>
      <c r="DN250"/>
      <c r="DO250"/>
      <c r="DP250"/>
      <c r="DQ250" s="7"/>
      <c r="DR250" s="7"/>
    </row>
    <row r="251" spans="2:122" s="3" customFormat="1" ht="14.25">
      <c r="B251" s="6"/>
      <c r="C251" s="6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7"/>
      <c r="DH251" s="7"/>
      <c r="DI251" s="7"/>
      <c r="DJ251" s="7"/>
      <c r="DK251"/>
      <c r="DL251"/>
      <c r="DM251"/>
      <c r="DN251"/>
      <c r="DO251"/>
      <c r="DP251"/>
      <c r="DQ251" s="7"/>
      <c r="DR251" s="7"/>
    </row>
    <row r="252" spans="2:122" s="3" customFormat="1" ht="14.25">
      <c r="B252" s="6"/>
      <c r="C252" s="6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7"/>
      <c r="DH252" s="7"/>
      <c r="DI252" s="7"/>
      <c r="DJ252" s="7"/>
      <c r="DK252"/>
      <c r="DL252"/>
      <c r="DM252"/>
      <c r="DN252"/>
      <c r="DO252"/>
      <c r="DP252"/>
      <c r="DQ252" s="7"/>
      <c r="DR252" s="7"/>
    </row>
    <row r="253" spans="2:122" s="3" customFormat="1" ht="14.25">
      <c r="B253" s="6"/>
      <c r="C253" s="6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7"/>
      <c r="DH253" s="7"/>
      <c r="DI253" s="7"/>
      <c r="DJ253" s="7"/>
      <c r="DK253"/>
      <c r="DL253"/>
      <c r="DM253"/>
      <c r="DN253"/>
      <c r="DO253"/>
      <c r="DP253"/>
      <c r="DQ253" s="7"/>
      <c r="DR253" s="7"/>
    </row>
    <row r="254" spans="2:122" s="3" customFormat="1" ht="14.25">
      <c r="B254" s="6"/>
      <c r="C254" s="6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7"/>
      <c r="AT254" s="57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7"/>
      <c r="DH254" s="7"/>
      <c r="DI254" s="7"/>
      <c r="DJ254" s="7"/>
      <c r="DK254"/>
      <c r="DL254"/>
      <c r="DM254"/>
      <c r="DN254"/>
      <c r="DO254"/>
      <c r="DP254"/>
      <c r="DQ254" s="7"/>
      <c r="DR254" s="7"/>
    </row>
    <row r="255" spans="2:122" s="3" customFormat="1" ht="14.25">
      <c r="B255" s="6"/>
      <c r="C255" s="6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7"/>
      <c r="AT255" s="57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7"/>
      <c r="DH255" s="7"/>
      <c r="DI255" s="7"/>
      <c r="DJ255" s="7"/>
      <c r="DK255"/>
      <c r="DL255"/>
      <c r="DM255"/>
      <c r="DN255"/>
      <c r="DO255"/>
      <c r="DP255"/>
      <c r="DQ255" s="7"/>
      <c r="DR255" s="7"/>
    </row>
    <row r="256" spans="2:122" s="3" customFormat="1" ht="14.25">
      <c r="B256" s="6"/>
      <c r="C256" s="6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7"/>
      <c r="AT256" s="57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7"/>
      <c r="DH256" s="7"/>
      <c r="DI256" s="7"/>
      <c r="DJ256" s="7"/>
      <c r="DK256"/>
      <c r="DL256"/>
      <c r="DM256"/>
      <c r="DN256"/>
      <c r="DO256"/>
      <c r="DP256"/>
      <c r="DQ256" s="7"/>
      <c r="DR256" s="7"/>
    </row>
    <row r="257" spans="2:122" s="3" customFormat="1" ht="14.25">
      <c r="B257" s="6"/>
      <c r="C257" s="6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7"/>
      <c r="AT257" s="57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7"/>
      <c r="DH257" s="7"/>
      <c r="DI257" s="7"/>
      <c r="DJ257" s="7"/>
      <c r="DK257"/>
      <c r="DL257"/>
      <c r="DM257"/>
      <c r="DN257"/>
      <c r="DO257"/>
      <c r="DP257"/>
      <c r="DQ257" s="7"/>
      <c r="DR257" s="7"/>
    </row>
    <row r="258" spans="2:122" s="3" customFormat="1" ht="14.25">
      <c r="B258" s="6"/>
      <c r="C258" s="6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7"/>
      <c r="AT258" s="57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7"/>
      <c r="DH258" s="7"/>
      <c r="DI258" s="7"/>
      <c r="DJ258" s="7"/>
      <c r="DK258"/>
      <c r="DL258"/>
      <c r="DM258"/>
      <c r="DN258"/>
      <c r="DO258"/>
      <c r="DP258"/>
      <c r="DQ258" s="7"/>
      <c r="DR258" s="7"/>
    </row>
    <row r="259" spans="2:122" s="3" customFormat="1" ht="14.25">
      <c r="B259" s="6"/>
      <c r="C259" s="6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7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7"/>
      <c r="DH259" s="7"/>
      <c r="DI259" s="7"/>
      <c r="DJ259" s="7"/>
      <c r="DK259"/>
      <c r="DL259"/>
      <c r="DM259"/>
      <c r="DN259"/>
      <c r="DO259"/>
      <c r="DP259"/>
      <c r="DQ259" s="7"/>
      <c r="DR259" s="7"/>
    </row>
    <row r="260" spans="2:122" s="3" customFormat="1" ht="14.25">
      <c r="B260" s="6"/>
      <c r="C260" s="6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7"/>
      <c r="DH260" s="7"/>
      <c r="DI260" s="7"/>
      <c r="DJ260" s="7"/>
      <c r="DK260"/>
      <c r="DL260"/>
      <c r="DM260"/>
      <c r="DN260"/>
      <c r="DO260"/>
      <c r="DP260"/>
      <c r="DQ260" s="7"/>
      <c r="DR260" s="7"/>
    </row>
    <row r="261" spans="2:122" s="3" customFormat="1" ht="14.25">
      <c r="B261" s="6"/>
      <c r="C261" s="6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7"/>
      <c r="DH261" s="7"/>
      <c r="DI261" s="7"/>
      <c r="DJ261" s="7"/>
      <c r="DK261"/>
      <c r="DL261"/>
      <c r="DM261"/>
      <c r="DN261"/>
      <c r="DO261"/>
      <c r="DP261"/>
      <c r="DQ261" s="7"/>
      <c r="DR261" s="7"/>
    </row>
    <row r="262" spans="2:122" s="3" customFormat="1" ht="14.25">
      <c r="B262" s="6"/>
      <c r="C262" s="6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57"/>
      <c r="AS262" s="57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7"/>
      <c r="DH262" s="7"/>
      <c r="DI262" s="7"/>
      <c r="DJ262" s="7"/>
      <c r="DK262"/>
      <c r="DL262"/>
      <c r="DM262"/>
      <c r="DN262"/>
      <c r="DO262"/>
      <c r="DP262"/>
      <c r="DQ262" s="7"/>
      <c r="DR262" s="7"/>
    </row>
    <row r="263" spans="2:122" s="3" customFormat="1" ht="14.25">
      <c r="B263" s="6"/>
      <c r="C263" s="6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57"/>
      <c r="AS263" s="57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7"/>
      <c r="DH263" s="7"/>
      <c r="DI263" s="7"/>
      <c r="DJ263" s="7"/>
      <c r="DK263"/>
      <c r="DL263"/>
      <c r="DM263"/>
      <c r="DN263"/>
      <c r="DO263"/>
      <c r="DP263"/>
      <c r="DQ263" s="7"/>
      <c r="DR263" s="7"/>
    </row>
    <row r="264" spans="2:122" s="3" customFormat="1" ht="14.25">
      <c r="B264" s="6"/>
      <c r="C264" s="6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7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7"/>
      <c r="DH264" s="7"/>
      <c r="DI264" s="7"/>
      <c r="DJ264" s="7"/>
      <c r="DK264"/>
      <c r="DL264"/>
      <c r="DM264"/>
      <c r="DN264"/>
      <c r="DO264"/>
      <c r="DP264"/>
      <c r="DQ264" s="7"/>
      <c r="DR264" s="7"/>
    </row>
    <row r="265" spans="2:122" s="3" customFormat="1" ht="14.25">
      <c r="B265" s="6"/>
      <c r="C265" s="6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7"/>
      <c r="AT265" s="57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7"/>
      <c r="DH265" s="7"/>
      <c r="DI265" s="7"/>
      <c r="DJ265" s="7"/>
      <c r="DK265"/>
      <c r="DL265"/>
      <c r="DM265"/>
      <c r="DN265"/>
      <c r="DO265"/>
      <c r="DP265"/>
      <c r="DQ265" s="7"/>
      <c r="DR265" s="7"/>
    </row>
    <row r="266" spans="2:122" s="3" customFormat="1" ht="14.25">
      <c r="B266" s="6"/>
      <c r="C266" s="6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7"/>
      <c r="DH266" s="7"/>
      <c r="DI266" s="7"/>
      <c r="DJ266" s="7"/>
      <c r="DK266"/>
      <c r="DL266"/>
      <c r="DM266"/>
      <c r="DN266"/>
      <c r="DO266"/>
      <c r="DP266"/>
      <c r="DQ266" s="7"/>
      <c r="DR266" s="7"/>
    </row>
    <row r="267" spans="2:122" s="3" customFormat="1" ht="14.25">
      <c r="B267" s="6"/>
      <c r="C267" s="6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57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  <c r="BD267" s="57"/>
      <c r="BE267" s="57"/>
      <c r="BF267" s="57"/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7"/>
      <c r="DH267" s="7"/>
      <c r="DI267" s="7"/>
      <c r="DJ267" s="7"/>
      <c r="DK267"/>
      <c r="DL267"/>
      <c r="DM267"/>
      <c r="DN267"/>
      <c r="DO267"/>
      <c r="DP267"/>
      <c r="DQ267" s="7"/>
      <c r="DR267" s="7"/>
    </row>
    <row r="268" spans="2:122" s="3" customFormat="1" ht="14.25">
      <c r="B268" s="6"/>
      <c r="C268" s="6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  <c r="BD268" s="57"/>
      <c r="BE268" s="57"/>
      <c r="BF268" s="57"/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7"/>
      <c r="DH268" s="7"/>
      <c r="DI268" s="7"/>
      <c r="DJ268" s="7"/>
      <c r="DK268"/>
      <c r="DL268"/>
      <c r="DM268"/>
      <c r="DN268"/>
      <c r="DO268"/>
      <c r="DP268"/>
      <c r="DQ268" s="7"/>
      <c r="DR268" s="7"/>
    </row>
    <row r="269" spans="2:122" s="3" customFormat="1" ht="14.25">
      <c r="B269" s="6"/>
      <c r="C269" s="6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  <c r="AK269" s="57"/>
      <c r="AL269" s="57"/>
      <c r="AM269" s="57"/>
      <c r="AN269" s="57"/>
      <c r="AO269" s="57"/>
      <c r="AP269" s="57"/>
      <c r="AQ269" s="57"/>
      <c r="AR269" s="57"/>
      <c r="AS269" s="57"/>
      <c r="AT269" s="57"/>
      <c r="AU269" s="57"/>
      <c r="AV269" s="57"/>
      <c r="AW269" s="57"/>
      <c r="AX269" s="57"/>
      <c r="AY269" s="57"/>
      <c r="AZ269" s="57"/>
      <c r="BA269" s="57"/>
      <c r="BB269" s="57"/>
      <c r="BC269" s="57"/>
      <c r="BD269" s="57"/>
      <c r="BE269" s="57"/>
      <c r="BF269" s="57"/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7"/>
      <c r="DH269" s="7"/>
      <c r="DI269" s="7"/>
      <c r="DJ269" s="7"/>
      <c r="DK269"/>
      <c r="DL269"/>
      <c r="DM269"/>
      <c r="DN269"/>
      <c r="DO269"/>
      <c r="DP269"/>
      <c r="DQ269" s="7"/>
      <c r="DR269" s="7"/>
    </row>
    <row r="270" spans="2:122" s="3" customFormat="1" ht="14.25">
      <c r="B270" s="6"/>
      <c r="C270" s="6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  <c r="AK270" s="57"/>
      <c r="AL270" s="57"/>
      <c r="AM270" s="57"/>
      <c r="AN270" s="57"/>
      <c r="AO270" s="57"/>
      <c r="AP270" s="57"/>
      <c r="AQ270" s="57"/>
      <c r="AR270" s="57"/>
      <c r="AS270" s="57"/>
      <c r="AT270" s="57"/>
      <c r="AU270" s="57"/>
      <c r="AV270" s="57"/>
      <c r="AW270" s="57"/>
      <c r="AX270" s="57"/>
      <c r="AY270" s="57"/>
      <c r="AZ270" s="57"/>
      <c r="BA270" s="57"/>
      <c r="BB270" s="57"/>
      <c r="BC270" s="57"/>
      <c r="BD270" s="57"/>
      <c r="BE270" s="57"/>
      <c r="BF270" s="57"/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7"/>
      <c r="DH270" s="7"/>
      <c r="DI270" s="7"/>
      <c r="DJ270" s="7"/>
      <c r="DK270"/>
      <c r="DL270"/>
      <c r="DM270"/>
      <c r="DN270"/>
      <c r="DO270"/>
      <c r="DP270"/>
      <c r="DQ270" s="7"/>
      <c r="DR270" s="7"/>
    </row>
    <row r="271" spans="2:122" s="3" customFormat="1" ht="14.25">
      <c r="B271" s="6"/>
      <c r="C271" s="6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7"/>
      <c r="DH271" s="7"/>
      <c r="DI271" s="7"/>
      <c r="DJ271" s="7"/>
      <c r="DK271"/>
      <c r="DL271"/>
      <c r="DM271"/>
      <c r="DN271"/>
      <c r="DO271"/>
      <c r="DP271"/>
      <c r="DQ271" s="7"/>
      <c r="DR271" s="7"/>
    </row>
    <row r="272" spans="2:122" s="3" customFormat="1" ht="14.25">
      <c r="B272" s="6"/>
      <c r="C272" s="6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  <c r="AK272" s="57"/>
      <c r="AL272" s="57"/>
      <c r="AM272" s="57"/>
      <c r="AN272" s="57"/>
      <c r="AO272" s="57"/>
      <c r="AP272" s="57"/>
      <c r="AQ272" s="57"/>
      <c r="AR272" s="57"/>
      <c r="AS272" s="57"/>
      <c r="AT272" s="57"/>
      <c r="AU272" s="57"/>
      <c r="AV272" s="57"/>
      <c r="AW272" s="57"/>
      <c r="AX272" s="57"/>
      <c r="AY272" s="57"/>
      <c r="AZ272" s="57"/>
      <c r="BA272" s="57"/>
      <c r="BB272" s="57"/>
      <c r="BC272" s="57"/>
      <c r="BD272" s="57"/>
      <c r="BE272" s="57"/>
      <c r="BF272" s="57"/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7"/>
      <c r="DH272" s="7"/>
      <c r="DI272" s="7"/>
      <c r="DJ272" s="7"/>
      <c r="DK272"/>
      <c r="DL272"/>
      <c r="DM272"/>
      <c r="DN272"/>
      <c r="DO272"/>
      <c r="DP272"/>
      <c r="DQ272" s="7"/>
      <c r="DR272" s="7"/>
    </row>
    <row r="273" spans="2:122" s="3" customFormat="1" ht="14.25">
      <c r="B273" s="6"/>
      <c r="C273" s="6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57"/>
      <c r="AP273" s="57"/>
      <c r="AQ273" s="57"/>
      <c r="AR273" s="57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  <c r="BD273" s="57"/>
      <c r="BE273" s="57"/>
      <c r="BF273" s="57"/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7"/>
      <c r="DH273" s="7"/>
      <c r="DI273" s="7"/>
      <c r="DJ273" s="7"/>
      <c r="DK273"/>
      <c r="DL273"/>
      <c r="DM273"/>
      <c r="DN273"/>
      <c r="DO273"/>
      <c r="DP273"/>
      <c r="DQ273" s="7"/>
      <c r="DR273" s="7"/>
    </row>
    <row r="274" spans="2:122" s="3" customFormat="1" ht="14.25">
      <c r="B274" s="6"/>
      <c r="C274" s="6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  <c r="BD274" s="57"/>
      <c r="BE274" s="57"/>
      <c r="BF274" s="57"/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7"/>
      <c r="DH274" s="7"/>
      <c r="DI274" s="7"/>
      <c r="DJ274" s="7"/>
      <c r="DK274"/>
      <c r="DL274"/>
      <c r="DM274"/>
      <c r="DN274"/>
      <c r="DO274"/>
      <c r="DP274"/>
      <c r="DQ274" s="7"/>
      <c r="DR274" s="7"/>
    </row>
    <row r="275" spans="2:122" s="3" customFormat="1" ht="14.25">
      <c r="B275" s="6"/>
      <c r="C275" s="6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57"/>
      <c r="AP275" s="57"/>
      <c r="AQ275" s="57"/>
      <c r="AR275" s="57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7"/>
      <c r="DH275" s="7"/>
      <c r="DI275" s="7"/>
      <c r="DJ275" s="7"/>
      <c r="DK275"/>
      <c r="DL275"/>
      <c r="DM275"/>
      <c r="DN275"/>
      <c r="DO275"/>
      <c r="DP275"/>
      <c r="DQ275" s="7"/>
      <c r="DR275" s="7"/>
    </row>
    <row r="276" spans="2:122" s="7" customFormat="1" ht="14.25">
      <c r="B276" s="6"/>
      <c r="C276" s="6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  <c r="AK276" s="57"/>
      <c r="AL276" s="57"/>
      <c r="AM276" s="57"/>
      <c r="AN276" s="57"/>
      <c r="AO276" s="57"/>
      <c r="AP276" s="57"/>
      <c r="AQ276" s="57"/>
      <c r="AR276" s="57"/>
      <c r="AS276" s="57"/>
      <c r="AT276" s="57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114"/>
      <c r="BZ276" s="114"/>
      <c r="CA276" s="114"/>
      <c r="CB276" s="114"/>
      <c r="CC276" s="114"/>
      <c r="CD276" s="114"/>
      <c r="CE276" s="114"/>
      <c r="CF276" s="114"/>
      <c r="CG276" s="114"/>
      <c r="CH276" s="114"/>
      <c r="CI276" s="114"/>
      <c r="CJ276" s="114"/>
      <c r="CK276" s="114"/>
      <c r="CL276" s="114"/>
      <c r="CM276" s="114"/>
      <c r="CN276" s="114"/>
      <c r="CO276" s="114"/>
      <c r="CP276" s="114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K276"/>
      <c r="DL276"/>
      <c r="DM276"/>
      <c r="DN276"/>
      <c r="DO276"/>
      <c r="DP276"/>
    </row>
    <row r="277" spans="2:122" s="7" customFormat="1" ht="14.25">
      <c r="B277" s="6"/>
      <c r="C277" s="6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  <c r="AK277" s="57"/>
      <c r="AL277" s="57"/>
      <c r="AM277" s="57"/>
      <c r="AN277" s="57"/>
      <c r="AO277" s="57"/>
      <c r="AP277" s="57"/>
      <c r="AQ277" s="57"/>
      <c r="AR277" s="57"/>
      <c r="AS277" s="57"/>
      <c r="AT277" s="57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114"/>
      <c r="BZ277" s="114"/>
      <c r="CA277" s="114"/>
      <c r="CB277" s="114"/>
      <c r="CC277" s="114"/>
      <c r="CD277" s="114"/>
      <c r="CE277" s="114"/>
      <c r="CF277" s="114"/>
      <c r="CG277" s="114"/>
      <c r="CH277" s="114"/>
      <c r="CI277" s="114"/>
      <c r="CJ277" s="114"/>
      <c r="CK277" s="114"/>
      <c r="CL277" s="114"/>
      <c r="CM277" s="114"/>
      <c r="CN277" s="114"/>
      <c r="CO277" s="114"/>
      <c r="CP277" s="114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K277"/>
      <c r="DL277"/>
      <c r="DM277"/>
      <c r="DN277"/>
      <c r="DO277"/>
      <c r="DP277"/>
    </row>
    <row r="278" spans="2:122" s="7" customFormat="1" ht="14.25">
      <c r="B278" s="6"/>
      <c r="C278" s="6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  <c r="AK278" s="57"/>
      <c r="AL278" s="57"/>
      <c r="AM278" s="57"/>
      <c r="AN278" s="57"/>
      <c r="AO278" s="57"/>
      <c r="AP278" s="57"/>
      <c r="AQ278" s="57"/>
      <c r="AR278" s="57"/>
      <c r="AS278" s="57"/>
      <c r="AT278" s="57"/>
      <c r="AU278" s="57"/>
      <c r="AV278" s="57"/>
      <c r="AW278" s="57"/>
      <c r="AX278" s="57"/>
      <c r="AY278" s="57"/>
      <c r="AZ278" s="57"/>
      <c r="BA278" s="57"/>
      <c r="BB278" s="57"/>
      <c r="BC278" s="57"/>
      <c r="BD278" s="57"/>
      <c r="BE278" s="57"/>
      <c r="BF278" s="57"/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114"/>
      <c r="BZ278" s="114"/>
      <c r="CA278" s="114"/>
      <c r="CB278" s="114"/>
      <c r="CC278" s="114"/>
      <c r="CD278" s="114"/>
      <c r="CE278" s="114"/>
      <c r="CF278" s="114"/>
      <c r="CG278" s="114"/>
      <c r="CH278" s="114"/>
      <c r="CI278" s="114"/>
      <c r="CJ278" s="114"/>
      <c r="CK278" s="114"/>
      <c r="CL278" s="114"/>
      <c r="CM278" s="114"/>
      <c r="CN278" s="114"/>
      <c r="CO278" s="114"/>
      <c r="CP278" s="114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K278"/>
      <c r="DL278"/>
      <c r="DM278"/>
      <c r="DN278"/>
      <c r="DO278"/>
      <c r="DP278"/>
    </row>
    <row r="279" spans="2:122" s="7" customFormat="1" ht="14.25">
      <c r="B279" s="6"/>
      <c r="C279" s="6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  <c r="AK279" s="57"/>
      <c r="AL279" s="57"/>
      <c r="AM279" s="57"/>
      <c r="AN279" s="57"/>
      <c r="AO279" s="57"/>
      <c r="AP279" s="57"/>
      <c r="AQ279" s="57"/>
      <c r="AR279" s="57"/>
      <c r="AS279" s="57"/>
      <c r="AT279" s="57"/>
      <c r="AU279" s="57"/>
      <c r="AV279" s="57"/>
      <c r="AW279" s="57"/>
      <c r="AX279" s="57"/>
      <c r="AY279" s="57"/>
      <c r="AZ279" s="57"/>
      <c r="BA279" s="57"/>
      <c r="BB279" s="57"/>
      <c r="BC279" s="57"/>
      <c r="BD279" s="57"/>
      <c r="BE279" s="57"/>
      <c r="BF279" s="57"/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114"/>
      <c r="BZ279" s="114"/>
      <c r="CA279" s="114"/>
      <c r="CB279" s="114"/>
      <c r="CC279" s="114"/>
      <c r="CD279" s="114"/>
      <c r="CE279" s="114"/>
      <c r="CF279" s="114"/>
      <c r="CG279" s="114"/>
      <c r="CH279" s="114"/>
      <c r="CI279" s="114"/>
      <c r="CJ279" s="114"/>
      <c r="CK279" s="114"/>
      <c r="CL279" s="114"/>
      <c r="CM279" s="114"/>
      <c r="CN279" s="114"/>
      <c r="CO279" s="114"/>
      <c r="CP279" s="114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K279"/>
      <c r="DL279"/>
      <c r="DM279"/>
      <c r="DN279"/>
      <c r="DO279"/>
      <c r="DP279"/>
    </row>
    <row r="280" spans="2:122" s="7" customFormat="1" ht="14.25">
      <c r="B280" s="6"/>
      <c r="C280" s="6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  <c r="BD280" s="57"/>
      <c r="BE280" s="57"/>
      <c r="BF280" s="57"/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114"/>
      <c r="BZ280" s="114"/>
      <c r="CA280" s="114"/>
      <c r="CB280" s="114"/>
      <c r="CC280" s="114"/>
      <c r="CD280" s="114"/>
      <c r="CE280" s="114"/>
      <c r="CF280" s="114"/>
      <c r="CG280" s="114"/>
      <c r="CH280" s="114"/>
      <c r="CI280" s="114"/>
      <c r="CJ280" s="114"/>
      <c r="CK280" s="114"/>
      <c r="CL280" s="114"/>
      <c r="CM280" s="114"/>
      <c r="CN280" s="114"/>
      <c r="CO280" s="114"/>
      <c r="CP280" s="114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K280"/>
      <c r="DL280"/>
      <c r="DM280"/>
      <c r="DN280"/>
      <c r="DO280"/>
      <c r="DP280"/>
    </row>
    <row r="281" spans="2:122" s="7" customFormat="1" ht="14.25">
      <c r="B281" s="6"/>
      <c r="C281" s="6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  <c r="BD281" s="57"/>
      <c r="BE281" s="57"/>
      <c r="BF281" s="57"/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114"/>
      <c r="BZ281" s="114"/>
      <c r="CA281" s="114"/>
      <c r="CB281" s="114"/>
      <c r="CC281" s="114"/>
      <c r="CD281" s="114"/>
      <c r="CE281" s="114"/>
      <c r="CF281" s="114"/>
      <c r="CG281" s="114"/>
      <c r="CH281" s="114"/>
      <c r="CI281" s="114"/>
      <c r="CJ281" s="114"/>
      <c r="CK281" s="114"/>
      <c r="CL281" s="114"/>
      <c r="CM281" s="114"/>
      <c r="CN281" s="114"/>
      <c r="CO281" s="114"/>
      <c r="CP281" s="114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K281"/>
      <c r="DL281"/>
      <c r="DM281"/>
      <c r="DN281"/>
      <c r="DO281"/>
      <c r="DP281"/>
    </row>
    <row r="282" spans="2:122" s="7" customFormat="1" ht="14.25">
      <c r="B282" s="6"/>
      <c r="C282" s="6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  <c r="BD282" s="57"/>
      <c r="BE282" s="57"/>
      <c r="BF282" s="57"/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114"/>
      <c r="BZ282" s="114"/>
      <c r="CA282" s="114"/>
      <c r="CB282" s="114"/>
      <c r="CC282" s="114"/>
      <c r="CD282" s="114"/>
      <c r="CE282" s="114"/>
      <c r="CF282" s="114"/>
      <c r="CG282" s="114"/>
      <c r="CH282" s="114"/>
      <c r="CI282" s="114"/>
      <c r="CJ282" s="114"/>
      <c r="CK282" s="114"/>
      <c r="CL282" s="114"/>
      <c r="CM282" s="114"/>
      <c r="CN282" s="114"/>
      <c r="CO282" s="114"/>
      <c r="CP282" s="114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K282"/>
      <c r="DL282"/>
      <c r="DM282"/>
      <c r="DN282"/>
      <c r="DO282"/>
      <c r="DP282"/>
    </row>
    <row r="283" spans="2:122" s="7" customFormat="1" ht="14.25">
      <c r="B283" s="6"/>
      <c r="C283" s="6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  <c r="AK283" s="57"/>
      <c r="AL283" s="57"/>
      <c r="AM283" s="57"/>
      <c r="AN283" s="57"/>
      <c r="AO283" s="57"/>
      <c r="AP283" s="57"/>
      <c r="AQ283" s="57"/>
      <c r="AR283" s="57"/>
      <c r="AS283" s="57"/>
      <c r="AT283" s="57"/>
      <c r="AU283" s="57"/>
      <c r="AV283" s="57"/>
      <c r="AW283" s="57"/>
      <c r="AX283" s="57"/>
      <c r="AY283" s="57"/>
      <c r="AZ283" s="57"/>
      <c r="BA283" s="57"/>
      <c r="BB283" s="57"/>
      <c r="BC283" s="57"/>
      <c r="BD283" s="57"/>
      <c r="BE283" s="57"/>
      <c r="BF283" s="57"/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114"/>
      <c r="BZ283" s="114"/>
      <c r="CA283" s="114"/>
      <c r="CB283" s="114"/>
      <c r="CC283" s="114"/>
      <c r="CD283" s="114"/>
      <c r="CE283" s="114"/>
      <c r="CF283" s="114"/>
      <c r="CG283" s="114"/>
      <c r="CH283" s="114"/>
      <c r="CI283" s="114"/>
      <c r="CJ283" s="114"/>
      <c r="CK283" s="114"/>
      <c r="CL283" s="114"/>
      <c r="CM283" s="114"/>
      <c r="CN283" s="114"/>
      <c r="CO283" s="114"/>
      <c r="CP283" s="114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K283"/>
      <c r="DL283"/>
      <c r="DM283"/>
      <c r="DN283"/>
      <c r="DO283"/>
      <c r="DP283"/>
    </row>
    <row r="284" spans="2:122" s="7" customFormat="1" ht="14.25">
      <c r="B284" s="6"/>
      <c r="C284" s="6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  <c r="AK284" s="57"/>
      <c r="AL284" s="57"/>
      <c r="AM284" s="57"/>
      <c r="AN284" s="57"/>
      <c r="AO284" s="57"/>
      <c r="AP284" s="57"/>
      <c r="AQ284" s="57"/>
      <c r="AR284" s="57"/>
      <c r="AS284" s="57"/>
      <c r="AT284" s="57"/>
      <c r="AU284" s="57"/>
      <c r="AV284" s="57"/>
      <c r="AW284" s="57"/>
      <c r="AX284" s="57"/>
      <c r="AY284" s="57"/>
      <c r="AZ284" s="57"/>
      <c r="BA284" s="57"/>
      <c r="BB284" s="57"/>
      <c r="BC284" s="57"/>
      <c r="BD284" s="57"/>
      <c r="BE284" s="57"/>
      <c r="BF284" s="57"/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114"/>
      <c r="BZ284" s="114"/>
      <c r="CA284" s="114"/>
      <c r="CB284" s="114"/>
      <c r="CC284" s="114"/>
      <c r="CD284" s="114"/>
      <c r="CE284" s="114"/>
      <c r="CF284" s="114"/>
      <c r="CG284" s="114"/>
      <c r="CH284" s="114"/>
      <c r="CI284" s="114"/>
      <c r="CJ284" s="114"/>
      <c r="CK284" s="114"/>
      <c r="CL284" s="114"/>
      <c r="CM284" s="114"/>
      <c r="CN284" s="114"/>
      <c r="CO284" s="114"/>
      <c r="CP284" s="114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K284"/>
      <c r="DL284"/>
      <c r="DM284"/>
      <c r="DN284"/>
      <c r="DO284"/>
      <c r="DP284"/>
    </row>
    <row r="285" spans="2:122" s="7" customFormat="1" ht="14.25">
      <c r="B285" s="6"/>
      <c r="C285" s="6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  <c r="AK285" s="57"/>
      <c r="AL285" s="57"/>
      <c r="AM285" s="57"/>
      <c r="AN285" s="57"/>
      <c r="AO285" s="57"/>
      <c r="AP285" s="57"/>
      <c r="AQ285" s="57"/>
      <c r="AR285" s="57"/>
      <c r="AS285" s="57"/>
      <c r="AT285" s="57"/>
      <c r="AU285" s="57"/>
      <c r="AV285" s="57"/>
      <c r="AW285" s="57"/>
      <c r="AX285" s="57"/>
      <c r="AY285" s="57"/>
      <c r="AZ285" s="57"/>
      <c r="BA285" s="57"/>
      <c r="BB285" s="57"/>
      <c r="BC285" s="57"/>
      <c r="BD285" s="57"/>
      <c r="BE285" s="57"/>
      <c r="BF285" s="57"/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114"/>
      <c r="BZ285" s="114"/>
      <c r="CA285" s="114"/>
      <c r="CB285" s="114"/>
      <c r="CC285" s="114"/>
      <c r="CD285" s="114"/>
      <c r="CE285" s="114"/>
      <c r="CF285" s="114"/>
      <c r="CG285" s="114"/>
      <c r="CH285" s="114"/>
      <c r="CI285" s="114"/>
      <c r="CJ285" s="114"/>
      <c r="CK285" s="114"/>
      <c r="CL285" s="114"/>
      <c r="CM285" s="114"/>
      <c r="CN285" s="114"/>
      <c r="CO285" s="114"/>
      <c r="CP285" s="114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K285"/>
      <c r="DL285"/>
      <c r="DM285"/>
      <c r="DN285"/>
      <c r="DO285"/>
      <c r="DP285"/>
    </row>
    <row r="286" spans="2:122" s="7" customFormat="1" ht="14.25">
      <c r="B286" s="6"/>
      <c r="C286" s="6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  <c r="AK286" s="57"/>
      <c r="AL286" s="57"/>
      <c r="AM286" s="57"/>
      <c r="AN286" s="57"/>
      <c r="AO286" s="57"/>
      <c r="AP286" s="57"/>
      <c r="AQ286" s="57"/>
      <c r="AR286" s="57"/>
      <c r="AS286" s="57"/>
      <c r="AT286" s="57"/>
      <c r="AU286" s="57"/>
      <c r="AV286" s="57"/>
      <c r="AW286" s="57"/>
      <c r="AX286" s="57"/>
      <c r="AY286" s="57"/>
      <c r="AZ286" s="57"/>
      <c r="BA286" s="57"/>
      <c r="BB286" s="57"/>
      <c r="BC286" s="57"/>
      <c r="BD286" s="57"/>
      <c r="BE286" s="57"/>
      <c r="BF286" s="57"/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114"/>
      <c r="BZ286" s="114"/>
      <c r="CA286" s="114"/>
      <c r="CB286" s="114"/>
      <c r="CC286" s="114"/>
      <c r="CD286" s="114"/>
      <c r="CE286" s="114"/>
      <c r="CF286" s="114"/>
      <c r="CG286" s="114"/>
      <c r="CH286" s="114"/>
      <c r="CI286" s="114"/>
      <c r="CJ286" s="114"/>
      <c r="CK286" s="114"/>
      <c r="CL286" s="114"/>
      <c r="CM286" s="114"/>
      <c r="CN286" s="114"/>
      <c r="CO286" s="114"/>
      <c r="CP286" s="114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K286"/>
      <c r="DL286"/>
      <c r="DM286"/>
      <c r="DN286"/>
      <c r="DO286"/>
      <c r="DP286"/>
    </row>
    <row r="287" spans="2:122" s="7" customFormat="1" ht="14.25">
      <c r="B287" s="6"/>
      <c r="C287" s="6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  <c r="BD287" s="57"/>
      <c r="BE287" s="57"/>
      <c r="BF287" s="57"/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114"/>
      <c r="BZ287" s="114"/>
      <c r="CA287" s="114"/>
      <c r="CB287" s="114"/>
      <c r="CC287" s="114"/>
      <c r="CD287" s="114"/>
      <c r="CE287" s="114"/>
      <c r="CF287" s="114"/>
      <c r="CG287" s="114"/>
      <c r="CH287" s="114"/>
      <c r="CI287" s="114"/>
      <c r="CJ287" s="114"/>
      <c r="CK287" s="114"/>
      <c r="CL287" s="114"/>
      <c r="CM287" s="114"/>
      <c r="CN287" s="114"/>
      <c r="CO287" s="114"/>
      <c r="CP287" s="114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K287"/>
      <c r="DL287"/>
      <c r="DM287"/>
      <c r="DN287"/>
      <c r="DO287"/>
      <c r="DP287"/>
    </row>
    <row r="288" spans="2:122" s="7" customFormat="1" ht="14.25">
      <c r="B288" s="6"/>
      <c r="C288" s="6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  <c r="BD288" s="57"/>
      <c r="BE288" s="57"/>
      <c r="BF288" s="57"/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114"/>
      <c r="BZ288" s="114"/>
      <c r="CA288" s="114"/>
      <c r="CB288" s="114"/>
      <c r="CC288" s="114"/>
      <c r="CD288" s="114"/>
      <c r="CE288" s="114"/>
      <c r="CF288" s="114"/>
      <c r="CG288" s="114"/>
      <c r="CH288" s="114"/>
      <c r="CI288" s="114"/>
      <c r="CJ288" s="114"/>
      <c r="CK288" s="114"/>
      <c r="CL288" s="114"/>
      <c r="CM288" s="114"/>
      <c r="CN288" s="114"/>
      <c r="CO288" s="114"/>
      <c r="CP288" s="114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K288"/>
      <c r="DL288"/>
      <c r="DM288"/>
      <c r="DN288"/>
      <c r="DO288"/>
      <c r="DP288"/>
    </row>
    <row r="289" spans="1:120" s="7" customFormat="1" ht="14.25">
      <c r="B289" s="6"/>
      <c r="C289" s="6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  <c r="BD289" s="57"/>
      <c r="BE289" s="57"/>
      <c r="BF289" s="57"/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114"/>
      <c r="BZ289" s="114"/>
      <c r="CA289" s="114"/>
      <c r="CB289" s="114"/>
      <c r="CC289" s="114"/>
      <c r="CD289" s="114"/>
      <c r="CE289" s="114"/>
      <c r="CF289" s="114"/>
      <c r="CG289" s="114"/>
      <c r="CH289" s="114"/>
      <c r="CI289" s="114"/>
      <c r="CJ289" s="114"/>
      <c r="CK289" s="114"/>
      <c r="CL289" s="114"/>
      <c r="CM289" s="114"/>
      <c r="CN289" s="114"/>
      <c r="CO289" s="114"/>
      <c r="CP289" s="114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K289"/>
      <c r="DL289"/>
      <c r="DM289"/>
      <c r="DN289"/>
      <c r="DO289"/>
      <c r="DP289"/>
    </row>
    <row r="290" spans="1:120" s="7" customFormat="1" ht="14.25">
      <c r="B290" s="6"/>
      <c r="C290" s="6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  <c r="AK290" s="57"/>
      <c r="AL290" s="57"/>
      <c r="AM290" s="57"/>
      <c r="AN290" s="57"/>
      <c r="AO290" s="57"/>
      <c r="AP290" s="57"/>
      <c r="AQ290" s="57"/>
      <c r="AR290" s="57"/>
      <c r="AS290" s="57"/>
      <c r="AT290" s="57"/>
      <c r="AU290" s="57"/>
      <c r="AV290" s="57"/>
      <c r="AW290" s="57"/>
      <c r="AX290" s="57"/>
      <c r="AY290" s="57"/>
      <c r="AZ290" s="57"/>
      <c r="BA290" s="57"/>
      <c r="BB290" s="57"/>
      <c r="BC290" s="57"/>
      <c r="BD290" s="57"/>
      <c r="BE290" s="57"/>
      <c r="BF290" s="57"/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114"/>
      <c r="BZ290" s="114"/>
      <c r="CA290" s="114"/>
      <c r="CB290" s="114"/>
      <c r="CC290" s="114"/>
      <c r="CD290" s="114"/>
      <c r="CE290" s="114"/>
      <c r="CF290" s="114"/>
      <c r="CG290" s="114"/>
      <c r="CH290" s="114"/>
      <c r="CI290" s="114"/>
      <c r="CJ290" s="114"/>
      <c r="CK290" s="114"/>
      <c r="CL290" s="114"/>
      <c r="CM290" s="114"/>
      <c r="CN290" s="114"/>
      <c r="CO290" s="114"/>
      <c r="CP290" s="114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K290"/>
      <c r="DL290"/>
      <c r="DM290"/>
      <c r="DN290"/>
      <c r="DO290"/>
      <c r="DP290"/>
    </row>
    <row r="291" spans="1:120" s="7" customFormat="1" ht="14.25">
      <c r="B291" s="6"/>
      <c r="C291" s="6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114"/>
      <c r="BZ291" s="114"/>
      <c r="CA291" s="114"/>
      <c r="CB291" s="114"/>
      <c r="CC291" s="114"/>
      <c r="CD291" s="114"/>
      <c r="CE291" s="114"/>
      <c r="CF291" s="114"/>
      <c r="CG291" s="114"/>
      <c r="CH291" s="114"/>
      <c r="CI291" s="114"/>
      <c r="CJ291" s="114"/>
      <c r="CK291" s="114"/>
      <c r="CL291" s="114"/>
      <c r="CM291" s="114"/>
      <c r="CN291" s="114"/>
      <c r="CO291" s="114"/>
      <c r="CP291" s="114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K291"/>
      <c r="DL291"/>
      <c r="DM291"/>
      <c r="DN291"/>
      <c r="DO291"/>
      <c r="DP291"/>
    </row>
    <row r="292" spans="1:120" s="7" customFormat="1" ht="14.25">
      <c r="B292" s="6"/>
      <c r="C292" s="6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  <c r="AK292" s="57"/>
      <c r="AL292" s="57"/>
      <c r="AM292" s="57"/>
      <c r="AN292" s="57"/>
      <c r="AO292" s="57"/>
      <c r="AP292" s="57"/>
      <c r="AQ292" s="57"/>
      <c r="AR292" s="57"/>
      <c r="AS292" s="57"/>
      <c r="AT292" s="57"/>
      <c r="AU292" s="57"/>
      <c r="AV292" s="57"/>
      <c r="AW292" s="57"/>
      <c r="AX292" s="57"/>
      <c r="AY292" s="57"/>
      <c r="AZ292" s="57"/>
      <c r="BA292" s="57"/>
      <c r="BB292" s="57"/>
      <c r="BC292" s="57"/>
      <c r="BD292" s="57"/>
      <c r="BE292" s="57"/>
      <c r="BF292" s="57"/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114"/>
      <c r="BZ292" s="114"/>
      <c r="CA292" s="114"/>
      <c r="CB292" s="114"/>
      <c r="CC292" s="114"/>
      <c r="CD292" s="114"/>
      <c r="CE292" s="114"/>
      <c r="CF292" s="114"/>
      <c r="CG292" s="114"/>
      <c r="CH292" s="114"/>
      <c r="CI292" s="114"/>
      <c r="CJ292" s="114"/>
      <c r="CK292" s="114"/>
      <c r="CL292" s="114"/>
      <c r="CM292" s="114"/>
      <c r="CN292" s="114"/>
      <c r="CO292" s="114"/>
      <c r="CP292" s="114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K292"/>
      <c r="DL292"/>
      <c r="DM292"/>
      <c r="DN292"/>
      <c r="DO292"/>
      <c r="DP292"/>
    </row>
    <row r="293" spans="1:120" s="7" customFormat="1" ht="14.25">
      <c r="B293" s="93"/>
      <c r="C293" s="93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  <c r="AX293" s="94"/>
      <c r="AY293" s="94"/>
      <c r="AZ293" s="94"/>
      <c r="BA293" s="94"/>
      <c r="BB293" s="94"/>
      <c r="BC293" s="94"/>
      <c r="BD293" s="94"/>
      <c r="BE293" s="94"/>
      <c r="BF293" s="94"/>
      <c r="BG293" s="94"/>
      <c r="BH293" s="94"/>
      <c r="BI293" s="94"/>
      <c r="BJ293" s="94"/>
      <c r="BK293" s="94"/>
      <c r="BL293" s="94"/>
      <c r="BM293" s="94"/>
      <c r="BN293" s="94"/>
      <c r="BO293" s="94"/>
      <c r="BP293" s="94"/>
      <c r="BQ293" s="94"/>
      <c r="BR293" s="94"/>
      <c r="BS293" s="94"/>
      <c r="BT293" s="94"/>
      <c r="BU293" s="94"/>
      <c r="BV293" s="94"/>
      <c r="BW293" s="94"/>
      <c r="BX293" s="6"/>
      <c r="BY293" s="94"/>
      <c r="BZ293" s="102"/>
      <c r="CA293" s="102"/>
      <c r="CB293" s="102"/>
      <c r="CC293" s="102"/>
      <c r="CD293" s="94"/>
      <c r="CE293" s="102"/>
      <c r="CF293" s="102"/>
      <c r="CG293" s="102"/>
      <c r="CH293" s="102"/>
      <c r="CI293" s="102"/>
      <c r="CJ293" s="102"/>
      <c r="CK293" s="102"/>
      <c r="CL293" s="102"/>
      <c r="CM293" s="102"/>
      <c r="CN293" s="102"/>
      <c r="CO293" s="102"/>
      <c r="CP293" s="102"/>
      <c r="CQ293" s="99"/>
      <c r="CR293" s="99"/>
      <c r="CS293" s="99"/>
      <c r="CT293" s="99"/>
      <c r="CU293" s="99"/>
      <c r="CV293" s="99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K293"/>
      <c r="DL293"/>
      <c r="DM293"/>
      <c r="DN293"/>
      <c r="DO293"/>
      <c r="DP293"/>
    </row>
    <row r="294" spans="1:120" s="7" customFormat="1" ht="14.25">
      <c r="B294" s="93"/>
      <c r="C294" s="93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  <c r="AY294" s="94"/>
      <c r="AZ294" s="94"/>
      <c r="BA294" s="94"/>
      <c r="BB294" s="94"/>
      <c r="BC294" s="94"/>
      <c r="BD294" s="94"/>
      <c r="BE294" s="94"/>
      <c r="BF294" s="94"/>
      <c r="BG294" s="94"/>
      <c r="BH294" s="94"/>
      <c r="BI294" s="94"/>
      <c r="BJ294" s="94"/>
      <c r="BK294" s="94"/>
      <c r="BL294" s="94"/>
      <c r="BM294" s="94"/>
      <c r="BN294" s="94"/>
      <c r="BO294" s="94"/>
      <c r="BP294" s="94"/>
      <c r="BQ294" s="94"/>
      <c r="BR294" s="94"/>
      <c r="BS294" s="94"/>
      <c r="BT294" s="94"/>
      <c r="BU294" s="94"/>
      <c r="BV294" s="94"/>
      <c r="BW294" s="94"/>
      <c r="BX294" s="6"/>
      <c r="BY294" s="94"/>
      <c r="BZ294" s="102"/>
      <c r="CA294" s="102"/>
      <c r="CB294" s="102"/>
      <c r="CC294" s="102"/>
      <c r="CD294" s="94"/>
      <c r="CE294" s="102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2"/>
      <c r="CQ294" s="99"/>
      <c r="CR294" s="99"/>
      <c r="CS294" s="99"/>
      <c r="CT294" s="99"/>
      <c r="CU294" s="99"/>
      <c r="CV294" s="99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K294"/>
      <c r="DL294"/>
      <c r="DM294"/>
      <c r="DN294"/>
      <c r="DO294"/>
      <c r="DP294"/>
    </row>
    <row r="295" spans="1:120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CO295"/>
      <c r="DE295"/>
      <c r="DF295"/>
      <c r="DH295"/>
      <c r="DI295"/>
      <c r="DJ295"/>
    </row>
    <row r="296" spans="1:120" s="7" customFormat="1" ht="14.25">
      <c r="B296" s="93" t="s">
        <v>65</v>
      </c>
      <c r="C296" s="93"/>
      <c r="D296" s="97" t="e">
        <f>VLOOKUP(D295,ValidDateTable,4,FALSE)</f>
        <v>#NAME?</v>
      </c>
      <c r="E296" s="97" t="e">
        <f t="shared" ref="E296:S296" si="813">VLOOKUP(E295,ValidDateTable,4,FALSE)</f>
        <v>#NAME?</v>
      </c>
      <c r="F296" s="97" t="e">
        <f t="shared" si="813"/>
        <v>#NAME?</v>
      </c>
      <c r="G296" s="97" t="e">
        <f t="shared" si="813"/>
        <v>#NAME?</v>
      </c>
      <c r="H296" s="97" t="e">
        <f t="shared" si="813"/>
        <v>#NAME?</v>
      </c>
      <c r="I296" s="97" t="e">
        <f t="shared" si="813"/>
        <v>#NAME?</v>
      </c>
      <c r="J296" s="97" t="e">
        <f t="shared" si="813"/>
        <v>#NAME?</v>
      </c>
      <c r="K296" s="97" t="e">
        <f t="shared" si="813"/>
        <v>#NAME?</v>
      </c>
      <c r="L296" s="97" t="e">
        <f t="shared" si="813"/>
        <v>#NAME?</v>
      </c>
      <c r="M296" s="97" t="e">
        <f t="shared" si="813"/>
        <v>#NAME?</v>
      </c>
      <c r="N296" s="97" t="e">
        <f t="shared" si="813"/>
        <v>#NAME?</v>
      </c>
      <c r="O296" s="97" t="e">
        <f t="shared" si="813"/>
        <v>#NAME?</v>
      </c>
      <c r="P296" s="97" t="e">
        <f t="shared" si="813"/>
        <v>#NAME?</v>
      </c>
      <c r="Q296" s="97" t="e">
        <f t="shared" si="813"/>
        <v>#NAME?</v>
      </c>
      <c r="R296" s="97" t="e">
        <f t="shared" si="813"/>
        <v>#NAME?</v>
      </c>
      <c r="S296" s="97" t="e">
        <f t="shared" si="813"/>
        <v>#NAME?</v>
      </c>
      <c r="T296" s="97" t="e">
        <f>VLOOKUP(T295,ValidDateTable,4,FALSE)</f>
        <v>#NAME?</v>
      </c>
      <c r="U296" s="97" t="e">
        <f>VLOOKUP(U295,ValidDateTable,4,FALSE)</f>
        <v>#NAME?</v>
      </c>
      <c r="V296" s="97" t="e">
        <f>VLOOKUP(V295,ValidDateTable,4,FALSE)</f>
        <v>#NAME?</v>
      </c>
      <c r="W296" s="97" t="e">
        <f>VLOOKUP(W295,ValidDateTable,4,FALSE)</f>
        <v>#NAME?</v>
      </c>
      <c r="X296" s="97" t="e">
        <f t="shared" ref="X296:CN296" si="814">VLOOKUP(X295,ValidDateTable,4,FALSE)</f>
        <v>#NAME?</v>
      </c>
      <c r="Y296" s="97" t="e">
        <f t="shared" si="814"/>
        <v>#NAME?</v>
      </c>
      <c r="Z296" s="97" t="e">
        <f t="shared" si="814"/>
        <v>#NAME?</v>
      </c>
      <c r="AA296" s="97" t="e">
        <f t="shared" si="814"/>
        <v>#NAME?</v>
      </c>
      <c r="AB296" s="97" t="e">
        <f t="shared" si="814"/>
        <v>#NAME?</v>
      </c>
      <c r="AC296" s="97" t="e">
        <f t="shared" si="814"/>
        <v>#NAME?</v>
      </c>
      <c r="AD296" s="97" t="e">
        <f t="shared" si="814"/>
        <v>#NAME?</v>
      </c>
      <c r="AE296" s="97" t="e">
        <f t="shared" si="814"/>
        <v>#NAME?</v>
      </c>
      <c r="AF296" s="97" t="e">
        <f t="shared" si="814"/>
        <v>#NAME?</v>
      </c>
      <c r="AG296" s="97" t="e">
        <f t="shared" si="814"/>
        <v>#NAME?</v>
      </c>
      <c r="AH296" s="97" t="e">
        <f t="shared" si="814"/>
        <v>#NAME?</v>
      </c>
      <c r="AI296" s="97" t="e">
        <f t="shared" si="814"/>
        <v>#NAME?</v>
      </c>
      <c r="AJ296" s="97" t="e">
        <f t="shared" si="814"/>
        <v>#NAME?</v>
      </c>
      <c r="AK296" s="97" t="e">
        <f t="shared" si="814"/>
        <v>#NAME?</v>
      </c>
      <c r="AL296" s="97" t="e">
        <f t="shared" si="814"/>
        <v>#NAME?</v>
      </c>
      <c r="AM296" s="97" t="e">
        <f t="shared" si="814"/>
        <v>#NAME?</v>
      </c>
      <c r="AN296" s="97" t="e">
        <f t="shared" si="814"/>
        <v>#NAME?</v>
      </c>
      <c r="AO296" s="97" t="e">
        <f t="shared" si="814"/>
        <v>#NAME?</v>
      </c>
      <c r="AP296" s="97" t="e">
        <f t="shared" si="814"/>
        <v>#NAME?</v>
      </c>
      <c r="AQ296" s="97" t="e">
        <f t="shared" si="814"/>
        <v>#NAME?</v>
      </c>
      <c r="AR296" s="97" t="e">
        <f t="shared" si="814"/>
        <v>#NAME?</v>
      </c>
      <c r="AS296" s="97" t="e">
        <f t="shared" si="814"/>
        <v>#NAME?</v>
      </c>
      <c r="AT296" s="97" t="e">
        <f t="shared" si="814"/>
        <v>#NAME?</v>
      </c>
      <c r="AU296" s="97" t="e">
        <f t="shared" si="814"/>
        <v>#NAME?</v>
      </c>
      <c r="AV296" s="97" t="e">
        <f t="shared" si="814"/>
        <v>#NAME?</v>
      </c>
      <c r="AW296" s="97" t="e">
        <f t="shared" si="814"/>
        <v>#NAME?</v>
      </c>
      <c r="AX296" s="97" t="e">
        <f t="shared" si="814"/>
        <v>#NAME?</v>
      </c>
      <c r="AY296" s="97" t="e">
        <f t="shared" si="814"/>
        <v>#NAME?</v>
      </c>
      <c r="AZ296" s="97" t="e">
        <f t="shared" ref="AZ296:BO296" si="815">VLOOKUP(AZ295,ValidDateTable,4,FALSE)</f>
        <v>#NAME?</v>
      </c>
      <c r="BA296" s="97" t="e">
        <f t="shared" si="815"/>
        <v>#NAME?</v>
      </c>
      <c r="BB296" s="97" t="e">
        <f t="shared" si="815"/>
        <v>#NAME?</v>
      </c>
      <c r="BC296" s="97" t="e">
        <f t="shared" si="815"/>
        <v>#NAME?</v>
      </c>
      <c r="BD296" s="97" t="e">
        <f t="shared" si="815"/>
        <v>#NAME?</v>
      </c>
      <c r="BE296" s="97" t="e">
        <f t="shared" si="815"/>
        <v>#NAME?</v>
      </c>
      <c r="BF296" s="97" t="e">
        <f t="shared" si="815"/>
        <v>#NAME?</v>
      </c>
      <c r="BG296" s="97" t="e">
        <f t="shared" si="815"/>
        <v>#NAME?</v>
      </c>
      <c r="BH296" s="97" t="e">
        <f>VLOOKUP(BH295,ValidDateTable,4,FALSE)</f>
        <v>#NAME?</v>
      </c>
      <c r="BI296" s="97" t="e">
        <f>VLOOKUP(BI295,ValidDateTable,4,FALSE)</f>
        <v>#NAME?</v>
      </c>
      <c r="BJ296" s="97" t="e">
        <f>VLOOKUP(BJ295,ValidDateTable,4,FALSE)</f>
        <v>#NAME?</v>
      </c>
      <c r="BK296" s="97" t="e">
        <f t="shared" ref="BK296" si="816">VLOOKUP(BK295,ValidDateTable,4,FALSE)</f>
        <v>#NAME?</v>
      </c>
      <c r="BL296" s="97" t="e">
        <f t="shared" si="815"/>
        <v>#NAME?</v>
      </c>
      <c r="BM296" s="97" t="e">
        <f t="shared" si="815"/>
        <v>#NAME?</v>
      </c>
      <c r="BN296" s="97" t="e">
        <f t="shared" si="815"/>
        <v>#NAME?</v>
      </c>
      <c r="BO296" s="97" t="e">
        <f t="shared" si="815"/>
        <v>#NAME?</v>
      </c>
      <c r="BP296" s="97" t="e">
        <f t="shared" ref="BP296:BW296" si="817">VLOOKUP(BP295,ValidDateTable,4,FALSE)</f>
        <v>#NAME?</v>
      </c>
      <c r="BQ296" s="97" t="e">
        <f t="shared" si="817"/>
        <v>#NAME?</v>
      </c>
      <c r="BR296" s="97" t="e">
        <f t="shared" si="817"/>
        <v>#NAME?</v>
      </c>
      <c r="BS296" s="97" t="e">
        <f t="shared" si="817"/>
        <v>#NAME?</v>
      </c>
      <c r="BT296" s="97" t="e">
        <f t="shared" si="817"/>
        <v>#NAME?</v>
      </c>
      <c r="BU296" s="97" t="e">
        <f t="shared" si="817"/>
        <v>#NAME?</v>
      </c>
      <c r="BV296" s="97" t="e">
        <f t="shared" si="817"/>
        <v>#NAME?</v>
      </c>
      <c r="BW296" s="97" t="e">
        <f t="shared" si="817"/>
        <v>#NAME?</v>
      </c>
      <c r="BX296" s="97"/>
      <c r="BY296" s="97" t="e">
        <f>VLOOKUP(BY295,ValidDateTable,4,FALSE)</f>
        <v>#NAME?</v>
      </c>
      <c r="BZ296" s="97" t="e">
        <f>VLOOKUP(BZ295,ValidDateTable,4,FALSE)</f>
        <v>#NAME?</v>
      </c>
      <c r="CA296" s="97" t="e">
        <f>VLOOKUP(CA295,ValidDateTable,4,FALSE)</f>
        <v>#NAME?</v>
      </c>
      <c r="CB296" s="97" t="e">
        <f>VLOOKUP(CB295,ValidDateTable,4,FALSE)</f>
        <v>#NAME?</v>
      </c>
      <c r="CC296" s="97" t="e">
        <f>VLOOKUP(CC295,ValidDateTable,4,FALSE)</f>
        <v>#NAME?</v>
      </c>
      <c r="CD296" s="97" t="e">
        <f t="shared" si="814"/>
        <v>#NAME?</v>
      </c>
      <c r="CE296" s="97" t="e">
        <f t="shared" si="814"/>
        <v>#NAME?</v>
      </c>
      <c r="CF296" s="97" t="e">
        <f t="shared" si="814"/>
        <v>#NAME?</v>
      </c>
      <c r="CG296" s="97" t="e">
        <f t="shared" si="814"/>
        <v>#NAME?</v>
      </c>
      <c r="CH296" s="97" t="e">
        <f t="shared" si="814"/>
        <v>#NAME?</v>
      </c>
      <c r="CI296" s="97" t="e">
        <f t="shared" si="814"/>
        <v>#NAME?</v>
      </c>
      <c r="CJ296" s="97" t="e">
        <f t="shared" si="814"/>
        <v>#NAME?</v>
      </c>
      <c r="CK296" s="97" t="e">
        <f t="shared" si="814"/>
        <v>#NAME?</v>
      </c>
      <c r="CL296" s="97" t="e">
        <f t="shared" si="814"/>
        <v>#NAME?</v>
      </c>
      <c r="CM296" s="97" t="e">
        <f t="shared" si="814"/>
        <v>#NAME?</v>
      </c>
      <c r="CN296" s="97" t="e">
        <f t="shared" si="814"/>
        <v>#NAME?</v>
      </c>
      <c r="CO296" s="97" t="e">
        <f>VLOOKUP(CO295,ValidDateTable,4,FALSE)</f>
        <v>#NAME?</v>
      </c>
      <c r="CP296" s="97" t="e">
        <f>VLOOKUP(CP295,ValidDateTable,4,FALSE)</f>
        <v>#NAME?</v>
      </c>
      <c r="CQ296" s="464"/>
      <c r="CR296" s="117" t="e">
        <f>P296</f>
        <v>#NAME?</v>
      </c>
      <c r="CS296" s="117" t="e">
        <f>T296</f>
        <v>#NAME?</v>
      </c>
      <c r="CT296" s="117" t="e">
        <f>X296</f>
        <v>#NAME?</v>
      </c>
      <c r="CU296" s="117" t="e">
        <f>AB296</f>
        <v>#NAME?</v>
      </c>
      <c r="CV296" s="117" t="e">
        <f>AF296</f>
        <v>#NAME?</v>
      </c>
      <c r="CW296" s="117" t="e">
        <f>AJ296</f>
        <v>#NAME?</v>
      </c>
      <c r="CX296" s="117" t="e">
        <f>AN296</f>
        <v>#NAME?</v>
      </c>
      <c r="CY296" s="117" t="e">
        <f>AR296</f>
        <v>#NAME?</v>
      </c>
      <c r="CZ296" s="117" t="e">
        <f>AV296</f>
        <v>#NAME?</v>
      </c>
      <c r="DA296" s="117" t="e">
        <f>AW296</f>
        <v>#NAME?</v>
      </c>
      <c r="DB296" s="117" t="s">
        <v>88</v>
      </c>
      <c r="DC296" s="117" t="s">
        <v>88</v>
      </c>
      <c r="DD296" s="117" t="s">
        <v>88</v>
      </c>
      <c r="DE296" s="117" t="s">
        <v>88</v>
      </c>
      <c r="DF296" s="117" t="s">
        <v>88</v>
      </c>
      <c r="DK296"/>
      <c r="DL296"/>
      <c r="DM296"/>
      <c r="DN296"/>
      <c r="DO296"/>
      <c r="DP296"/>
    </row>
    <row r="297" spans="1:120" s="7" customFormat="1" ht="14.25">
      <c r="B297" s="93" t="s">
        <v>66</v>
      </c>
      <c r="C297" s="93"/>
      <c r="D297" s="98" t="str">
        <f t="shared" ref="D297:X297" si="818">LEFT(D295,4)</f>
        <v/>
      </c>
      <c r="E297" s="98" t="str">
        <f t="shared" si="818"/>
        <v/>
      </c>
      <c r="F297" s="98" t="str">
        <f t="shared" si="818"/>
        <v/>
      </c>
      <c r="G297" s="98" t="str">
        <f t="shared" si="818"/>
        <v/>
      </c>
      <c r="H297" s="98" t="str">
        <f t="shared" si="818"/>
        <v/>
      </c>
      <c r="I297" s="98" t="str">
        <f t="shared" si="818"/>
        <v/>
      </c>
      <c r="J297" s="98" t="str">
        <f t="shared" si="818"/>
        <v/>
      </c>
      <c r="K297" s="98" t="str">
        <f t="shared" si="818"/>
        <v/>
      </c>
      <c r="L297" s="98" t="str">
        <f t="shared" si="818"/>
        <v/>
      </c>
      <c r="M297" s="98" t="str">
        <f t="shared" si="818"/>
        <v/>
      </c>
      <c r="N297" s="98" t="str">
        <f t="shared" si="818"/>
        <v/>
      </c>
      <c r="O297" s="98" t="str">
        <f t="shared" si="818"/>
        <v/>
      </c>
      <c r="P297" s="98" t="str">
        <f t="shared" si="818"/>
        <v/>
      </c>
      <c r="Q297" s="98" t="str">
        <f t="shared" si="818"/>
        <v/>
      </c>
      <c r="R297" s="98" t="str">
        <f t="shared" si="818"/>
        <v/>
      </c>
      <c r="S297" s="98" t="str">
        <f t="shared" si="818"/>
        <v/>
      </c>
      <c r="T297" s="98" t="str">
        <f t="shared" si="818"/>
        <v/>
      </c>
      <c r="U297" s="98" t="str">
        <f t="shared" si="818"/>
        <v/>
      </c>
      <c r="V297" s="98" t="str">
        <f t="shared" si="818"/>
        <v/>
      </c>
      <c r="W297" s="98" t="str">
        <f t="shared" si="818"/>
        <v/>
      </c>
      <c r="X297" s="98" t="str">
        <f t="shared" si="818"/>
        <v/>
      </c>
      <c r="Y297" s="98" t="str">
        <f t="shared" ref="Y297:AY297" si="819">LEFT(Y295,4)</f>
        <v/>
      </c>
      <c r="Z297" s="98" t="str">
        <f t="shared" si="819"/>
        <v/>
      </c>
      <c r="AA297" s="98" t="str">
        <f t="shared" si="819"/>
        <v/>
      </c>
      <c r="AB297" s="98" t="str">
        <f t="shared" si="819"/>
        <v/>
      </c>
      <c r="AC297" s="98" t="str">
        <f t="shared" si="819"/>
        <v/>
      </c>
      <c r="AD297" s="98" t="str">
        <f t="shared" si="819"/>
        <v/>
      </c>
      <c r="AE297" s="98" t="str">
        <f t="shared" si="819"/>
        <v/>
      </c>
      <c r="AF297" s="98" t="str">
        <f t="shared" si="819"/>
        <v/>
      </c>
      <c r="AG297" s="98" t="str">
        <f t="shared" si="819"/>
        <v/>
      </c>
      <c r="AH297" s="98" t="str">
        <f t="shared" si="819"/>
        <v/>
      </c>
      <c r="AI297" s="98" t="str">
        <f t="shared" si="819"/>
        <v/>
      </c>
      <c r="AJ297" s="98" t="str">
        <f t="shared" si="819"/>
        <v/>
      </c>
      <c r="AK297" s="98" t="str">
        <f t="shared" si="819"/>
        <v/>
      </c>
      <c r="AL297" s="98" t="str">
        <f t="shared" si="819"/>
        <v/>
      </c>
      <c r="AM297" s="98" t="str">
        <f t="shared" si="819"/>
        <v/>
      </c>
      <c r="AN297" s="98" t="str">
        <f t="shared" si="819"/>
        <v/>
      </c>
      <c r="AO297" s="98" t="str">
        <f t="shared" si="819"/>
        <v/>
      </c>
      <c r="AP297" s="98" t="str">
        <f t="shared" si="819"/>
        <v/>
      </c>
      <c r="AQ297" s="98" t="str">
        <f t="shared" si="819"/>
        <v/>
      </c>
      <c r="AR297" s="98" t="str">
        <f t="shared" si="819"/>
        <v/>
      </c>
      <c r="AS297" s="98" t="str">
        <f t="shared" si="819"/>
        <v/>
      </c>
      <c r="AT297" s="98" t="str">
        <f t="shared" si="819"/>
        <v/>
      </c>
      <c r="AU297" s="98" t="str">
        <f t="shared" si="819"/>
        <v/>
      </c>
      <c r="AV297" s="98" t="str">
        <f t="shared" si="819"/>
        <v/>
      </c>
      <c r="AW297" s="98" t="str">
        <f t="shared" si="819"/>
        <v/>
      </c>
      <c r="AX297" s="98" t="str">
        <f t="shared" si="819"/>
        <v/>
      </c>
      <c r="AY297" s="98" t="str">
        <f t="shared" si="819"/>
        <v/>
      </c>
      <c r="AZ297" s="98" t="str">
        <f t="shared" ref="AZ297:BO297" si="820">LEFT(AZ295,4)</f>
        <v/>
      </c>
      <c r="BA297" s="98" t="str">
        <f t="shared" si="820"/>
        <v/>
      </c>
      <c r="BB297" s="98" t="str">
        <f t="shared" si="820"/>
        <v/>
      </c>
      <c r="BC297" s="98" t="str">
        <f t="shared" si="820"/>
        <v/>
      </c>
      <c r="BD297" s="98" t="str">
        <f t="shared" si="820"/>
        <v/>
      </c>
      <c r="BE297" s="98" t="str">
        <f t="shared" si="820"/>
        <v/>
      </c>
      <c r="BF297" s="98" t="str">
        <f t="shared" si="820"/>
        <v/>
      </c>
      <c r="BG297" s="98" t="str">
        <f t="shared" si="820"/>
        <v/>
      </c>
      <c r="BH297" s="98" t="str">
        <f>LEFT(BH295,4)</f>
        <v/>
      </c>
      <c r="BI297" s="98" t="str">
        <f>LEFT(BI295,4)</f>
        <v/>
      </c>
      <c r="BJ297" s="98" t="str">
        <f>LEFT(BJ295,4)</f>
        <v/>
      </c>
      <c r="BK297" s="98" t="str">
        <f t="shared" ref="BK297" si="821">LEFT(BK295,4)</f>
        <v/>
      </c>
      <c r="BL297" s="98" t="str">
        <f t="shared" si="820"/>
        <v/>
      </c>
      <c r="BM297" s="98" t="str">
        <f t="shared" si="820"/>
        <v/>
      </c>
      <c r="BN297" s="98" t="str">
        <f t="shared" si="820"/>
        <v/>
      </c>
      <c r="BO297" s="98" t="str">
        <f t="shared" si="820"/>
        <v/>
      </c>
      <c r="BP297" s="98" t="str">
        <f t="shared" ref="BP297:BW297" si="822">LEFT(BP295,4)</f>
        <v/>
      </c>
      <c r="BQ297" s="98" t="str">
        <f t="shared" si="822"/>
        <v/>
      </c>
      <c r="BR297" s="98" t="str">
        <f t="shared" si="822"/>
        <v/>
      </c>
      <c r="BS297" s="98" t="str">
        <f t="shared" si="822"/>
        <v/>
      </c>
      <c r="BT297" s="98" t="str">
        <f t="shared" si="822"/>
        <v/>
      </c>
      <c r="BU297" s="98" t="str">
        <f t="shared" si="822"/>
        <v/>
      </c>
      <c r="BV297" s="98" t="str">
        <f t="shared" si="822"/>
        <v/>
      </c>
      <c r="BW297" s="98" t="str">
        <f t="shared" si="822"/>
        <v/>
      </c>
      <c r="BX297" s="6"/>
      <c r="BY297" s="94"/>
      <c r="BZ297" s="102"/>
      <c r="CA297" s="102"/>
      <c r="CB297" s="102"/>
      <c r="CC297" s="102"/>
      <c r="CD297" s="94"/>
      <c r="CE297" s="102"/>
      <c r="CF297" s="102"/>
      <c r="CG297" s="102"/>
      <c r="CH297" s="102"/>
      <c r="CI297" s="102"/>
      <c r="CJ297" s="102"/>
      <c r="CK297" s="102"/>
      <c r="CL297" s="102"/>
      <c r="CM297" s="102"/>
      <c r="CN297" s="102"/>
      <c r="CO297" s="102"/>
      <c r="CP297" s="102"/>
      <c r="CQ297" s="6"/>
      <c r="CR297" s="97"/>
      <c r="CS297" s="97"/>
      <c r="CT297" s="97"/>
      <c r="CU297" s="97"/>
      <c r="CV297" s="117"/>
      <c r="CW297" s="117"/>
      <c r="CX297" s="117"/>
      <c r="CY297" s="117"/>
      <c r="CZ297" s="97"/>
      <c r="DA297" s="97"/>
      <c r="DB297" s="97"/>
      <c r="DC297" s="97"/>
      <c r="DD297" s="97"/>
      <c r="DE297" s="97"/>
      <c r="DF297" s="97"/>
      <c r="DK297"/>
      <c r="DL297"/>
      <c r="DM297"/>
      <c r="DN297"/>
      <c r="DO297"/>
      <c r="DP297"/>
    </row>
    <row r="298" spans="1:120" s="7" customFormat="1" ht="14.25">
      <c r="B298" s="93" t="s">
        <v>67</v>
      </c>
      <c r="C298" s="93"/>
      <c r="D298" s="97" t="e">
        <f t="shared" ref="D298:X298" si="823">VALUE(RIGHT(D295,1))</f>
        <v>#VALUE!</v>
      </c>
      <c r="E298" s="97" t="e">
        <f t="shared" si="823"/>
        <v>#VALUE!</v>
      </c>
      <c r="F298" s="97" t="e">
        <f t="shared" si="823"/>
        <v>#VALUE!</v>
      </c>
      <c r="G298" s="97" t="e">
        <f t="shared" si="823"/>
        <v>#VALUE!</v>
      </c>
      <c r="H298" s="97" t="e">
        <f t="shared" si="823"/>
        <v>#VALUE!</v>
      </c>
      <c r="I298" s="97" t="e">
        <f t="shared" si="823"/>
        <v>#VALUE!</v>
      </c>
      <c r="J298" s="97" t="e">
        <f t="shared" si="823"/>
        <v>#VALUE!</v>
      </c>
      <c r="K298" s="97" t="e">
        <f t="shared" si="823"/>
        <v>#VALUE!</v>
      </c>
      <c r="L298" s="97" t="e">
        <f t="shared" si="823"/>
        <v>#VALUE!</v>
      </c>
      <c r="M298" s="97" t="e">
        <f t="shared" si="823"/>
        <v>#VALUE!</v>
      </c>
      <c r="N298" s="97" t="e">
        <f t="shared" si="823"/>
        <v>#VALUE!</v>
      </c>
      <c r="O298" s="97" t="e">
        <f t="shared" si="823"/>
        <v>#VALUE!</v>
      </c>
      <c r="P298" s="97" t="e">
        <f t="shared" si="823"/>
        <v>#VALUE!</v>
      </c>
      <c r="Q298" s="97" t="e">
        <f t="shared" si="823"/>
        <v>#VALUE!</v>
      </c>
      <c r="R298" s="97" t="e">
        <f t="shared" si="823"/>
        <v>#VALUE!</v>
      </c>
      <c r="S298" s="97" t="e">
        <f t="shared" si="823"/>
        <v>#VALUE!</v>
      </c>
      <c r="T298" s="97" t="e">
        <f t="shared" si="823"/>
        <v>#VALUE!</v>
      </c>
      <c r="U298" s="97" t="e">
        <f t="shared" si="823"/>
        <v>#VALUE!</v>
      </c>
      <c r="V298" s="97" t="e">
        <f t="shared" si="823"/>
        <v>#VALUE!</v>
      </c>
      <c r="W298" s="97" t="e">
        <f t="shared" si="823"/>
        <v>#VALUE!</v>
      </c>
      <c r="X298" s="97" t="e">
        <f t="shared" si="823"/>
        <v>#VALUE!</v>
      </c>
      <c r="Y298" s="97" t="e">
        <f t="shared" ref="Y298:AY298" si="824">VALUE(RIGHT(Y295,1))</f>
        <v>#VALUE!</v>
      </c>
      <c r="Z298" s="97" t="e">
        <f t="shared" si="824"/>
        <v>#VALUE!</v>
      </c>
      <c r="AA298" s="97" t="e">
        <f t="shared" si="824"/>
        <v>#VALUE!</v>
      </c>
      <c r="AB298" s="97" t="e">
        <f t="shared" si="824"/>
        <v>#VALUE!</v>
      </c>
      <c r="AC298" s="97" t="e">
        <f t="shared" si="824"/>
        <v>#VALUE!</v>
      </c>
      <c r="AD298" s="97" t="e">
        <f t="shared" si="824"/>
        <v>#VALUE!</v>
      </c>
      <c r="AE298" s="97" t="e">
        <f t="shared" si="824"/>
        <v>#VALUE!</v>
      </c>
      <c r="AF298" s="97" t="e">
        <f t="shared" si="824"/>
        <v>#VALUE!</v>
      </c>
      <c r="AG298" s="97" t="e">
        <f t="shared" si="824"/>
        <v>#VALUE!</v>
      </c>
      <c r="AH298" s="97" t="e">
        <f t="shared" si="824"/>
        <v>#VALUE!</v>
      </c>
      <c r="AI298" s="97" t="e">
        <f t="shared" si="824"/>
        <v>#VALUE!</v>
      </c>
      <c r="AJ298" s="97" t="e">
        <f t="shared" si="824"/>
        <v>#VALUE!</v>
      </c>
      <c r="AK298" s="97" t="e">
        <f t="shared" si="824"/>
        <v>#VALUE!</v>
      </c>
      <c r="AL298" s="97" t="e">
        <f t="shared" si="824"/>
        <v>#VALUE!</v>
      </c>
      <c r="AM298" s="97" t="e">
        <f t="shared" si="824"/>
        <v>#VALUE!</v>
      </c>
      <c r="AN298" s="97" t="e">
        <f t="shared" si="824"/>
        <v>#VALUE!</v>
      </c>
      <c r="AO298" s="97" t="e">
        <f t="shared" si="824"/>
        <v>#VALUE!</v>
      </c>
      <c r="AP298" s="97" t="e">
        <f t="shared" si="824"/>
        <v>#VALUE!</v>
      </c>
      <c r="AQ298" s="97" t="e">
        <f t="shared" si="824"/>
        <v>#VALUE!</v>
      </c>
      <c r="AR298" s="97" t="e">
        <f t="shared" si="824"/>
        <v>#VALUE!</v>
      </c>
      <c r="AS298" s="97" t="e">
        <f t="shared" si="824"/>
        <v>#VALUE!</v>
      </c>
      <c r="AT298" s="97" t="e">
        <f t="shared" si="824"/>
        <v>#VALUE!</v>
      </c>
      <c r="AU298" s="97" t="e">
        <f t="shared" si="824"/>
        <v>#VALUE!</v>
      </c>
      <c r="AV298" s="97" t="e">
        <f t="shared" si="824"/>
        <v>#VALUE!</v>
      </c>
      <c r="AW298" s="97" t="e">
        <f t="shared" si="824"/>
        <v>#VALUE!</v>
      </c>
      <c r="AX298" s="97" t="e">
        <f t="shared" si="824"/>
        <v>#VALUE!</v>
      </c>
      <c r="AY298" s="97" t="e">
        <f t="shared" si="824"/>
        <v>#VALUE!</v>
      </c>
      <c r="AZ298" s="97" t="e">
        <f t="shared" ref="AZ298:BO298" si="825">VALUE(RIGHT(AZ295,1))</f>
        <v>#VALUE!</v>
      </c>
      <c r="BA298" s="97" t="e">
        <f t="shared" si="825"/>
        <v>#VALUE!</v>
      </c>
      <c r="BB298" s="97" t="e">
        <f t="shared" si="825"/>
        <v>#VALUE!</v>
      </c>
      <c r="BC298" s="97" t="e">
        <f t="shared" si="825"/>
        <v>#VALUE!</v>
      </c>
      <c r="BD298" s="97" t="e">
        <f t="shared" si="825"/>
        <v>#VALUE!</v>
      </c>
      <c r="BE298" s="97" t="e">
        <f t="shared" si="825"/>
        <v>#VALUE!</v>
      </c>
      <c r="BF298" s="97" t="e">
        <f t="shared" si="825"/>
        <v>#VALUE!</v>
      </c>
      <c r="BG298" s="97" t="e">
        <f t="shared" si="825"/>
        <v>#VALUE!</v>
      </c>
      <c r="BH298" s="97" t="e">
        <f>VALUE(RIGHT(BH295,1))</f>
        <v>#VALUE!</v>
      </c>
      <c r="BI298" s="97" t="e">
        <f>VALUE(RIGHT(BI295,1))</f>
        <v>#VALUE!</v>
      </c>
      <c r="BJ298" s="97" t="e">
        <f>VALUE(RIGHT(BJ295,1))</f>
        <v>#VALUE!</v>
      </c>
      <c r="BK298" s="97" t="e">
        <f t="shared" ref="BK298" si="826">VALUE(RIGHT(BK295,1))</f>
        <v>#VALUE!</v>
      </c>
      <c r="BL298" s="97" t="e">
        <f t="shared" si="825"/>
        <v>#VALUE!</v>
      </c>
      <c r="BM298" s="97" t="e">
        <f t="shared" si="825"/>
        <v>#VALUE!</v>
      </c>
      <c r="BN298" s="97" t="e">
        <f t="shared" si="825"/>
        <v>#VALUE!</v>
      </c>
      <c r="BO298" s="97" t="e">
        <f t="shared" si="825"/>
        <v>#VALUE!</v>
      </c>
      <c r="BP298" s="97" t="e">
        <f t="shared" ref="BP298:BW298" si="827">VALUE(RIGHT(BP295,1))</f>
        <v>#VALUE!</v>
      </c>
      <c r="BQ298" s="97" t="e">
        <f t="shared" si="827"/>
        <v>#VALUE!</v>
      </c>
      <c r="BR298" s="97" t="e">
        <f t="shared" si="827"/>
        <v>#VALUE!</v>
      </c>
      <c r="BS298" s="97" t="e">
        <f t="shared" si="827"/>
        <v>#VALUE!</v>
      </c>
      <c r="BT298" s="97" t="e">
        <f t="shared" si="827"/>
        <v>#VALUE!</v>
      </c>
      <c r="BU298" s="97" t="e">
        <f t="shared" si="827"/>
        <v>#VALUE!</v>
      </c>
      <c r="BV298" s="97" t="e">
        <f t="shared" si="827"/>
        <v>#VALUE!</v>
      </c>
      <c r="BW298" s="97" t="e">
        <f t="shared" si="827"/>
        <v>#VALUE!</v>
      </c>
      <c r="BX298" s="102"/>
      <c r="BY298" s="102"/>
      <c r="BZ298" s="102"/>
      <c r="CA298" s="102"/>
      <c r="CB298" s="102"/>
      <c r="CC298" s="102"/>
      <c r="CD298" s="102"/>
      <c r="CE298" s="102"/>
      <c r="CF298" s="102"/>
      <c r="CG298" s="102"/>
      <c r="CH298" s="102"/>
      <c r="CI298" s="102"/>
      <c r="CJ298" s="102"/>
      <c r="CK298" s="6"/>
      <c r="CL298" s="116"/>
      <c r="CM298" s="116"/>
      <c r="CN298" s="116"/>
      <c r="CO298" s="116"/>
      <c r="CP298" s="116"/>
      <c r="CQ298" s="116"/>
      <c r="CR298" s="116"/>
      <c r="CS298" s="116"/>
      <c r="CT298" s="116"/>
      <c r="CU298" s="116"/>
      <c r="CV298" s="102"/>
      <c r="CW298" s="100"/>
      <c r="CZ298" s="101"/>
      <c r="DA298" s="101"/>
      <c r="DB298" s="101"/>
      <c r="DC298" s="101"/>
      <c r="DD298" s="101"/>
      <c r="DE298" s="101"/>
      <c r="DF298" s="101"/>
      <c r="DG298" s="101"/>
      <c r="DH298" s="101"/>
      <c r="DI298" s="101"/>
      <c r="DJ298" s="101"/>
      <c r="DK298"/>
      <c r="DL298"/>
      <c r="DM298"/>
      <c r="DN298"/>
      <c r="DO298"/>
      <c r="DP298"/>
    </row>
    <row r="299" spans="1:120" s="7" customFormat="1" ht="14.25">
      <c r="B299" s="93" t="s">
        <v>68</v>
      </c>
      <c r="C299" s="93"/>
      <c r="D299" s="98">
        <f t="shared" ref="D299:AI299" si="828">YEAR(D6)</f>
        <v>2002</v>
      </c>
      <c r="E299" s="98">
        <f t="shared" si="828"/>
        <v>2003</v>
      </c>
      <c r="F299" s="98">
        <f t="shared" si="828"/>
        <v>2003</v>
      </c>
      <c r="G299" s="98">
        <f t="shared" si="828"/>
        <v>2003</v>
      </c>
      <c r="H299" s="98">
        <f t="shared" si="828"/>
        <v>2003</v>
      </c>
      <c r="I299" s="98">
        <f t="shared" si="828"/>
        <v>2004</v>
      </c>
      <c r="J299" s="98">
        <f t="shared" si="828"/>
        <v>2004</v>
      </c>
      <c r="K299" s="98">
        <f t="shared" si="828"/>
        <v>2004</v>
      </c>
      <c r="L299" s="98">
        <f t="shared" si="828"/>
        <v>2004</v>
      </c>
      <c r="M299" s="98">
        <f t="shared" si="828"/>
        <v>2005</v>
      </c>
      <c r="N299" s="98">
        <f t="shared" si="828"/>
        <v>2005</v>
      </c>
      <c r="O299" s="98">
        <f t="shared" si="828"/>
        <v>2005</v>
      </c>
      <c r="P299" s="98">
        <f t="shared" si="828"/>
        <v>2005</v>
      </c>
      <c r="Q299" s="98">
        <f t="shared" si="828"/>
        <v>2006</v>
      </c>
      <c r="R299" s="98">
        <f t="shared" si="828"/>
        <v>2006</v>
      </c>
      <c r="S299" s="98">
        <f t="shared" si="828"/>
        <v>2006</v>
      </c>
      <c r="T299" s="98">
        <f t="shared" si="828"/>
        <v>2006</v>
      </c>
      <c r="U299" s="98">
        <f t="shared" si="828"/>
        <v>2007</v>
      </c>
      <c r="V299" s="98">
        <f t="shared" si="828"/>
        <v>2007</v>
      </c>
      <c r="W299" s="98">
        <f t="shared" si="828"/>
        <v>2007</v>
      </c>
      <c r="X299" s="98">
        <f t="shared" si="828"/>
        <v>2007</v>
      </c>
      <c r="Y299" s="98">
        <f t="shared" si="828"/>
        <v>2008</v>
      </c>
      <c r="Z299" s="98">
        <f t="shared" si="828"/>
        <v>2008</v>
      </c>
      <c r="AA299" s="98">
        <f t="shared" si="828"/>
        <v>2008</v>
      </c>
      <c r="AB299" s="98">
        <f t="shared" si="828"/>
        <v>2008</v>
      </c>
      <c r="AC299" s="98">
        <f t="shared" si="828"/>
        <v>2009</v>
      </c>
      <c r="AD299" s="98">
        <f t="shared" si="828"/>
        <v>2009</v>
      </c>
      <c r="AE299" s="98">
        <f t="shared" si="828"/>
        <v>2009</v>
      </c>
      <c r="AF299" s="98">
        <f t="shared" si="828"/>
        <v>2009</v>
      </c>
      <c r="AG299" s="98">
        <f t="shared" si="828"/>
        <v>2010</v>
      </c>
      <c r="AH299" s="98">
        <f t="shared" si="828"/>
        <v>2010</v>
      </c>
      <c r="AI299" s="98">
        <f t="shared" si="828"/>
        <v>2010</v>
      </c>
      <c r="AJ299" s="98">
        <f t="shared" ref="AJ299:BS299" si="829">YEAR(AJ6)</f>
        <v>2010</v>
      </c>
      <c r="AK299" s="98">
        <f t="shared" si="829"/>
        <v>2011</v>
      </c>
      <c r="AL299" s="98">
        <f t="shared" si="829"/>
        <v>2011</v>
      </c>
      <c r="AM299" s="98">
        <f t="shared" si="829"/>
        <v>2011</v>
      </c>
      <c r="AN299" s="98">
        <f t="shared" si="829"/>
        <v>2011</v>
      </c>
      <c r="AO299" s="98">
        <f t="shared" si="829"/>
        <v>2012</v>
      </c>
      <c r="AP299" s="98">
        <f t="shared" si="829"/>
        <v>2012</v>
      </c>
      <c r="AQ299" s="98">
        <f t="shared" si="829"/>
        <v>2012</v>
      </c>
      <c r="AR299" s="98">
        <f t="shared" si="829"/>
        <v>2012</v>
      </c>
      <c r="AS299" s="98">
        <f t="shared" si="829"/>
        <v>2013</v>
      </c>
      <c r="AT299" s="98">
        <f t="shared" si="829"/>
        <v>2013</v>
      </c>
      <c r="AU299" s="98">
        <f t="shared" si="829"/>
        <v>2013</v>
      </c>
      <c r="AV299" s="98">
        <f t="shared" si="829"/>
        <v>2013</v>
      </c>
      <c r="AW299" s="98">
        <f t="shared" si="829"/>
        <v>2014</v>
      </c>
      <c r="AX299" s="98">
        <f t="shared" si="829"/>
        <v>2014</v>
      </c>
      <c r="AY299" s="98">
        <f t="shared" si="829"/>
        <v>2014</v>
      </c>
      <c r="AZ299" s="98">
        <f t="shared" si="829"/>
        <v>2014</v>
      </c>
      <c r="BA299" s="98">
        <f t="shared" si="829"/>
        <v>2015</v>
      </c>
      <c r="BB299" s="98">
        <f t="shared" si="829"/>
        <v>2015</v>
      </c>
      <c r="BC299" s="98">
        <f t="shared" si="829"/>
        <v>2015</v>
      </c>
      <c r="BD299" s="98">
        <f t="shared" si="829"/>
        <v>2015</v>
      </c>
      <c r="BE299" s="98">
        <f t="shared" si="829"/>
        <v>2016</v>
      </c>
      <c r="BF299" s="98">
        <f t="shared" si="829"/>
        <v>2016</v>
      </c>
      <c r="BG299" s="98">
        <f t="shared" si="829"/>
        <v>2016</v>
      </c>
      <c r="BH299" s="98">
        <f t="shared" si="829"/>
        <v>2016</v>
      </c>
      <c r="BI299" s="98">
        <f t="shared" si="829"/>
        <v>2017</v>
      </c>
      <c r="BJ299" s="98">
        <f t="shared" si="829"/>
        <v>2017</v>
      </c>
      <c r="BK299" s="98">
        <f t="shared" ref="BK299" si="830">YEAR(BK6)</f>
        <v>2017</v>
      </c>
      <c r="BL299" s="98">
        <f t="shared" si="829"/>
        <v>2017</v>
      </c>
      <c r="BM299" s="98">
        <f t="shared" si="829"/>
        <v>2018</v>
      </c>
      <c r="BN299" s="98">
        <f t="shared" si="829"/>
        <v>2018</v>
      </c>
      <c r="BO299" s="98">
        <f t="shared" si="829"/>
        <v>2018</v>
      </c>
      <c r="BP299" s="98">
        <f t="shared" si="829"/>
        <v>2018</v>
      </c>
      <c r="BQ299" s="98">
        <f t="shared" si="829"/>
        <v>2019</v>
      </c>
      <c r="BR299" s="98">
        <f t="shared" si="829"/>
        <v>2019</v>
      </c>
      <c r="BS299" s="98">
        <f t="shared" si="829"/>
        <v>2019</v>
      </c>
      <c r="BT299" s="98">
        <f t="shared" ref="BT299:BW299" si="831">YEAR(BT6)</f>
        <v>2019</v>
      </c>
      <c r="BU299" s="98">
        <f t="shared" si="831"/>
        <v>2020</v>
      </c>
      <c r="BV299" s="98">
        <f t="shared" si="831"/>
        <v>2020</v>
      </c>
      <c r="BW299" s="98">
        <f t="shared" si="831"/>
        <v>2020</v>
      </c>
      <c r="BX299" s="6"/>
      <c r="BY299" s="94"/>
      <c r="BZ299" s="102"/>
      <c r="CA299" s="102"/>
      <c r="CB299" s="102"/>
      <c r="CC299" s="102"/>
      <c r="CD299" s="94"/>
      <c r="CE299" s="102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2"/>
      <c r="CQ299" s="6"/>
      <c r="CR299" s="116">
        <f>P299</f>
        <v>2005</v>
      </c>
      <c r="CS299" s="116">
        <f>T299</f>
        <v>2006</v>
      </c>
      <c r="CT299" s="116">
        <f>U299</f>
        <v>2007</v>
      </c>
      <c r="CU299" s="116">
        <f>AB299</f>
        <v>2008</v>
      </c>
      <c r="CV299" s="116">
        <f>AF299</f>
        <v>2009</v>
      </c>
      <c r="CW299" s="116">
        <f>AJ299</f>
        <v>2010</v>
      </c>
      <c r="CX299" s="116">
        <f>AN299</f>
        <v>2011</v>
      </c>
      <c r="CY299" s="116">
        <f>AR299</f>
        <v>2012</v>
      </c>
      <c r="CZ299" s="116">
        <f>AV299</f>
        <v>2013</v>
      </c>
      <c r="DA299" s="116">
        <v>2014</v>
      </c>
      <c r="DB299" s="116">
        <v>2015</v>
      </c>
      <c r="DC299" s="116">
        <v>2016</v>
      </c>
      <c r="DD299" s="116">
        <v>2017</v>
      </c>
      <c r="DE299" s="116">
        <v>2018</v>
      </c>
      <c r="DF299" s="116">
        <v>2019</v>
      </c>
      <c r="DK299"/>
      <c r="DL299"/>
      <c r="DM299"/>
      <c r="DN299"/>
      <c r="DO299"/>
      <c r="DP299"/>
    </row>
    <row r="300" spans="1:120" s="7" customFormat="1" ht="14.25">
      <c r="B300" s="93" t="s">
        <v>69</v>
      </c>
      <c r="C300" s="93"/>
      <c r="D300" s="97" t="e">
        <f t="shared" ref="D300:X300" si="832">IF(VALUE(D298)=1,4,D298-1)</f>
        <v>#VALUE!</v>
      </c>
      <c r="E300" s="97" t="e">
        <f t="shared" si="832"/>
        <v>#VALUE!</v>
      </c>
      <c r="F300" s="97" t="e">
        <f t="shared" si="832"/>
        <v>#VALUE!</v>
      </c>
      <c r="G300" s="97" t="e">
        <f t="shared" si="832"/>
        <v>#VALUE!</v>
      </c>
      <c r="H300" s="97" t="e">
        <f t="shared" si="832"/>
        <v>#VALUE!</v>
      </c>
      <c r="I300" s="97" t="e">
        <f t="shared" si="832"/>
        <v>#VALUE!</v>
      </c>
      <c r="J300" s="97" t="e">
        <f t="shared" si="832"/>
        <v>#VALUE!</v>
      </c>
      <c r="K300" s="97" t="e">
        <f t="shared" si="832"/>
        <v>#VALUE!</v>
      </c>
      <c r="L300" s="97" t="e">
        <f t="shared" si="832"/>
        <v>#VALUE!</v>
      </c>
      <c r="M300" s="97" t="e">
        <f t="shared" si="832"/>
        <v>#VALUE!</v>
      </c>
      <c r="N300" s="97" t="e">
        <f t="shared" si="832"/>
        <v>#VALUE!</v>
      </c>
      <c r="O300" s="97" t="e">
        <f t="shared" si="832"/>
        <v>#VALUE!</v>
      </c>
      <c r="P300" s="97" t="e">
        <f t="shared" si="832"/>
        <v>#VALUE!</v>
      </c>
      <c r="Q300" s="97" t="e">
        <f t="shared" si="832"/>
        <v>#VALUE!</v>
      </c>
      <c r="R300" s="97" t="e">
        <f t="shared" si="832"/>
        <v>#VALUE!</v>
      </c>
      <c r="S300" s="97" t="e">
        <f t="shared" si="832"/>
        <v>#VALUE!</v>
      </c>
      <c r="T300" s="97" t="e">
        <f t="shared" si="832"/>
        <v>#VALUE!</v>
      </c>
      <c r="U300" s="97" t="e">
        <f t="shared" si="832"/>
        <v>#VALUE!</v>
      </c>
      <c r="V300" s="97" t="e">
        <f t="shared" si="832"/>
        <v>#VALUE!</v>
      </c>
      <c r="W300" s="97" t="e">
        <f t="shared" si="832"/>
        <v>#VALUE!</v>
      </c>
      <c r="X300" s="97" t="e">
        <f t="shared" si="832"/>
        <v>#VALUE!</v>
      </c>
      <c r="Y300" s="97" t="e">
        <f t="shared" ref="Y300:AY300" si="833">IF(VALUE(Y298)=1,4,Y298-1)</f>
        <v>#VALUE!</v>
      </c>
      <c r="Z300" s="97" t="e">
        <f t="shared" si="833"/>
        <v>#VALUE!</v>
      </c>
      <c r="AA300" s="97" t="e">
        <f t="shared" si="833"/>
        <v>#VALUE!</v>
      </c>
      <c r="AB300" s="97" t="e">
        <f t="shared" si="833"/>
        <v>#VALUE!</v>
      </c>
      <c r="AC300" s="97" t="e">
        <f t="shared" si="833"/>
        <v>#VALUE!</v>
      </c>
      <c r="AD300" s="97" t="e">
        <f t="shared" si="833"/>
        <v>#VALUE!</v>
      </c>
      <c r="AE300" s="97" t="e">
        <f t="shared" si="833"/>
        <v>#VALUE!</v>
      </c>
      <c r="AF300" s="97" t="e">
        <f t="shared" si="833"/>
        <v>#VALUE!</v>
      </c>
      <c r="AG300" s="97" t="e">
        <f t="shared" si="833"/>
        <v>#VALUE!</v>
      </c>
      <c r="AH300" s="97" t="e">
        <f t="shared" si="833"/>
        <v>#VALUE!</v>
      </c>
      <c r="AI300" s="97" t="e">
        <f t="shared" si="833"/>
        <v>#VALUE!</v>
      </c>
      <c r="AJ300" s="97" t="e">
        <f t="shared" si="833"/>
        <v>#VALUE!</v>
      </c>
      <c r="AK300" s="97" t="e">
        <f t="shared" si="833"/>
        <v>#VALUE!</v>
      </c>
      <c r="AL300" s="97" t="e">
        <f t="shared" si="833"/>
        <v>#VALUE!</v>
      </c>
      <c r="AM300" s="97" t="e">
        <f t="shared" si="833"/>
        <v>#VALUE!</v>
      </c>
      <c r="AN300" s="97" t="e">
        <f t="shared" si="833"/>
        <v>#VALUE!</v>
      </c>
      <c r="AO300" s="97" t="e">
        <f t="shared" si="833"/>
        <v>#VALUE!</v>
      </c>
      <c r="AP300" s="97" t="e">
        <f t="shared" si="833"/>
        <v>#VALUE!</v>
      </c>
      <c r="AQ300" s="97" t="e">
        <f t="shared" si="833"/>
        <v>#VALUE!</v>
      </c>
      <c r="AR300" s="97" t="e">
        <f t="shared" si="833"/>
        <v>#VALUE!</v>
      </c>
      <c r="AS300" s="97" t="e">
        <f t="shared" si="833"/>
        <v>#VALUE!</v>
      </c>
      <c r="AT300" s="97" t="e">
        <f t="shared" si="833"/>
        <v>#VALUE!</v>
      </c>
      <c r="AU300" s="97" t="e">
        <f t="shared" si="833"/>
        <v>#VALUE!</v>
      </c>
      <c r="AV300" s="97" t="e">
        <f t="shared" si="833"/>
        <v>#VALUE!</v>
      </c>
      <c r="AW300" s="97" t="e">
        <f t="shared" si="833"/>
        <v>#VALUE!</v>
      </c>
      <c r="AX300" s="97" t="e">
        <f t="shared" si="833"/>
        <v>#VALUE!</v>
      </c>
      <c r="AY300" s="97" t="e">
        <f t="shared" si="833"/>
        <v>#VALUE!</v>
      </c>
      <c r="AZ300" s="97" t="e">
        <f t="shared" ref="AZ300:BO300" si="834">IF(VALUE(AZ298)=1,4,AZ298-1)</f>
        <v>#VALUE!</v>
      </c>
      <c r="BA300" s="97" t="e">
        <f t="shared" si="834"/>
        <v>#VALUE!</v>
      </c>
      <c r="BB300" s="97" t="e">
        <f t="shared" si="834"/>
        <v>#VALUE!</v>
      </c>
      <c r="BC300" s="97" t="e">
        <f t="shared" si="834"/>
        <v>#VALUE!</v>
      </c>
      <c r="BD300" s="97" t="e">
        <f t="shared" si="834"/>
        <v>#VALUE!</v>
      </c>
      <c r="BE300" s="97" t="e">
        <f t="shared" si="834"/>
        <v>#VALUE!</v>
      </c>
      <c r="BF300" s="97" t="e">
        <f t="shared" si="834"/>
        <v>#VALUE!</v>
      </c>
      <c r="BG300" s="97" t="e">
        <f t="shared" si="834"/>
        <v>#VALUE!</v>
      </c>
      <c r="BH300" s="97" t="e">
        <f>IF(VALUE(BH298)=1,4,BH298-1)</f>
        <v>#VALUE!</v>
      </c>
      <c r="BI300" s="97" t="e">
        <f>IF(VALUE(BI298)=1,4,BI298-1)</f>
        <v>#VALUE!</v>
      </c>
      <c r="BJ300" s="97" t="e">
        <f>IF(VALUE(BJ298)=1,4,BJ298-1)</f>
        <v>#VALUE!</v>
      </c>
      <c r="BK300" s="97" t="e">
        <f t="shared" ref="BK300" si="835">IF(VALUE(BK298)=1,4,BK298-1)</f>
        <v>#VALUE!</v>
      </c>
      <c r="BL300" s="97" t="e">
        <f t="shared" si="834"/>
        <v>#VALUE!</v>
      </c>
      <c r="BM300" s="97" t="e">
        <f t="shared" si="834"/>
        <v>#VALUE!</v>
      </c>
      <c r="BN300" s="97" t="e">
        <f t="shared" si="834"/>
        <v>#VALUE!</v>
      </c>
      <c r="BO300" s="97" t="e">
        <f t="shared" si="834"/>
        <v>#VALUE!</v>
      </c>
      <c r="BP300" s="97" t="e">
        <f t="shared" ref="BP300:BW300" si="836">IF(VALUE(BP298)=1,4,BP298-1)</f>
        <v>#VALUE!</v>
      </c>
      <c r="BQ300" s="97" t="e">
        <f t="shared" si="836"/>
        <v>#VALUE!</v>
      </c>
      <c r="BR300" s="97" t="e">
        <f t="shared" si="836"/>
        <v>#VALUE!</v>
      </c>
      <c r="BS300" s="97" t="e">
        <f t="shared" si="836"/>
        <v>#VALUE!</v>
      </c>
      <c r="BT300" s="97" t="e">
        <f t="shared" si="836"/>
        <v>#VALUE!</v>
      </c>
      <c r="BU300" s="97" t="e">
        <f t="shared" si="836"/>
        <v>#VALUE!</v>
      </c>
      <c r="BV300" s="97" t="e">
        <f t="shared" si="836"/>
        <v>#VALUE!</v>
      </c>
      <c r="BW300" s="97" t="e">
        <f t="shared" si="836"/>
        <v>#VALUE!</v>
      </c>
      <c r="BX300" s="6"/>
      <c r="BY300" s="94"/>
      <c r="BZ300" s="102"/>
      <c r="CA300" s="102"/>
      <c r="CB300" s="102"/>
      <c r="CC300" s="102"/>
      <c r="CD300" s="94"/>
      <c r="CE300" s="102"/>
      <c r="CF300" s="102"/>
      <c r="CG300" s="102"/>
      <c r="CH300" s="102"/>
      <c r="CI300" s="102"/>
      <c r="CJ300" s="102"/>
      <c r="CK300" s="102"/>
      <c r="CL300" s="102"/>
      <c r="CM300" s="102"/>
      <c r="CN300" s="102"/>
      <c r="CO300" s="102"/>
      <c r="CP300" s="102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K300"/>
      <c r="DL300"/>
      <c r="DM300"/>
      <c r="DN300"/>
      <c r="DO300"/>
      <c r="DP300"/>
    </row>
    <row r="301" spans="1:120" s="7" customFormat="1" ht="14.25">
      <c r="B301" s="93"/>
      <c r="C301" s="93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6"/>
      <c r="BY301" s="94"/>
      <c r="BZ301" s="102"/>
      <c r="CA301" s="102"/>
      <c r="CB301" s="102"/>
      <c r="CC301" s="102"/>
      <c r="CD301" s="94"/>
      <c r="CE301" s="102"/>
      <c r="CF301" s="102"/>
      <c r="CG301" s="102"/>
      <c r="CH301" s="102"/>
      <c r="CI301" s="102"/>
      <c r="CJ301" s="102"/>
      <c r="CK301" s="102"/>
      <c r="CL301" s="102"/>
      <c r="CM301" s="102"/>
      <c r="CN301" s="102"/>
      <c r="CO301" s="102"/>
      <c r="CP301" s="102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K301"/>
      <c r="DL301"/>
      <c r="DM301"/>
      <c r="DN301"/>
      <c r="DO301"/>
      <c r="DP301"/>
    </row>
    <row r="302" spans="1:120" ht="14.25">
      <c r="B302" s="93"/>
      <c r="C302" s="93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  <c r="BA302" s="98"/>
      <c r="BB302" s="98"/>
      <c r="BC302" s="98"/>
      <c r="BD302" s="98"/>
      <c r="BE302" s="98"/>
      <c r="BF302" s="98"/>
      <c r="BG302" s="98"/>
      <c r="BH302" s="98"/>
      <c r="BI302" s="98"/>
      <c r="BJ302" s="98"/>
      <c r="BK302" s="98"/>
      <c r="BL302" s="98"/>
      <c r="BM302" s="98"/>
      <c r="BN302" s="98"/>
      <c r="BO302" s="98"/>
      <c r="BP302" s="98"/>
      <c r="BQ302" s="98"/>
      <c r="BR302" s="98"/>
      <c r="BS302" s="98"/>
      <c r="BT302" s="98"/>
      <c r="BU302" s="98"/>
      <c r="BV302" s="98"/>
      <c r="BW302" s="98"/>
    </row>
    <row r="303" spans="1:120" ht="14.25">
      <c r="B303" s="93"/>
      <c r="C303" s="93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</row>
    <row r="304" spans="1:120" ht="14.25">
      <c r="B304" s="6"/>
      <c r="C304" s="6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  <c r="AA304" s="94"/>
      <c r="AB304" s="94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</row>
    <row r="305" spans="2:75" ht="14.25">
      <c r="B305" s="6"/>
      <c r="C305" s="6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</row>
    <row r="306" spans="2:75" ht="14.2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</row>
  </sheetData>
  <phoneticPr fontId="9" type="noConversion"/>
  <pageMargins left="0" right="0" top="0" bottom="0" header="0" footer="0"/>
  <pageSetup paperSize="5" scale="17" orientation="landscape" r:id="rId1"/>
  <headerFooter alignWithMargins="0"/>
  <rowBreaks count="1" manualBreakCount="1">
    <brk id="126" max="16383" man="1"/>
  </rowBreaks>
  <colBreaks count="1" manualBreakCount="1">
    <brk id="87" max="1048575" man="1"/>
  </colBreaks>
  <ignoredErrors>
    <ignoredError sqref="X26:AH26 CD15:CJ15 CD26:CJ26 CD32:CJ32 CD43:CJ43 Y95:AH95 CD83:CJ83 CD89:CJ89 CU15:CZ15 CU26:CZ26 CU32:CZ32 CD68:CJ68 CU95:CZ95 CU83:CZ83 CU89:CZ89 Y83:AH83 AJ83 CU68:CZ68 CQ68" formula="1"/>
    <ignoredError sqref="CD9:CE9 CD16:CE16 CD34:CJ34 CD74:CJ74 CD91:CJ91 CU9:CZ9 CD17:CE17 CU16:CZ16 CU17:CZ17 CU34:CZ34 CU74:CZ74 CU91:CZ91 CD56:CJ56 CG54:CJ54 CD45:CJ46 CD59:CJ59 CD58:CJ58 CD57:CJ57 CV54:CZ54 CU58:CZ58 CU56:CZ56 CV59:CZ59 CV45:CZ53 CU57 CU59 CU45:CU55 CV55:CZ55 CV57:CZ57" formulaRange="1"/>
    <ignoredError sqref="CU43:CZ43" formula="1" formulaRange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DS326"/>
  <sheetViews>
    <sheetView showGridLines="0" zoomScale="85" workbookViewId="0">
      <pane xSplit="3" ySplit="6" topLeftCell="D7" activePane="bottomRight" state="frozen"/>
      <selection activeCell="CP1" sqref="CP1:CR4"/>
      <selection pane="topRight" activeCell="CP1" sqref="CP1:CR4"/>
      <selection pane="bottomLeft" activeCell="CP1" sqref="CP1:CR4"/>
      <selection pane="bottomRight" activeCell="B3" sqref="B3"/>
    </sheetView>
  </sheetViews>
  <sheetFormatPr defaultRowHeight="12.75" outlineLevelCol="1"/>
  <cols>
    <col min="1" max="1" width="1.7109375" style="3" customWidth="1"/>
    <col min="2" max="2" width="39.42578125" style="3" customWidth="1"/>
    <col min="3" max="3" width="1.7109375" style="3" customWidth="1"/>
    <col min="4" max="51" width="11.85546875" style="3" hidden="1" customWidth="1" outlineLevel="1"/>
    <col min="52" max="52" width="11.85546875" style="3" hidden="1" customWidth="1" outlineLevel="1" collapsed="1"/>
    <col min="53" max="55" width="11.85546875" style="3" hidden="1" customWidth="1" outlineLevel="1"/>
    <col min="56" max="56" width="11.85546875" style="3" hidden="1" customWidth="1" outlineLevel="1" collapsed="1"/>
    <col min="57" max="59" width="11.85546875" style="3" hidden="1" customWidth="1" outlineLevel="1"/>
    <col min="60" max="60" width="11.85546875" style="3" customWidth="1" collapsed="1"/>
    <col min="61" max="71" width="11.85546875" style="3" customWidth="1"/>
    <col min="72" max="75" width="11.85546875" style="3" hidden="1" customWidth="1" outlineLevel="1"/>
    <col min="76" max="76" width="1.7109375" style="3" customWidth="1" collapsed="1"/>
    <col min="77" max="87" width="11.85546875" style="3" hidden="1" customWidth="1" outlineLevel="1"/>
    <col min="88" max="88" width="11.85546875" style="3" customWidth="1" collapsed="1"/>
    <col min="89" max="93" width="11.85546875" style="3" customWidth="1"/>
    <col min="94" max="94" width="11.85546875" style="3" hidden="1" customWidth="1" outlineLevel="1"/>
    <col min="95" max="95" width="1.85546875" style="3" customWidth="1" collapsed="1"/>
    <col min="96" max="104" width="11.85546875" style="3" hidden="1" customWidth="1" outlineLevel="1"/>
    <col min="105" max="105" width="11.85546875" style="3" customWidth="1" collapsed="1"/>
    <col min="106" max="110" width="11.85546875" style="3" customWidth="1"/>
    <col min="111" max="114" width="7.7109375" style="3" customWidth="1"/>
  </cols>
  <sheetData>
    <row r="1" spans="1:122" s="3" customFormat="1" ht="67.5" customHeight="1">
      <c r="D1" s="2" t="str">
        <f>IF(SUM(BS)&lt;&gt;0,"BS BREAK","")</f>
        <v/>
      </c>
      <c r="E1" s="2"/>
      <c r="F1" s="2" t="str">
        <f>IF(SUM(BS)&lt;&gt;0,"BS BREAK","")</f>
        <v/>
      </c>
      <c r="G1" s="2"/>
      <c r="H1" s="2" t="str">
        <f>IF(SUM(BS)&lt;&gt;0,"BS BREAK","")</f>
        <v/>
      </c>
      <c r="I1" s="2"/>
      <c r="J1" s="2" t="str">
        <f>IF(SUM(BS)&lt;&gt;0,"BS BREAK","")</f>
        <v/>
      </c>
      <c r="K1" s="2"/>
      <c r="L1" s="2" t="str">
        <f>IF(SUM(BS)&lt;&gt;0,"BS BREAK","")</f>
        <v/>
      </c>
      <c r="M1" s="2"/>
      <c r="N1" s="2" t="str">
        <f>IF(SUM(BS)&lt;&gt;0,"BS BREAK","")</f>
        <v/>
      </c>
      <c r="O1" s="2"/>
      <c r="P1" s="2" t="str">
        <f>IF(SUM(BS)&lt;&gt;0,"BS BREAK","")</f>
        <v/>
      </c>
      <c r="Q1" s="2"/>
      <c r="R1" s="2" t="str">
        <f>IF(SUM(BS)&lt;&gt;0,"BS BREAK","")</f>
        <v/>
      </c>
      <c r="S1" s="2"/>
      <c r="T1" s="2" t="str">
        <f>IF(SUM(BS)&lt;&gt;0,"BS BREAK","")</f>
        <v/>
      </c>
      <c r="U1" s="2"/>
      <c r="V1" s="2" t="str">
        <f>IF(SUM(BS)&lt;&gt;0,"BS BREAK","")</f>
        <v/>
      </c>
      <c r="W1" s="2"/>
      <c r="X1" s="2" t="str">
        <f>IF(SUM(BS)&lt;&gt;0,"BS BREAK","")</f>
        <v/>
      </c>
      <c r="Y1" s="2"/>
      <c r="Z1" s="2" t="str">
        <f>IF(SUM(BS)&lt;&gt;0,"BS BREAK","")</f>
        <v/>
      </c>
      <c r="AA1" s="2"/>
      <c r="AB1" s="2" t="str">
        <f>IF(SUM(BS)&lt;&gt;0,"BS BREAK","")</f>
        <v/>
      </c>
      <c r="AC1" s="2"/>
      <c r="AD1" s="2" t="str">
        <f>IF(SUM(BS)&lt;&gt;0,"BS BREAK","")</f>
        <v/>
      </c>
      <c r="AE1" s="2"/>
      <c r="AF1" s="2" t="str">
        <f>IF(SUM(BS)&lt;&gt;0,"BS BREAK","")</f>
        <v/>
      </c>
      <c r="AG1" s="2"/>
      <c r="AH1" s="2" t="str">
        <f>IF(SUM(BS)&lt;&gt;0,"BS BREAK","")</f>
        <v/>
      </c>
      <c r="AI1" s="2"/>
      <c r="AJ1" s="2" t="str">
        <f>IF(SUM(BS)&lt;&gt;0,"BS BREAK","")</f>
        <v/>
      </c>
      <c r="AK1" s="2"/>
      <c r="AL1" s="2" t="str">
        <f>IF(SUM(BS)&lt;&gt;0,"BS BREAK","")</f>
        <v/>
      </c>
      <c r="AM1" s="2"/>
      <c r="AN1" s="2" t="str">
        <f>IF(SUM(BS)&lt;&gt;0,"BS BREAK","")</f>
        <v/>
      </c>
      <c r="AO1" s="2"/>
      <c r="AP1" s="2" t="str">
        <f>IF(SUM(BS)&lt;&gt;0,"BS BREAK","")</f>
        <v/>
      </c>
      <c r="AQ1" s="120"/>
      <c r="AR1" s="2" t="str">
        <f>IF(SUM(BS)&lt;&gt;0,"BS BREAK","")</f>
        <v/>
      </c>
      <c r="AS1" s="2"/>
      <c r="AT1" s="2" t="str">
        <f>IF(SUM(BS)&lt;&gt;0,"BS BREAK","")</f>
        <v/>
      </c>
      <c r="AU1" s="120"/>
      <c r="AV1" s="2" t="str">
        <f>IF(SUM(BS)&lt;&gt;0,"BS BREAK","")</f>
        <v/>
      </c>
      <c r="AW1" s="2"/>
      <c r="AX1" s="2" t="str">
        <f>IF(SUM(BS)&lt;&gt;0,"BS BREAK","")</f>
        <v/>
      </c>
      <c r="AY1" s="120"/>
      <c r="AZ1" s="2" t="str">
        <f>IF(SUM(BS)&lt;&gt;0,"BS BREAK","")</f>
        <v/>
      </c>
      <c r="BA1" s="2"/>
      <c r="BB1" s="2" t="str">
        <f>IF(SUM(BS)&lt;&gt;0,"BS BREAK","")</f>
        <v/>
      </c>
      <c r="BC1" s="120"/>
      <c r="BD1" s="2" t="str">
        <f>IF(SUM(BS)&lt;&gt;0,"BS BREAK","")</f>
        <v/>
      </c>
      <c r="BE1" s="2"/>
      <c r="BF1" s="2" t="str">
        <f>IF(SUM(BS)&lt;&gt;0,"BS BREAK","")</f>
        <v/>
      </c>
      <c r="BG1" s="120"/>
      <c r="BH1" s="2" t="str">
        <f>IF(SUM(BS)&lt;&gt;0,"BS BREAK","")</f>
        <v/>
      </c>
      <c r="BI1" s="2"/>
      <c r="BJ1" s="2" t="str">
        <f>IF(SUM(BS)&lt;&gt;0,"BS BREAK","")</f>
        <v/>
      </c>
      <c r="BK1" s="120"/>
      <c r="BL1" s="2" t="str">
        <f>IF(SUM(BS)&lt;&gt;0,"BS BREAK","")</f>
        <v/>
      </c>
      <c r="BM1" s="2"/>
      <c r="BN1" s="2" t="str">
        <f>IF(SUM(BS)&lt;&gt;0,"BS BREAK","")</f>
        <v/>
      </c>
      <c r="BO1" s="120"/>
      <c r="BP1" s="120"/>
      <c r="BQ1" s="120"/>
      <c r="BR1" s="120"/>
      <c r="BS1" s="120"/>
      <c r="BT1" s="120"/>
      <c r="BU1" s="120"/>
      <c r="BV1" s="120"/>
      <c r="BW1" s="120"/>
      <c r="BX1" s="2"/>
      <c r="CE1" s="2" t="str">
        <f>IF(SUM(BS)&lt;&gt;0,"BS BREAK","")</f>
        <v/>
      </c>
      <c r="CG1" s="2" t="str">
        <f>IF(SUM(BS)&lt;&gt;0,"BS BREAK","")</f>
        <v/>
      </c>
      <c r="CI1" s="2" t="str">
        <f>IF(SUM(BS)&lt;&gt;0,"BS BREAK","")</f>
        <v/>
      </c>
      <c r="CK1" s="2" t="str">
        <f>IF(SUM(BS)&lt;&gt;0,"BS BREAK","")</f>
        <v/>
      </c>
      <c r="CM1" s="2" t="str">
        <f>IF(SUM(BS)&lt;&gt;0,"BS BREAK","")</f>
        <v/>
      </c>
      <c r="CP1" s="2" t="str">
        <f>IF(SUM(BS)&lt;&gt;0,"BS BREAK","")</f>
        <v/>
      </c>
      <c r="CR1" s="2"/>
      <c r="CS1" s="2"/>
      <c r="CT1" s="2"/>
      <c r="CU1" s="2" t="str">
        <f>IF(SUM(BS)&lt;&gt;0,"BS BREAK","")</f>
        <v/>
      </c>
      <c r="CW1" s="2" t="str">
        <f>IF(SUM(BS)&lt;&gt;0,"BS BREAK","")</f>
        <v/>
      </c>
      <c r="CY1" s="2" t="str">
        <f>IF(SUM(BS)&lt;&gt;0,"BS BREAK","")</f>
        <v/>
      </c>
      <c r="DG1" s="110"/>
      <c r="DH1" s="110"/>
      <c r="DI1" s="110"/>
      <c r="DJ1" s="110"/>
      <c r="DK1"/>
      <c r="DL1"/>
      <c r="DM1"/>
      <c r="DN1"/>
      <c r="DO1"/>
      <c r="DP1"/>
      <c r="DQ1" s="109"/>
      <c r="DR1" s="109"/>
    </row>
    <row r="2" spans="1:122" s="7" customFormat="1" ht="18">
      <c r="A2" s="3"/>
      <c r="B2" s="4" t="s">
        <v>70</v>
      </c>
      <c r="C2" s="5"/>
      <c r="BD2" s="850"/>
      <c r="BE2" s="850"/>
      <c r="BF2" s="850"/>
      <c r="BG2" s="850"/>
      <c r="BK2" s="850"/>
      <c r="DG2" s="100"/>
      <c r="DH2" s="100"/>
      <c r="DI2" s="100"/>
      <c r="DJ2" s="100"/>
      <c r="DK2"/>
      <c r="DL2"/>
      <c r="DM2"/>
      <c r="DN2"/>
      <c r="DO2"/>
      <c r="DP2"/>
      <c r="DQ2" s="101"/>
      <c r="DR2" s="101"/>
    </row>
    <row r="3" spans="1:122" s="7" customFormat="1" ht="18">
      <c r="A3" s="3"/>
      <c r="B3" s="5"/>
      <c r="C3" s="5"/>
      <c r="BC3" s="628"/>
      <c r="BE3" s="822"/>
      <c r="BF3" s="849"/>
      <c r="DG3" s="100"/>
      <c r="DH3" s="100"/>
      <c r="DI3" s="100"/>
      <c r="DJ3" s="100"/>
      <c r="DK3"/>
      <c r="DL3"/>
      <c r="DM3"/>
      <c r="DN3"/>
      <c r="DO3"/>
      <c r="DP3"/>
      <c r="DQ3" s="101"/>
      <c r="DR3" s="101"/>
    </row>
    <row r="4" spans="1:122" s="7" customFormat="1" ht="15">
      <c r="A4" s="506"/>
      <c r="B4" s="466" t="s">
        <v>168</v>
      </c>
      <c r="C4" s="453"/>
      <c r="D4" s="11" t="str">
        <f>IS!D5</f>
        <v>C4Q02A</v>
      </c>
      <c r="E4" s="12" t="str">
        <f>IS!E5</f>
        <v>C1Q03A</v>
      </c>
      <c r="F4" s="12" t="str">
        <f>IS!F5</f>
        <v>C2Q03A</v>
      </c>
      <c r="G4" s="12" t="str">
        <f>IS!G5</f>
        <v>C3Q03A</v>
      </c>
      <c r="H4" s="11" t="str">
        <f>IS!H5</f>
        <v>C4Q03A</v>
      </c>
      <c r="I4" s="12" t="str">
        <f>IS!I5</f>
        <v>C1Q04A</v>
      </c>
      <c r="J4" s="12" t="str">
        <f>IS!J5</f>
        <v>C2Q04A</v>
      </c>
      <c r="K4" s="13" t="str">
        <f>IS!K5</f>
        <v>C3Q04A</v>
      </c>
      <c r="L4" s="12" t="str">
        <f>IS!L5</f>
        <v>C4Q04A</v>
      </c>
      <c r="M4" s="12" t="str">
        <f>IS!M5</f>
        <v>C1Q05A</v>
      </c>
      <c r="N4" s="12" t="str">
        <f>IS!N5</f>
        <v>C2Q05A</v>
      </c>
      <c r="O4" s="12" t="str">
        <f>IS!O5</f>
        <v>C3Q05A</v>
      </c>
      <c r="P4" s="11" t="str">
        <f>IS!P5</f>
        <v>C4Q05A</v>
      </c>
      <c r="Q4" s="12" t="str">
        <f>IS!Q5</f>
        <v>C1Q06A</v>
      </c>
      <c r="R4" s="12" t="str">
        <f>IS!R5</f>
        <v>C2Q06A</v>
      </c>
      <c r="S4" s="13" t="str">
        <f>IS!S5</f>
        <v>C3Q06A</v>
      </c>
      <c r="T4" s="12" t="str">
        <f>IS!T5</f>
        <v>C4Q06A</v>
      </c>
      <c r="U4" s="12" t="str">
        <f>IS!U5</f>
        <v>C1Q07A</v>
      </c>
      <c r="V4" s="12" t="str">
        <f>IS!V5</f>
        <v>C2Q07A</v>
      </c>
      <c r="W4" s="13" t="str">
        <f>IS!W5</f>
        <v>C3Q07A</v>
      </c>
      <c r="X4" s="11" t="str">
        <f>IS!X5</f>
        <v>C4Q07A</v>
      </c>
      <c r="Y4" s="12" t="str">
        <f>IS!Y5</f>
        <v>C1Q08A</v>
      </c>
      <c r="Z4" s="12" t="str">
        <f>IS!Z5</f>
        <v>C2Q08A</v>
      </c>
      <c r="AA4" s="13" t="str">
        <f>IS!AA5</f>
        <v>C3Q08A</v>
      </c>
      <c r="AB4" s="11" t="str">
        <f>IS!AB5</f>
        <v>C4Q08A</v>
      </c>
      <c r="AC4" s="12" t="str">
        <f>IS!AC5</f>
        <v>C1Q09A</v>
      </c>
      <c r="AD4" s="12" t="str">
        <f>IS!AD5</f>
        <v>C2Q09A</v>
      </c>
      <c r="AE4" s="13" t="str">
        <f>IS!AE5</f>
        <v>C3Q09A</v>
      </c>
      <c r="AF4" s="11" t="str">
        <f>IS!AF5</f>
        <v>C4Q09A</v>
      </c>
      <c r="AG4" s="12" t="str">
        <f>IS!AG5</f>
        <v>C1Q10A</v>
      </c>
      <c r="AH4" s="12" t="str">
        <f>IS!AH5</f>
        <v>C2Q10A</v>
      </c>
      <c r="AI4" s="13" t="str">
        <f>IS!AI5</f>
        <v>C3Q10A</v>
      </c>
      <c r="AJ4" s="11" t="str">
        <f>IS!AJ5</f>
        <v>C4Q10A</v>
      </c>
      <c r="AK4" s="12" t="str">
        <f>IS!AK5</f>
        <v>C1Q11A</v>
      </c>
      <c r="AL4" s="12" t="str">
        <f>IS!AL5</f>
        <v>C2Q11A</v>
      </c>
      <c r="AM4" s="13" t="str">
        <f>IS!AM5</f>
        <v>C3Q11A</v>
      </c>
      <c r="AN4" s="11" t="str">
        <f>IS!AN5</f>
        <v>C4Q11A</v>
      </c>
      <c r="AO4" s="12" t="str">
        <f>IS!AO5</f>
        <v>C1Q12A</v>
      </c>
      <c r="AP4" s="12" t="str">
        <f>IS!AP5</f>
        <v>C2Q12A</v>
      </c>
      <c r="AQ4" s="13" t="str">
        <f>IS!AQ5</f>
        <v>C3Q12A</v>
      </c>
      <c r="AR4" s="11" t="str">
        <f>IS!AR5</f>
        <v>C4Q12A</v>
      </c>
      <c r="AS4" s="12" t="str">
        <f>IS!AS5</f>
        <v>C1Q13A</v>
      </c>
      <c r="AT4" s="12" t="str">
        <f>IS!AT5</f>
        <v>C2Q13A</v>
      </c>
      <c r="AU4" s="13" t="str">
        <f>IS!AU5</f>
        <v>C3Q13A</v>
      </c>
      <c r="AV4" s="11" t="str">
        <f>IS!AV5</f>
        <v>C4Q13A</v>
      </c>
      <c r="AW4" s="12" t="str">
        <f>IS!AW5</f>
        <v>C1Q14A</v>
      </c>
      <c r="AX4" s="12" t="str">
        <f>IS!AX5</f>
        <v>C2Q14A</v>
      </c>
      <c r="AY4" s="13" t="str">
        <f>IS!AY5</f>
        <v>C3Q14A</v>
      </c>
      <c r="AZ4" s="11" t="str">
        <f>IS!AZ5</f>
        <v>C4Q14A</v>
      </c>
      <c r="BA4" s="12" t="str">
        <f>IS!BA5</f>
        <v>C1Q15A</v>
      </c>
      <c r="BB4" s="12" t="str">
        <f>IS!BB5</f>
        <v>C2Q15A</v>
      </c>
      <c r="BC4" s="13" t="str">
        <f>IS!BC5</f>
        <v>C3Q15A</v>
      </c>
      <c r="BD4" s="11" t="str">
        <f>IS!BD5</f>
        <v>C4Q15A</v>
      </c>
      <c r="BE4" s="12" t="str">
        <f>IS!BE5</f>
        <v>C1Q16A</v>
      </c>
      <c r="BF4" s="12" t="str">
        <f>IS!BF5</f>
        <v>C2Q16A</v>
      </c>
      <c r="BG4" s="13" t="str">
        <f>IS!BG5</f>
        <v>C3Q16A</v>
      </c>
      <c r="BH4" s="11" t="str">
        <f>IS!BH5</f>
        <v>C4Q16A</v>
      </c>
      <c r="BI4" s="12" t="str">
        <f>IS!BI5</f>
        <v>C1Q17A</v>
      </c>
      <c r="BJ4" s="12" t="str">
        <f>IS!BJ5</f>
        <v>C2Q17A</v>
      </c>
      <c r="BK4" s="879" t="str">
        <f>IS!BK5</f>
        <v>C3Q17A</v>
      </c>
      <c r="BL4" s="11" t="str">
        <f>IS!BL5</f>
        <v>C4Q17A</v>
      </c>
      <c r="BM4" s="12" t="str">
        <f>IS!BM5</f>
        <v>C1Q18E</v>
      </c>
      <c r="BN4" s="12" t="str">
        <f>IS!BN5</f>
        <v>C2Q18E</v>
      </c>
      <c r="BO4" s="13" t="str">
        <f>IS!BO5</f>
        <v>C3Q18E</v>
      </c>
      <c r="BP4" s="11" t="str">
        <f>IS!BP5</f>
        <v>C4Q18E</v>
      </c>
      <c r="BQ4" s="12" t="str">
        <f>IS!BQ5</f>
        <v>C1Q19E</v>
      </c>
      <c r="BR4" s="12" t="str">
        <f>IS!BR5</f>
        <v>C2Q19E</v>
      </c>
      <c r="BS4" s="13" t="str">
        <f>IS!BS5</f>
        <v>C3Q19E</v>
      </c>
      <c r="BT4" s="877" t="str">
        <f>IS!BT5</f>
        <v>C4Q19E</v>
      </c>
      <c r="BU4" s="878" t="str">
        <f>IS!BU5</f>
        <v>C1Q20E</v>
      </c>
      <c r="BV4" s="878" t="str">
        <f>IS!BV5</f>
        <v>C2Q20E</v>
      </c>
      <c r="BW4" s="879" t="str">
        <f>IS!BW5</f>
        <v>C3Q20E</v>
      </c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W4" s="505"/>
      <c r="CX4" s="505"/>
      <c r="CY4" s="505"/>
      <c r="DG4" s="100"/>
      <c r="DH4" s="100"/>
      <c r="DI4" s="100"/>
      <c r="DJ4" s="100"/>
      <c r="DK4"/>
      <c r="DL4"/>
      <c r="DM4"/>
      <c r="DN4"/>
      <c r="DO4"/>
      <c r="DP4"/>
      <c r="DQ4" s="101"/>
      <c r="DR4" s="101"/>
    </row>
    <row r="5" spans="1:122" s="7" customFormat="1" ht="15" customHeight="1">
      <c r="A5" s="506"/>
      <c r="B5" s="467" t="s">
        <v>115</v>
      </c>
      <c r="C5" s="451"/>
      <c r="D5" s="534">
        <f>IS!D6</f>
        <v>37620</v>
      </c>
      <c r="E5" s="532">
        <f>IS!E6</f>
        <v>37711</v>
      </c>
      <c r="F5" s="532">
        <f>IS!F6</f>
        <v>37802</v>
      </c>
      <c r="G5" s="532">
        <f>IS!G6</f>
        <v>37894</v>
      </c>
      <c r="H5" s="534">
        <f>IS!H6</f>
        <v>37985</v>
      </c>
      <c r="I5" s="532">
        <f>IS!I6</f>
        <v>38077</v>
      </c>
      <c r="J5" s="532">
        <f>IS!J6</f>
        <v>38168</v>
      </c>
      <c r="K5" s="533">
        <f>IS!K6</f>
        <v>38260</v>
      </c>
      <c r="L5" s="532">
        <f>IS!L6</f>
        <v>38351</v>
      </c>
      <c r="M5" s="532">
        <f>IS!M6</f>
        <v>38442</v>
      </c>
      <c r="N5" s="532">
        <f>IS!N6</f>
        <v>38533</v>
      </c>
      <c r="O5" s="532">
        <f>IS!O6</f>
        <v>38625</v>
      </c>
      <c r="P5" s="534">
        <f>IS!P6</f>
        <v>38716</v>
      </c>
      <c r="Q5" s="532">
        <f>IS!Q6</f>
        <v>38807</v>
      </c>
      <c r="R5" s="532">
        <f>IS!R6</f>
        <v>38898</v>
      </c>
      <c r="S5" s="533">
        <f>IS!S6</f>
        <v>38990</v>
      </c>
      <c r="T5" s="532">
        <f>IS!T6</f>
        <v>39081</v>
      </c>
      <c r="U5" s="532">
        <f>IS!U6</f>
        <v>39172</v>
      </c>
      <c r="V5" s="532">
        <f>IS!V6</f>
        <v>39263</v>
      </c>
      <c r="W5" s="533">
        <f>IS!W6</f>
        <v>39355</v>
      </c>
      <c r="X5" s="534">
        <f>IS!X6</f>
        <v>39446</v>
      </c>
      <c r="Y5" s="532">
        <f>IS!Y6</f>
        <v>39538</v>
      </c>
      <c r="Z5" s="532">
        <f>IS!Z6</f>
        <v>39629</v>
      </c>
      <c r="AA5" s="533">
        <f>IS!AA6</f>
        <v>39721</v>
      </c>
      <c r="AB5" s="534">
        <f>IS!AB6</f>
        <v>39813</v>
      </c>
      <c r="AC5" s="532">
        <f>IS!AC6</f>
        <v>39903</v>
      </c>
      <c r="AD5" s="532">
        <f>IS!AD6</f>
        <v>39994</v>
      </c>
      <c r="AE5" s="533">
        <f>IS!AE6</f>
        <v>40086</v>
      </c>
      <c r="AF5" s="534">
        <f>IS!AF6</f>
        <v>40178</v>
      </c>
      <c r="AG5" s="532">
        <f>IS!AG6</f>
        <v>40268</v>
      </c>
      <c r="AH5" s="532">
        <f>IS!AH6</f>
        <v>40359</v>
      </c>
      <c r="AI5" s="533">
        <f>IS!AI6</f>
        <v>40451</v>
      </c>
      <c r="AJ5" s="534">
        <f>IS!AJ6</f>
        <v>40543</v>
      </c>
      <c r="AK5" s="532">
        <f>IS!AK6</f>
        <v>40633</v>
      </c>
      <c r="AL5" s="532">
        <f>IS!AL6</f>
        <v>40724</v>
      </c>
      <c r="AM5" s="533">
        <f>IS!AM6</f>
        <v>40816</v>
      </c>
      <c r="AN5" s="534">
        <f>IS!AN6</f>
        <v>40908</v>
      </c>
      <c r="AO5" s="532">
        <f>IS!AO6</f>
        <v>40999</v>
      </c>
      <c r="AP5" s="532">
        <f>IS!AP6</f>
        <v>41090</v>
      </c>
      <c r="AQ5" s="533">
        <f>IS!AQ6</f>
        <v>41182</v>
      </c>
      <c r="AR5" s="534">
        <f>IS!AR6</f>
        <v>41274</v>
      </c>
      <c r="AS5" s="532">
        <f>IS!AS6</f>
        <v>41364</v>
      </c>
      <c r="AT5" s="532">
        <f>IS!AT6</f>
        <v>41455</v>
      </c>
      <c r="AU5" s="533">
        <f>IS!AU6</f>
        <v>41547</v>
      </c>
      <c r="AV5" s="534">
        <f>IS!AV6</f>
        <v>41639</v>
      </c>
      <c r="AW5" s="532">
        <f>IS!AW6</f>
        <v>41729</v>
      </c>
      <c r="AX5" s="532">
        <f>IS!AX6</f>
        <v>41820</v>
      </c>
      <c r="AY5" s="533">
        <f>IS!AY6</f>
        <v>41912</v>
      </c>
      <c r="AZ5" s="534">
        <f>IS!AZ6</f>
        <v>42004</v>
      </c>
      <c r="BA5" s="532">
        <f>IS!BA6</f>
        <v>42094</v>
      </c>
      <c r="BB5" s="532">
        <f>IS!BB6</f>
        <v>42185</v>
      </c>
      <c r="BC5" s="533">
        <f>IS!BC6</f>
        <v>42277</v>
      </c>
      <c r="BD5" s="534">
        <f>IS!BD6</f>
        <v>42369</v>
      </c>
      <c r="BE5" s="532">
        <f>IS!BE6</f>
        <v>42460</v>
      </c>
      <c r="BF5" s="532">
        <f>IS!BF6</f>
        <v>42551</v>
      </c>
      <c r="BG5" s="533">
        <f>IS!BG6</f>
        <v>42643</v>
      </c>
      <c r="BH5" s="534">
        <f>IS!BH6</f>
        <v>42735</v>
      </c>
      <c r="BI5" s="532">
        <f>IS!BI6</f>
        <v>42825</v>
      </c>
      <c r="BJ5" s="532">
        <f>IS!BJ6</f>
        <v>42916</v>
      </c>
      <c r="BK5" s="897">
        <f>IS!BK6</f>
        <v>43008</v>
      </c>
      <c r="BL5" s="534">
        <f>IS!BL6</f>
        <v>43100</v>
      </c>
      <c r="BM5" s="532">
        <f>IS!BM6</f>
        <v>43190</v>
      </c>
      <c r="BN5" s="532">
        <f>IS!BN6</f>
        <v>43281</v>
      </c>
      <c r="BO5" s="533">
        <f>IS!BO6</f>
        <v>43373</v>
      </c>
      <c r="BP5" s="534">
        <f>IS!BP6</f>
        <v>43465</v>
      </c>
      <c r="BQ5" s="532">
        <f>IS!BQ6</f>
        <v>43555</v>
      </c>
      <c r="BR5" s="532">
        <f>IS!BR6</f>
        <v>43646</v>
      </c>
      <c r="BS5" s="533">
        <f>IS!BS6</f>
        <v>43738</v>
      </c>
      <c r="BT5" s="898">
        <f>IS!BT6</f>
        <v>43830</v>
      </c>
      <c r="BU5" s="896">
        <f>IS!BU6</f>
        <v>43921</v>
      </c>
      <c r="BV5" s="896">
        <f>IS!BV6</f>
        <v>44012</v>
      </c>
      <c r="BW5" s="897">
        <f>IS!BW6</f>
        <v>44104</v>
      </c>
      <c r="BX5" s="99"/>
      <c r="BY5"/>
      <c r="BZ5"/>
      <c r="CA5"/>
      <c r="CB5"/>
      <c r="CC5"/>
      <c r="CD5"/>
      <c r="CE5"/>
      <c r="CF5" s="451"/>
      <c r="CG5" s="451"/>
      <c r="CH5" s="451"/>
      <c r="CI5" s="102"/>
      <c r="CJ5" s="102"/>
      <c r="CK5" s="102"/>
      <c r="CL5" s="102"/>
      <c r="CM5" s="102"/>
      <c r="CN5" s="102"/>
      <c r="CO5" s="102"/>
      <c r="CP5" s="102"/>
      <c r="CQ5" s="102"/>
      <c r="CR5" s="631" t="str">
        <f>IS!CR6</f>
        <v>CY2005</v>
      </c>
      <c r="CS5" s="633" t="str">
        <f>IS!CS6</f>
        <v>CY2006</v>
      </c>
      <c r="CT5" s="633" t="str">
        <f>IS!CT6</f>
        <v>CY2007</v>
      </c>
      <c r="CU5" s="633" t="str">
        <f>IS!CU6</f>
        <v>CY2008</v>
      </c>
      <c r="CV5" s="633" t="str">
        <f>IS!CV6</f>
        <v>CY2009</v>
      </c>
      <c r="CW5" s="633" t="str">
        <f>IS!CW6</f>
        <v>CY2010</v>
      </c>
      <c r="CX5" s="633" t="str">
        <f>IS!CX6</f>
        <v>CY2011</v>
      </c>
      <c r="CY5" s="633" t="str">
        <f>IS!CY6</f>
        <v>CY2012</v>
      </c>
      <c r="CZ5" s="633" t="str">
        <f>IS!CZ6</f>
        <v>CY2013</v>
      </c>
      <c r="DA5" s="631" t="str">
        <f>IS!DA6</f>
        <v>CY2014</v>
      </c>
      <c r="DB5" s="633" t="str">
        <f>IS!DB6</f>
        <v>CY2015</v>
      </c>
      <c r="DC5" s="633" t="str">
        <f>IS!DC6</f>
        <v>CY2016</v>
      </c>
      <c r="DD5" s="902" t="str">
        <f>IS!DD6</f>
        <v>CY2017</v>
      </c>
      <c r="DE5" s="902" t="str">
        <f>IS!DE6</f>
        <v>CY2018</v>
      </c>
      <c r="DF5" s="876" t="str">
        <f>IS!DF6</f>
        <v>CY2019</v>
      </c>
      <c r="DG5" s="100"/>
      <c r="DH5" s="100"/>
      <c r="DI5" s="100"/>
      <c r="DJ5" s="102"/>
      <c r="DK5"/>
      <c r="DL5"/>
      <c r="DM5"/>
      <c r="DN5"/>
      <c r="DO5"/>
      <c r="DP5"/>
      <c r="DQ5" s="101"/>
      <c r="DR5" s="101"/>
    </row>
    <row r="6" spans="1:122" s="228" customFormat="1" ht="15">
      <c r="A6" s="121"/>
      <c r="B6" s="468"/>
      <c r="C6" s="454"/>
      <c r="D6" s="11" t="str">
        <f>IS!D7</f>
        <v>F1Q03A</v>
      </c>
      <c r="E6" s="12" t="str">
        <f>IS!E7</f>
        <v>F2Q03A</v>
      </c>
      <c r="F6" s="12" t="str">
        <f>IS!F7</f>
        <v>F3Q03A</v>
      </c>
      <c r="G6" s="12" t="str">
        <f>IS!G7</f>
        <v>F4Q03A</v>
      </c>
      <c r="H6" s="11" t="str">
        <f>IS!H7</f>
        <v>F1Q04A</v>
      </c>
      <c r="I6" s="12" t="str">
        <f>IS!I7</f>
        <v>F2Q04A</v>
      </c>
      <c r="J6" s="12" t="str">
        <f>IS!J7</f>
        <v>F3Q04A</v>
      </c>
      <c r="K6" s="13" t="str">
        <f>IS!K7</f>
        <v>F4Q04A</v>
      </c>
      <c r="L6" s="12" t="str">
        <f>IS!L7</f>
        <v>F1Q05A</v>
      </c>
      <c r="M6" s="12" t="str">
        <f>IS!M7</f>
        <v>F2Q05A</v>
      </c>
      <c r="N6" s="12" t="str">
        <f>IS!N7</f>
        <v>F3Q05A</v>
      </c>
      <c r="O6" s="12" t="str">
        <f>IS!O7</f>
        <v>F4Q05A</v>
      </c>
      <c r="P6" s="11" t="str">
        <f>IS!P7</f>
        <v>F1Q06A</v>
      </c>
      <c r="Q6" s="12" t="str">
        <f>IS!Q7</f>
        <v>F2Q06A</v>
      </c>
      <c r="R6" s="12" t="str">
        <f>IS!R7</f>
        <v>F3Q06A</v>
      </c>
      <c r="S6" s="13" t="str">
        <f>IS!S7</f>
        <v>F4Q06A</v>
      </c>
      <c r="T6" s="12" t="str">
        <f>IS!T7</f>
        <v>F1Q07A</v>
      </c>
      <c r="U6" s="12" t="str">
        <f>IS!U7</f>
        <v>F2Q07A</v>
      </c>
      <c r="V6" s="12" t="str">
        <f>IS!V7</f>
        <v>F3Q07A</v>
      </c>
      <c r="W6" s="13" t="str">
        <f>IS!W7</f>
        <v>F4Q07A</v>
      </c>
      <c r="X6" s="11" t="str">
        <f>IS!X7</f>
        <v>F1Q08A</v>
      </c>
      <c r="Y6" s="12" t="str">
        <f>IS!Y7</f>
        <v>F2Q08A</v>
      </c>
      <c r="Z6" s="12" t="str">
        <f>IS!Z7</f>
        <v>F3Q08A</v>
      </c>
      <c r="AA6" s="13" t="str">
        <f>IS!AA7</f>
        <v>F4Q08A</v>
      </c>
      <c r="AB6" s="11" t="str">
        <f>IS!AB7</f>
        <v>F1Q09A</v>
      </c>
      <c r="AC6" s="12" t="str">
        <f>IS!AC7</f>
        <v>F2Q09A</v>
      </c>
      <c r="AD6" s="12" t="str">
        <f>IS!AD7</f>
        <v>F3Q09A</v>
      </c>
      <c r="AE6" s="13" t="str">
        <f>IS!AE7</f>
        <v>F4Q09A</v>
      </c>
      <c r="AF6" s="11" t="str">
        <f>IS!AF7</f>
        <v>F1Q10A</v>
      </c>
      <c r="AG6" s="12" t="str">
        <f>IS!AG7</f>
        <v>F2Q10A</v>
      </c>
      <c r="AH6" s="12" t="str">
        <f>IS!AH7</f>
        <v>F3Q10A</v>
      </c>
      <c r="AI6" s="13" t="str">
        <f>IS!AI7</f>
        <v>F4Q10A</v>
      </c>
      <c r="AJ6" s="11" t="str">
        <f>IS!AJ7</f>
        <v>F1Q11A</v>
      </c>
      <c r="AK6" s="12" t="str">
        <f>IS!AK7</f>
        <v>F2Q11A</v>
      </c>
      <c r="AL6" s="12" t="str">
        <f>IS!AL7</f>
        <v>F3Q11A</v>
      </c>
      <c r="AM6" s="13" t="str">
        <f>IS!AM7</f>
        <v>F4Q11A</v>
      </c>
      <c r="AN6" s="11" t="str">
        <f>IS!AN7</f>
        <v>F1Q12A</v>
      </c>
      <c r="AO6" s="12" t="str">
        <f>IS!AO7</f>
        <v>F2Q12A</v>
      </c>
      <c r="AP6" s="12" t="str">
        <f>IS!AP7</f>
        <v>F3Q12A</v>
      </c>
      <c r="AQ6" s="13" t="str">
        <f>IS!AQ7</f>
        <v>F4Q12A</v>
      </c>
      <c r="AR6" s="11" t="str">
        <f>IS!AR7</f>
        <v>F1Q13A</v>
      </c>
      <c r="AS6" s="12" t="str">
        <f>IS!AS7</f>
        <v>F2Q13A</v>
      </c>
      <c r="AT6" s="12" t="str">
        <f>IS!AT7</f>
        <v>F3Q13A</v>
      </c>
      <c r="AU6" s="13" t="str">
        <f>IS!AU7</f>
        <v>F4Q13A</v>
      </c>
      <c r="AV6" s="11" t="str">
        <f>IS!AV7</f>
        <v>F1Q14A</v>
      </c>
      <c r="AW6" s="12" t="str">
        <f>IS!AW7</f>
        <v>F2Q14A</v>
      </c>
      <c r="AX6" s="12" t="str">
        <f>IS!AX7</f>
        <v>F3Q14A</v>
      </c>
      <c r="AY6" s="13" t="str">
        <f>IS!AY7</f>
        <v>F4Q14A</v>
      </c>
      <c r="AZ6" s="11" t="str">
        <f>IS!AZ7</f>
        <v>F1Q15A</v>
      </c>
      <c r="BA6" s="12" t="str">
        <f>IS!BA7</f>
        <v>F2Q15A</v>
      </c>
      <c r="BB6" s="12" t="str">
        <f>IS!BB7</f>
        <v>F3Q15A</v>
      </c>
      <c r="BC6" s="13" t="str">
        <f>IS!BC7</f>
        <v>F4Q15A</v>
      </c>
      <c r="BD6" s="11" t="str">
        <f>IS!BD7</f>
        <v>F1Q16A</v>
      </c>
      <c r="BE6" s="12" t="str">
        <f>IS!BE7</f>
        <v>F2Q16A</v>
      </c>
      <c r="BF6" s="12" t="str">
        <f>IS!BF7</f>
        <v>F3Q16A</v>
      </c>
      <c r="BG6" s="13" t="str">
        <f>IS!BG7</f>
        <v>F4Q16A</v>
      </c>
      <c r="BH6" s="11" t="str">
        <f>IS!BH7</f>
        <v>F1Q17A</v>
      </c>
      <c r="BI6" s="12" t="str">
        <f>IS!BI7</f>
        <v>F2Q17A</v>
      </c>
      <c r="BJ6" s="12" t="str">
        <f>IS!BJ7</f>
        <v>F3Q17A</v>
      </c>
      <c r="BK6" s="879" t="str">
        <f>IS!BK7</f>
        <v>F4Q17A</v>
      </c>
      <c r="BL6" s="11" t="str">
        <f>IS!BL7</f>
        <v>F1Q18A</v>
      </c>
      <c r="BM6" s="12" t="str">
        <f>IS!BM7</f>
        <v>F2Q18E</v>
      </c>
      <c r="BN6" s="12" t="str">
        <f>IS!BN7</f>
        <v>F3Q18E</v>
      </c>
      <c r="BO6" s="13" t="str">
        <f>IS!BO7</f>
        <v>F4Q18E</v>
      </c>
      <c r="BP6" s="11" t="str">
        <f>IS!BP7</f>
        <v>F1Q19E</v>
      </c>
      <c r="BQ6" s="12" t="str">
        <f>IS!BQ7</f>
        <v>F2Q19E</v>
      </c>
      <c r="BR6" s="12" t="str">
        <f>IS!BR7</f>
        <v>F3Q19E</v>
      </c>
      <c r="BS6" s="13" t="str">
        <f>IS!BS7</f>
        <v>F4Q19E</v>
      </c>
      <c r="BT6" s="877" t="str">
        <f>IS!BT7</f>
        <v>F1Q20E</v>
      </c>
      <c r="BU6" s="878" t="str">
        <f>IS!BU7</f>
        <v>F2Q20E</v>
      </c>
      <c r="BV6" s="878" t="str">
        <f>IS!BV7</f>
        <v>F3Q20E</v>
      </c>
      <c r="BW6" s="879" t="str">
        <f>IS!BW7</f>
        <v>F4Q20E</v>
      </c>
      <c r="BX6" s="123"/>
      <c r="BY6" s="11" t="e">
        <f>IS!BY7</f>
        <v>#NAME?</v>
      </c>
      <c r="BZ6" s="12" t="e">
        <f>IS!BZ7</f>
        <v>#NAME?</v>
      </c>
      <c r="CA6" s="12" t="e">
        <f>IS!CA7</f>
        <v>#NAME?</v>
      </c>
      <c r="CB6" s="12" t="e">
        <f>IS!CB7</f>
        <v>#NAME?</v>
      </c>
      <c r="CC6" s="12" t="e">
        <f>IS!CC7</f>
        <v>#NAME?</v>
      </c>
      <c r="CD6" s="12" t="e">
        <f>IS!CD7</f>
        <v>#NAME?</v>
      </c>
      <c r="CE6" s="12" t="e">
        <f>IS!CE7</f>
        <v>#NAME?</v>
      </c>
      <c r="CF6" s="12" t="e">
        <f>IS!CF7</f>
        <v>#NAME?</v>
      </c>
      <c r="CG6" s="12" t="e">
        <f>IS!CG7</f>
        <v>#NAME?</v>
      </c>
      <c r="CH6" s="12" t="e">
        <f>IS!CH7</f>
        <v>#NAME?</v>
      </c>
      <c r="CI6" s="13" t="str">
        <f>IS!CI7</f>
        <v>FY2013A</v>
      </c>
      <c r="CJ6" s="11" t="str">
        <f>IS!CJ7</f>
        <v>FY2014A</v>
      </c>
      <c r="CK6" s="12" t="str">
        <f>IS!CK7</f>
        <v>FY2015A</v>
      </c>
      <c r="CL6" s="12" t="str">
        <f>IS!CL7</f>
        <v>FY2016A</v>
      </c>
      <c r="CM6" s="12" t="str">
        <f>IS!CM7</f>
        <v>FY2017A</v>
      </c>
      <c r="CN6" s="12" t="str">
        <f>IS!CN7</f>
        <v>FY2018E</v>
      </c>
      <c r="CO6" s="878" t="str">
        <f>IS!CO7</f>
        <v>FY2019E</v>
      </c>
      <c r="CP6" s="13" t="str">
        <f>IS!CP7</f>
        <v>FY2020E</v>
      </c>
      <c r="CQ6" s="122"/>
      <c r="CR6" s="631">
        <f>IS!CR7</f>
        <v>38717</v>
      </c>
      <c r="CS6" s="633">
        <f>IS!CS7</f>
        <v>39082</v>
      </c>
      <c r="CT6" s="633">
        <f>IS!CT7</f>
        <v>39447</v>
      </c>
      <c r="CU6" s="633">
        <f>IS!CU7</f>
        <v>39813</v>
      </c>
      <c r="CV6" s="633">
        <f>IS!CV7</f>
        <v>40178</v>
      </c>
      <c r="CW6" s="633">
        <f>IS!CW7</f>
        <v>40543</v>
      </c>
      <c r="CX6" s="633">
        <f>IS!CX7</f>
        <v>40908</v>
      </c>
      <c r="CY6" s="633">
        <f>IS!CY7</f>
        <v>41274</v>
      </c>
      <c r="CZ6" s="633">
        <f>IS!CZ7</f>
        <v>41639</v>
      </c>
      <c r="DA6" s="631">
        <f>IS!DA7</f>
        <v>42004</v>
      </c>
      <c r="DB6" s="633">
        <f>IS!DB7</f>
        <v>42369</v>
      </c>
      <c r="DC6" s="633">
        <f>IS!DC7</f>
        <v>42735</v>
      </c>
      <c r="DD6" s="902">
        <f>IS!DD7</f>
        <v>43100</v>
      </c>
      <c r="DE6" s="902">
        <f>IS!DE7</f>
        <v>43465</v>
      </c>
      <c r="DF6" s="876">
        <f>IS!DF7</f>
        <v>43830</v>
      </c>
      <c r="DG6" s="124"/>
      <c r="DH6" s="124"/>
      <c r="DI6" s="124"/>
      <c r="DJ6" s="124"/>
      <c r="DK6"/>
      <c r="DL6"/>
      <c r="DM6"/>
      <c r="DN6"/>
      <c r="DO6"/>
      <c r="DP6"/>
      <c r="DQ6" s="227"/>
      <c r="DR6" s="227"/>
    </row>
    <row r="7" spans="1:122" s="229" customFormat="1" ht="15">
      <c r="A7" s="125"/>
      <c r="B7" s="126" t="s">
        <v>117</v>
      </c>
      <c r="C7" s="127"/>
      <c r="D7" s="128"/>
      <c r="E7" s="128"/>
      <c r="F7" s="128"/>
      <c r="G7" s="99"/>
      <c r="H7" s="130"/>
      <c r="I7" s="99"/>
      <c r="J7" s="99"/>
      <c r="K7" s="129"/>
      <c r="L7" s="128"/>
      <c r="M7" s="128"/>
      <c r="N7" s="128"/>
      <c r="O7" s="99"/>
      <c r="P7" s="130"/>
      <c r="Q7" s="99"/>
      <c r="R7" s="99"/>
      <c r="S7" s="129"/>
      <c r="T7" s="128"/>
      <c r="U7" s="128"/>
      <c r="V7" s="128"/>
      <c r="W7" s="129"/>
      <c r="X7" s="128"/>
      <c r="Y7" s="128"/>
      <c r="Z7" s="128"/>
      <c r="AA7" s="129"/>
      <c r="AB7" s="130"/>
      <c r="AC7" s="99"/>
      <c r="AD7" s="99"/>
      <c r="AE7" s="129"/>
      <c r="AF7" s="130"/>
      <c r="AG7" s="99"/>
      <c r="AH7" s="99"/>
      <c r="AI7" s="99"/>
      <c r="AJ7" s="130"/>
      <c r="AK7" s="99"/>
      <c r="AL7" s="99"/>
      <c r="AM7" s="99"/>
      <c r="AN7" s="130"/>
      <c r="AO7" s="99"/>
      <c r="AP7" s="99"/>
      <c r="AQ7" s="99"/>
      <c r="AR7" s="130"/>
      <c r="AS7" s="99"/>
      <c r="AT7" s="99"/>
      <c r="AU7" s="99"/>
      <c r="AV7" s="130"/>
      <c r="AW7" s="99"/>
      <c r="AX7" s="99"/>
      <c r="AY7" s="99"/>
      <c r="AZ7" s="130"/>
      <c r="BA7" s="99"/>
      <c r="BB7" s="99"/>
      <c r="BC7" s="99"/>
      <c r="BD7" s="635"/>
      <c r="BE7" s="636"/>
      <c r="BF7" s="636"/>
      <c r="BG7" s="634"/>
      <c r="BH7" s="130"/>
      <c r="BI7" s="99"/>
      <c r="BJ7" s="99"/>
      <c r="BK7" s="634"/>
      <c r="BL7" s="130"/>
      <c r="BM7" s="99"/>
      <c r="BN7" s="99"/>
      <c r="BO7" s="634"/>
      <c r="BP7" s="99"/>
      <c r="BQ7" s="99"/>
      <c r="BR7" s="99"/>
      <c r="BS7" s="634"/>
      <c r="BT7" s="99"/>
      <c r="BU7" s="99"/>
      <c r="BV7" s="99"/>
      <c r="BW7" s="99"/>
      <c r="BX7" s="130"/>
      <c r="BY7" s="130"/>
      <c r="BZ7" s="99"/>
      <c r="CA7" s="99"/>
      <c r="CB7" s="99"/>
      <c r="CC7" s="99"/>
      <c r="CD7" s="99"/>
      <c r="CE7" s="99"/>
      <c r="CF7" s="99"/>
      <c r="CG7" s="99"/>
      <c r="CH7" s="99"/>
      <c r="CI7" s="129"/>
      <c r="CJ7" s="130"/>
      <c r="CK7" s="99"/>
      <c r="CL7" s="99"/>
      <c r="CM7" s="99"/>
      <c r="CN7" s="99"/>
      <c r="CO7" s="99"/>
      <c r="CP7" s="129"/>
      <c r="CQ7" s="131"/>
      <c r="CR7" s="635"/>
      <c r="CS7" s="636"/>
      <c r="CT7" s="636"/>
      <c r="CU7" s="636"/>
      <c r="CV7" s="636"/>
      <c r="CW7" s="636"/>
      <c r="CX7" s="636"/>
      <c r="CY7" s="636"/>
      <c r="CZ7" s="636"/>
      <c r="DA7" s="635"/>
      <c r="DB7" s="636"/>
      <c r="DC7" s="636"/>
      <c r="DD7" s="636"/>
      <c r="DE7" s="636"/>
      <c r="DF7" s="634"/>
      <c r="DG7" s="100"/>
      <c r="DH7" s="100"/>
      <c r="DI7" s="100"/>
      <c r="DJ7" s="100"/>
      <c r="DK7"/>
      <c r="DL7"/>
      <c r="DM7"/>
      <c r="DN7"/>
      <c r="DO7"/>
      <c r="DP7"/>
      <c r="DQ7" s="101"/>
      <c r="DR7" s="101"/>
    </row>
    <row r="8" spans="1:122" s="229" customFormat="1" ht="14.25">
      <c r="A8" s="125"/>
      <c r="B8" s="25" t="s">
        <v>118</v>
      </c>
      <c r="C8" s="26"/>
      <c r="D8" s="114">
        <v>94.263000000000005</v>
      </c>
      <c r="E8" s="114">
        <v>84.326999999999998</v>
      </c>
      <c r="F8" s="114">
        <v>65.222999999999999</v>
      </c>
      <c r="G8" s="57">
        <v>161.506</v>
      </c>
      <c r="H8" s="56">
        <v>176.251</v>
      </c>
      <c r="I8" s="57">
        <v>191.773</v>
      </c>
      <c r="J8" s="57">
        <v>188.18700000000001</v>
      </c>
      <c r="K8" s="58">
        <v>203.53899999999999</v>
      </c>
      <c r="L8" s="114">
        <v>202.203</v>
      </c>
      <c r="M8" s="114">
        <v>105.58499999999999</v>
      </c>
      <c r="N8" s="114">
        <v>116.94</v>
      </c>
      <c r="O8" s="57">
        <v>116.52200000000001</v>
      </c>
      <c r="P8" s="56">
        <v>123.492</v>
      </c>
      <c r="Q8" s="57">
        <v>116.754</v>
      </c>
      <c r="R8" s="57">
        <v>92.242000000000004</v>
      </c>
      <c r="S8" s="58">
        <v>136.749</v>
      </c>
      <c r="T8" s="114">
        <v>113.932</v>
      </c>
      <c r="U8" s="114">
        <v>152.447</v>
      </c>
      <c r="V8" s="114">
        <v>153.19499999999999</v>
      </c>
      <c r="W8" s="58">
        <v>241.577</v>
      </c>
      <c r="X8" s="114">
        <v>198.714</v>
      </c>
      <c r="Y8" s="114">
        <v>222.15700000000001</v>
      </c>
      <c r="Z8" s="114">
        <v>248.01499999999999</v>
      </c>
      <c r="AA8" s="58">
        <v>225.10400000000001</v>
      </c>
      <c r="AB8" s="114">
        <v>243.69499999999999</v>
      </c>
      <c r="AC8" s="114">
        <v>261.95100000000002</v>
      </c>
      <c r="AD8" s="114">
        <v>302.50400000000002</v>
      </c>
      <c r="AE8" s="58">
        <v>364.221</v>
      </c>
      <c r="AF8" s="114">
        <v>396.327</v>
      </c>
      <c r="AG8" s="114">
        <v>405.41</v>
      </c>
      <c r="AH8" s="114">
        <v>383.82400000000001</v>
      </c>
      <c r="AI8" s="58">
        <v>453.25700000000001</v>
      </c>
      <c r="AJ8" s="114">
        <v>450.05399999999997</v>
      </c>
      <c r="AK8" s="57">
        <v>503.80099999999999</v>
      </c>
      <c r="AL8" s="114">
        <v>309.64499999999998</v>
      </c>
      <c r="AM8" s="58">
        <v>410.08699999999999</v>
      </c>
      <c r="AN8" s="114">
        <v>445.63600000000002</v>
      </c>
      <c r="AO8" s="57">
        <v>306.47399999999999</v>
      </c>
      <c r="AP8" s="114">
        <v>327.09800000000001</v>
      </c>
      <c r="AQ8" s="58">
        <v>306.29300000000001</v>
      </c>
      <c r="AR8" s="114">
        <v>377.53800000000001</v>
      </c>
      <c r="AS8" s="57">
        <v>458.8</v>
      </c>
      <c r="AT8" s="57">
        <v>400.3</v>
      </c>
      <c r="AU8" s="58">
        <v>511.1</v>
      </c>
      <c r="AV8" s="114">
        <v>648.6</v>
      </c>
      <c r="AW8" s="57">
        <v>797.8</v>
      </c>
      <c r="AX8" s="57">
        <v>893.3</v>
      </c>
      <c r="AY8" s="58">
        <v>805.8</v>
      </c>
      <c r="AZ8" s="114">
        <v>1049.9000000000001</v>
      </c>
      <c r="BA8" s="57">
        <v>1054.2</v>
      </c>
      <c r="BB8" s="57">
        <v>1106</v>
      </c>
      <c r="BC8" s="57">
        <v>1043.5999999999999</v>
      </c>
      <c r="BD8" s="56">
        <v>1233.2</v>
      </c>
      <c r="BE8" s="57">
        <v>1177.5</v>
      </c>
      <c r="BF8" s="57">
        <v>973.7</v>
      </c>
      <c r="BG8" s="57">
        <v>1083.8</v>
      </c>
      <c r="BH8" s="56">
        <v>1350.5</v>
      </c>
      <c r="BI8" s="57">
        <v>1406.9</v>
      </c>
      <c r="BJ8" s="57">
        <v>1444</v>
      </c>
      <c r="BK8" s="57">
        <v>1616.8</v>
      </c>
      <c r="BL8" s="56">
        <v>1681.5</v>
      </c>
      <c r="BM8" s="132">
        <f>BL8+CFS!BM50</f>
        <v>1928.2767426868234</v>
      </c>
      <c r="BN8" s="132">
        <f>BM8+CFS!BN50</f>
        <v>2094.8824747554436</v>
      </c>
      <c r="BO8" s="134">
        <f>BN8+CFS!BO50</f>
        <v>2163.0770075521677</v>
      </c>
      <c r="BP8" s="133">
        <f>BO8+CFS!BP50</f>
        <v>2429.933706943043</v>
      </c>
      <c r="BQ8" s="132">
        <f>BP8+CFS!BQ50</f>
        <v>2707.1147633303412</v>
      </c>
      <c r="BR8" s="132">
        <f>BQ8+CFS!BR50</f>
        <v>2920.9192347888111</v>
      </c>
      <c r="BS8" s="134">
        <f>BR8+CFS!BS50</f>
        <v>3108.4396618615465</v>
      </c>
      <c r="BT8" s="133">
        <f>BS8+CFS!BT50</f>
        <v>3357.4863955569053</v>
      </c>
      <c r="BU8" s="132">
        <f>BT8+CFS!BU50</f>
        <v>3636.9823057250819</v>
      </c>
      <c r="BV8" s="132">
        <f>BU8+CFS!BV50</f>
        <v>3874.3390963460861</v>
      </c>
      <c r="BW8" s="134">
        <f>BV8+CFS!BW50</f>
        <v>4090.1602011960472</v>
      </c>
      <c r="BX8" s="578"/>
      <c r="BY8" s="133">
        <f t="shared" ref="BY8:BY13" si="0">G8</f>
        <v>161.506</v>
      </c>
      <c r="BZ8" s="132">
        <f t="shared" ref="BZ8:BZ13" si="1">K8</f>
        <v>203.53899999999999</v>
      </c>
      <c r="CA8" s="132">
        <f t="shared" ref="CA8:CA13" si="2">O8</f>
        <v>116.52200000000001</v>
      </c>
      <c r="CB8" s="132">
        <f t="shared" ref="CB8:CB13" si="3">S8</f>
        <v>136.749</v>
      </c>
      <c r="CC8" s="132">
        <f t="shared" ref="CC8:CC13" si="4">W8</f>
        <v>241.577</v>
      </c>
      <c r="CD8" s="132">
        <f t="shared" ref="CD8:CD13" si="5">AA8</f>
        <v>225.10400000000001</v>
      </c>
      <c r="CE8" s="132">
        <f t="shared" ref="CE8:CE13" si="6">AE8</f>
        <v>364.221</v>
      </c>
      <c r="CF8" s="132">
        <f t="shared" ref="CF8:CF13" si="7">AI8</f>
        <v>453.25700000000001</v>
      </c>
      <c r="CG8" s="132">
        <f t="shared" ref="CG8:CG13" si="8">AM8</f>
        <v>410.08699999999999</v>
      </c>
      <c r="CH8" s="132">
        <f t="shared" ref="CH8:CH13" si="9">AQ8</f>
        <v>306.29300000000001</v>
      </c>
      <c r="CI8" s="134">
        <f t="shared" ref="CI8:CI13" si="10">AU8</f>
        <v>511.1</v>
      </c>
      <c r="CJ8" s="133">
        <f t="shared" ref="CJ8:CJ13" si="11">AY8</f>
        <v>805.8</v>
      </c>
      <c r="CK8" s="132">
        <f t="shared" ref="CK8:CK13" si="12">BC8</f>
        <v>1043.5999999999999</v>
      </c>
      <c r="CL8" s="132">
        <f t="shared" ref="CL8:CL13" si="13">BG8</f>
        <v>1083.8</v>
      </c>
      <c r="CM8" s="132">
        <f t="shared" ref="CM8:CM13" si="14">BK8</f>
        <v>1616.8</v>
      </c>
      <c r="CN8" s="132">
        <f t="shared" ref="CN8:CN13" si="15">BO8</f>
        <v>2163.0770075521677</v>
      </c>
      <c r="CO8" s="132">
        <f t="shared" ref="CO8:CO13" si="16">BS8</f>
        <v>3108.4396618615465</v>
      </c>
      <c r="CP8" s="134">
        <f>BW8</f>
        <v>4090.1602011960472</v>
      </c>
      <c r="CQ8" s="949"/>
      <c r="CR8" s="133">
        <f t="shared" ref="CR8:CR13" si="17">P8</f>
        <v>123.492</v>
      </c>
      <c r="CS8" s="132">
        <f t="shared" ref="CS8:CS13" si="18">T8</f>
        <v>113.932</v>
      </c>
      <c r="CT8" s="132">
        <f t="shared" ref="CT8:CT13" si="19">X8</f>
        <v>198.714</v>
      </c>
      <c r="CU8" s="132">
        <f t="shared" ref="CU8:CU13" si="20">AB8</f>
        <v>243.69499999999999</v>
      </c>
      <c r="CV8" s="132">
        <f t="shared" ref="CV8:CV13" si="21">AF8</f>
        <v>396.327</v>
      </c>
      <c r="CW8" s="132">
        <f t="shared" ref="CW8:CW13" si="22">AJ8</f>
        <v>450.05399999999997</v>
      </c>
      <c r="CX8" s="132">
        <f t="shared" ref="CX8:CX13" si="23">AN8</f>
        <v>445.63600000000002</v>
      </c>
      <c r="CY8" s="132">
        <f t="shared" ref="CY8:CY13" si="24">AR8</f>
        <v>377.53800000000001</v>
      </c>
      <c r="CZ8" s="132">
        <f t="shared" ref="CZ8:CZ13" si="25">AV8</f>
        <v>648.6</v>
      </c>
      <c r="DA8" s="133">
        <f t="shared" ref="DA8:DA13" si="26">AZ8</f>
        <v>1049.9000000000001</v>
      </c>
      <c r="DB8" s="132">
        <f t="shared" ref="DB8:DB13" si="27">BD8</f>
        <v>1233.2</v>
      </c>
      <c r="DC8" s="132">
        <f t="shared" ref="DC8:DC13" si="28">BH8</f>
        <v>1350.5</v>
      </c>
      <c r="DD8" s="132">
        <f t="shared" ref="DD8:DD13" si="29">BL8</f>
        <v>1681.5</v>
      </c>
      <c r="DE8" s="132">
        <f t="shared" ref="DE8:DE13" si="30">BP8</f>
        <v>2429.933706943043</v>
      </c>
      <c r="DF8" s="134">
        <f>BT8</f>
        <v>3357.4863955569053</v>
      </c>
      <c r="DG8" s="100"/>
      <c r="DH8" s="100"/>
      <c r="DI8" s="100"/>
      <c r="DJ8" s="100"/>
      <c r="DK8"/>
      <c r="DL8"/>
      <c r="DM8"/>
      <c r="DN8"/>
      <c r="DO8"/>
      <c r="DP8"/>
      <c r="DQ8" s="101"/>
      <c r="DR8" s="101"/>
    </row>
    <row r="9" spans="1:122" s="229" customFormat="1" ht="14.25">
      <c r="A9" s="125"/>
      <c r="B9" s="25" t="s">
        <v>174</v>
      </c>
      <c r="C9" s="26"/>
      <c r="D9" s="135">
        <v>0</v>
      </c>
      <c r="E9" s="135">
        <v>0</v>
      </c>
      <c r="F9" s="135">
        <v>0</v>
      </c>
      <c r="G9" s="151">
        <v>3.988</v>
      </c>
      <c r="H9" s="155">
        <v>0</v>
      </c>
      <c r="I9" s="151">
        <v>0</v>
      </c>
      <c r="J9" s="151">
        <v>8</v>
      </c>
      <c r="K9" s="136">
        <v>5</v>
      </c>
      <c r="L9" s="135">
        <v>7.4790000000000001</v>
      </c>
      <c r="M9" s="135">
        <v>107.755</v>
      </c>
      <c r="N9" s="135">
        <v>112.526</v>
      </c>
      <c r="O9" s="151">
        <v>113.325</v>
      </c>
      <c r="P9" s="155">
        <v>114.97</v>
      </c>
      <c r="Q9" s="151">
        <v>60.255000000000003</v>
      </c>
      <c r="R9" s="151">
        <v>56.005000000000003</v>
      </c>
      <c r="S9" s="136">
        <v>28.15</v>
      </c>
      <c r="T9" s="135">
        <v>63.1</v>
      </c>
      <c r="U9" s="135">
        <v>64.05</v>
      </c>
      <c r="V9" s="135">
        <v>74.900000000000006</v>
      </c>
      <c r="W9" s="136">
        <v>5.7</v>
      </c>
      <c r="X9" s="135">
        <v>2.464</v>
      </c>
      <c r="Y9" s="135">
        <v>0</v>
      </c>
      <c r="Z9" s="135">
        <v>0</v>
      </c>
      <c r="AA9" s="136">
        <v>0</v>
      </c>
      <c r="AB9" s="135">
        <v>0</v>
      </c>
      <c r="AC9" s="135">
        <v>0</v>
      </c>
      <c r="AD9" s="135">
        <v>0</v>
      </c>
      <c r="AE9" s="136">
        <v>0</v>
      </c>
      <c r="AF9" s="135">
        <v>0</v>
      </c>
      <c r="AG9" s="135">
        <v>0</v>
      </c>
      <c r="AH9" s="135">
        <v>0</v>
      </c>
      <c r="AI9" s="137">
        <f>AH9</f>
        <v>0</v>
      </c>
      <c r="AJ9" s="155">
        <v>0</v>
      </c>
      <c r="AK9" s="151">
        <v>0</v>
      </c>
      <c r="AL9" s="135">
        <v>0</v>
      </c>
      <c r="AM9" s="151">
        <v>0</v>
      </c>
      <c r="AN9" s="155">
        <v>0</v>
      </c>
      <c r="AO9" s="151">
        <v>0</v>
      </c>
      <c r="AP9" s="135">
        <v>0</v>
      </c>
      <c r="AQ9" s="151">
        <v>0</v>
      </c>
      <c r="AR9" s="155">
        <v>0</v>
      </c>
      <c r="AS9" s="151">
        <v>0</v>
      </c>
      <c r="AT9" s="151">
        <v>0</v>
      </c>
      <c r="AU9" s="151">
        <v>0</v>
      </c>
      <c r="AV9" s="155">
        <v>0</v>
      </c>
      <c r="AW9" s="151">
        <v>0</v>
      </c>
      <c r="AX9" s="151">
        <v>0</v>
      </c>
      <c r="AY9" s="151">
        <v>0</v>
      </c>
      <c r="AZ9" s="155">
        <v>0</v>
      </c>
      <c r="BA9" s="151">
        <v>0</v>
      </c>
      <c r="BB9" s="151">
        <v>0</v>
      </c>
      <c r="BC9" s="151">
        <v>0</v>
      </c>
      <c r="BD9" s="155">
        <v>0</v>
      </c>
      <c r="BE9" s="151">
        <v>0</v>
      </c>
      <c r="BF9" s="151">
        <v>0</v>
      </c>
      <c r="BG9" s="151">
        <v>0</v>
      </c>
      <c r="BH9" s="155">
        <v>0</v>
      </c>
      <c r="BI9" s="151">
        <v>0</v>
      </c>
      <c r="BJ9" s="151">
        <v>0</v>
      </c>
      <c r="BK9" s="151">
        <v>0</v>
      </c>
      <c r="BL9" s="155">
        <v>0</v>
      </c>
      <c r="BM9" s="137">
        <f t="shared" ref="BM9:BO10" si="31">BL9</f>
        <v>0</v>
      </c>
      <c r="BN9" s="137">
        <f t="shared" si="31"/>
        <v>0</v>
      </c>
      <c r="BO9" s="139">
        <f t="shared" si="31"/>
        <v>0</v>
      </c>
      <c r="BP9" s="138">
        <f t="shared" ref="BP9:BS10" si="32">BO9</f>
        <v>0</v>
      </c>
      <c r="BQ9" s="137">
        <f t="shared" si="32"/>
        <v>0</v>
      </c>
      <c r="BR9" s="137">
        <f t="shared" si="32"/>
        <v>0</v>
      </c>
      <c r="BS9" s="139">
        <f t="shared" si="32"/>
        <v>0</v>
      </c>
      <c r="BT9" s="138">
        <f t="shared" ref="BT9:BT10" si="33">BS9</f>
        <v>0</v>
      </c>
      <c r="BU9" s="137">
        <f t="shared" ref="BU9:BU10" si="34">BT9</f>
        <v>0</v>
      </c>
      <c r="BV9" s="137">
        <f t="shared" ref="BV9:BV10" si="35">BU9</f>
        <v>0</v>
      </c>
      <c r="BW9" s="139">
        <f t="shared" ref="BW9:BW10" si="36">BV9</f>
        <v>0</v>
      </c>
      <c r="BX9" s="578"/>
      <c r="BY9" s="138">
        <f t="shared" si="0"/>
        <v>3.988</v>
      </c>
      <c r="BZ9" s="137">
        <f t="shared" si="1"/>
        <v>5</v>
      </c>
      <c r="CA9" s="137">
        <f t="shared" si="2"/>
        <v>113.325</v>
      </c>
      <c r="CB9" s="137">
        <f t="shared" si="3"/>
        <v>28.15</v>
      </c>
      <c r="CC9" s="137">
        <f t="shared" si="4"/>
        <v>5.7</v>
      </c>
      <c r="CD9" s="137">
        <f t="shared" si="5"/>
        <v>0</v>
      </c>
      <c r="CE9" s="137">
        <f t="shared" si="6"/>
        <v>0</v>
      </c>
      <c r="CF9" s="137">
        <f t="shared" si="7"/>
        <v>0</v>
      </c>
      <c r="CG9" s="137">
        <f t="shared" si="8"/>
        <v>0</v>
      </c>
      <c r="CH9" s="137">
        <f t="shared" si="9"/>
        <v>0</v>
      </c>
      <c r="CI9" s="139">
        <f t="shared" si="10"/>
        <v>0</v>
      </c>
      <c r="CJ9" s="138">
        <f t="shared" si="11"/>
        <v>0</v>
      </c>
      <c r="CK9" s="137">
        <f t="shared" si="12"/>
        <v>0</v>
      </c>
      <c r="CL9" s="137">
        <f t="shared" si="13"/>
        <v>0</v>
      </c>
      <c r="CM9" s="137">
        <f t="shared" si="14"/>
        <v>0</v>
      </c>
      <c r="CN9" s="137">
        <f t="shared" si="15"/>
        <v>0</v>
      </c>
      <c r="CO9" s="137">
        <f t="shared" si="16"/>
        <v>0</v>
      </c>
      <c r="CP9" s="139">
        <f t="shared" ref="CP9:CP13" si="37">BW9</f>
        <v>0</v>
      </c>
      <c r="CQ9" s="949"/>
      <c r="CR9" s="138">
        <f t="shared" si="17"/>
        <v>114.97</v>
      </c>
      <c r="CS9" s="137">
        <f t="shared" si="18"/>
        <v>63.1</v>
      </c>
      <c r="CT9" s="137">
        <f t="shared" si="19"/>
        <v>2.464</v>
      </c>
      <c r="CU9" s="137">
        <f t="shared" si="20"/>
        <v>0</v>
      </c>
      <c r="CV9" s="137">
        <f t="shared" si="21"/>
        <v>0</v>
      </c>
      <c r="CW9" s="137">
        <f t="shared" si="22"/>
        <v>0</v>
      </c>
      <c r="CX9" s="137">
        <f t="shared" si="23"/>
        <v>0</v>
      </c>
      <c r="CY9" s="137">
        <f t="shared" si="24"/>
        <v>0</v>
      </c>
      <c r="CZ9" s="137">
        <f t="shared" si="25"/>
        <v>0</v>
      </c>
      <c r="DA9" s="138">
        <f t="shared" si="26"/>
        <v>0</v>
      </c>
      <c r="DB9" s="137">
        <f t="shared" si="27"/>
        <v>0</v>
      </c>
      <c r="DC9" s="137">
        <f t="shared" si="28"/>
        <v>0</v>
      </c>
      <c r="DD9" s="137">
        <f t="shared" si="29"/>
        <v>0</v>
      </c>
      <c r="DE9" s="137">
        <f t="shared" si="30"/>
        <v>0</v>
      </c>
      <c r="DF9" s="139">
        <f t="shared" ref="DF9:DF13" si="38">BT9</f>
        <v>0</v>
      </c>
      <c r="DG9" s="100"/>
      <c r="DH9" s="100"/>
      <c r="DI9" s="100"/>
      <c r="DJ9" s="100"/>
      <c r="DK9"/>
      <c r="DL9"/>
      <c r="DM9"/>
      <c r="DN9"/>
      <c r="DO9"/>
      <c r="DP9"/>
      <c r="DQ9" s="101"/>
      <c r="DR9" s="101"/>
    </row>
    <row r="10" spans="1:122" s="229" customFormat="1" ht="14.25">
      <c r="A10" s="125"/>
      <c r="B10" s="25" t="s">
        <v>169</v>
      </c>
      <c r="C10" s="26"/>
      <c r="D10" s="135">
        <v>0</v>
      </c>
      <c r="E10" s="135">
        <v>0</v>
      </c>
      <c r="F10" s="135">
        <v>0</v>
      </c>
      <c r="G10" s="151">
        <v>5.3120000000000003</v>
      </c>
      <c r="H10" s="155">
        <v>5.3120000000000003</v>
      </c>
      <c r="I10" s="151">
        <v>5.3120000000000003</v>
      </c>
      <c r="J10" s="151">
        <v>6.0129999999999999</v>
      </c>
      <c r="K10" s="136">
        <v>6.0129999999999999</v>
      </c>
      <c r="L10" s="135">
        <v>6.0129999999999999</v>
      </c>
      <c r="M10" s="135">
        <v>6.0129999999999999</v>
      </c>
      <c r="N10" s="135">
        <v>6.0129999999999999</v>
      </c>
      <c r="O10" s="151">
        <v>6.0129999999999999</v>
      </c>
      <c r="P10" s="155">
        <v>6.0129999999999999</v>
      </c>
      <c r="Q10" s="151">
        <v>6.0129999999999999</v>
      </c>
      <c r="R10" s="151">
        <v>6.2629999999999999</v>
      </c>
      <c r="S10" s="136">
        <v>6.3019999999999996</v>
      </c>
      <c r="T10" s="135">
        <v>6.3019999999999996</v>
      </c>
      <c r="U10" s="135">
        <v>6.3019999999999996</v>
      </c>
      <c r="V10" s="135">
        <v>6.5019999999999998</v>
      </c>
      <c r="W10" s="136">
        <v>6.5019999999999998</v>
      </c>
      <c r="X10" s="135">
        <v>6.3019999999999996</v>
      </c>
      <c r="Y10" s="135">
        <v>6.3019999999999996</v>
      </c>
      <c r="Z10" s="135">
        <v>5.9619999999999997</v>
      </c>
      <c r="AA10" s="136">
        <v>5.9619999999999997</v>
      </c>
      <c r="AB10" s="135">
        <v>5.9619999999999997</v>
      </c>
      <c r="AC10" s="135">
        <v>5.9619999999999997</v>
      </c>
      <c r="AD10" s="135">
        <v>5.8620000000000001</v>
      </c>
      <c r="AE10" s="136">
        <v>5.8630000000000004</v>
      </c>
      <c r="AF10" s="135">
        <v>6.1269999999999998</v>
      </c>
      <c r="AG10" s="135">
        <v>6.1269999999999998</v>
      </c>
      <c r="AH10" s="135">
        <v>6.1269999999999998</v>
      </c>
      <c r="AI10" s="136">
        <v>6.1280000000000001</v>
      </c>
      <c r="AJ10" s="135">
        <v>0.66200000000000003</v>
      </c>
      <c r="AK10" s="151">
        <v>0.66200000000000003</v>
      </c>
      <c r="AL10" s="135">
        <v>0.71199999999999997</v>
      </c>
      <c r="AM10" s="136">
        <v>0.71199999999999997</v>
      </c>
      <c r="AN10" s="135">
        <v>0.86199999999999999</v>
      </c>
      <c r="AO10" s="151">
        <v>0.86199999999999999</v>
      </c>
      <c r="AP10" s="135">
        <v>0.81699999999999995</v>
      </c>
      <c r="AQ10" s="136">
        <v>0.81699999999999995</v>
      </c>
      <c r="AR10" s="135">
        <v>0.81699999999999995</v>
      </c>
      <c r="AS10" s="151">
        <v>0</v>
      </c>
      <c r="AT10" s="151">
        <v>0</v>
      </c>
      <c r="AU10" s="136">
        <v>0</v>
      </c>
      <c r="AV10" s="135">
        <v>0</v>
      </c>
      <c r="AW10" s="151">
        <v>0</v>
      </c>
      <c r="AX10" s="151">
        <v>0</v>
      </c>
      <c r="AY10" s="136">
        <v>0</v>
      </c>
      <c r="AZ10" s="135">
        <v>0</v>
      </c>
      <c r="BA10" s="151">
        <v>0</v>
      </c>
      <c r="BB10" s="151">
        <v>0</v>
      </c>
      <c r="BC10" s="151">
        <v>0</v>
      </c>
      <c r="BD10" s="155">
        <v>0</v>
      </c>
      <c r="BE10" s="151">
        <v>0</v>
      </c>
      <c r="BF10" s="151">
        <v>0</v>
      </c>
      <c r="BG10" s="151">
        <v>0</v>
      </c>
      <c r="BH10" s="155">
        <v>0</v>
      </c>
      <c r="BI10" s="151">
        <v>0</v>
      </c>
      <c r="BJ10" s="151">
        <v>0</v>
      </c>
      <c r="BK10" s="151">
        <v>0</v>
      </c>
      <c r="BL10" s="155">
        <v>0</v>
      </c>
      <c r="BM10" s="137">
        <f t="shared" si="31"/>
        <v>0</v>
      </c>
      <c r="BN10" s="137">
        <f t="shared" si="31"/>
        <v>0</v>
      </c>
      <c r="BO10" s="139">
        <f t="shared" si="31"/>
        <v>0</v>
      </c>
      <c r="BP10" s="138">
        <f t="shared" si="32"/>
        <v>0</v>
      </c>
      <c r="BQ10" s="137">
        <f t="shared" si="32"/>
        <v>0</v>
      </c>
      <c r="BR10" s="137">
        <f t="shared" si="32"/>
        <v>0</v>
      </c>
      <c r="BS10" s="139">
        <f t="shared" si="32"/>
        <v>0</v>
      </c>
      <c r="BT10" s="138">
        <f t="shared" si="33"/>
        <v>0</v>
      </c>
      <c r="BU10" s="137">
        <f t="shared" si="34"/>
        <v>0</v>
      </c>
      <c r="BV10" s="137">
        <f t="shared" si="35"/>
        <v>0</v>
      </c>
      <c r="BW10" s="139">
        <f t="shared" si="36"/>
        <v>0</v>
      </c>
      <c r="BX10" s="578"/>
      <c r="BY10" s="138">
        <f t="shared" si="0"/>
        <v>5.3120000000000003</v>
      </c>
      <c r="BZ10" s="137">
        <f t="shared" si="1"/>
        <v>6.0129999999999999</v>
      </c>
      <c r="CA10" s="137">
        <f t="shared" si="2"/>
        <v>6.0129999999999999</v>
      </c>
      <c r="CB10" s="137">
        <f t="shared" si="3"/>
        <v>6.3019999999999996</v>
      </c>
      <c r="CC10" s="137">
        <f t="shared" si="4"/>
        <v>6.5019999999999998</v>
      </c>
      <c r="CD10" s="137">
        <f t="shared" si="5"/>
        <v>5.9619999999999997</v>
      </c>
      <c r="CE10" s="137">
        <f t="shared" si="6"/>
        <v>5.8630000000000004</v>
      </c>
      <c r="CF10" s="137">
        <f t="shared" si="7"/>
        <v>6.1280000000000001</v>
      </c>
      <c r="CG10" s="137">
        <f t="shared" si="8"/>
        <v>0.71199999999999997</v>
      </c>
      <c r="CH10" s="137">
        <f t="shared" si="9"/>
        <v>0.81699999999999995</v>
      </c>
      <c r="CI10" s="139">
        <f t="shared" si="10"/>
        <v>0</v>
      </c>
      <c r="CJ10" s="138">
        <f t="shared" si="11"/>
        <v>0</v>
      </c>
      <c r="CK10" s="137">
        <f t="shared" si="12"/>
        <v>0</v>
      </c>
      <c r="CL10" s="137">
        <f t="shared" si="13"/>
        <v>0</v>
      </c>
      <c r="CM10" s="137">
        <f t="shared" si="14"/>
        <v>0</v>
      </c>
      <c r="CN10" s="137">
        <f t="shared" si="15"/>
        <v>0</v>
      </c>
      <c r="CO10" s="137">
        <f t="shared" si="16"/>
        <v>0</v>
      </c>
      <c r="CP10" s="139">
        <f t="shared" si="37"/>
        <v>0</v>
      </c>
      <c r="CQ10" s="949"/>
      <c r="CR10" s="138">
        <f t="shared" si="17"/>
        <v>6.0129999999999999</v>
      </c>
      <c r="CS10" s="137">
        <f t="shared" si="18"/>
        <v>6.3019999999999996</v>
      </c>
      <c r="CT10" s="137">
        <f t="shared" si="19"/>
        <v>6.3019999999999996</v>
      </c>
      <c r="CU10" s="137">
        <f t="shared" si="20"/>
        <v>5.9619999999999997</v>
      </c>
      <c r="CV10" s="137">
        <f t="shared" si="21"/>
        <v>6.1269999999999998</v>
      </c>
      <c r="CW10" s="137">
        <f t="shared" si="22"/>
        <v>0.66200000000000003</v>
      </c>
      <c r="CX10" s="137">
        <f t="shared" si="23"/>
        <v>0.86199999999999999</v>
      </c>
      <c r="CY10" s="137">
        <f t="shared" si="24"/>
        <v>0.81699999999999995</v>
      </c>
      <c r="CZ10" s="137">
        <f t="shared" si="25"/>
        <v>0</v>
      </c>
      <c r="DA10" s="138">
        <f t="shared" si="26"/>
        <v>0</v>
      </c>
      <c r="DB10" s="137">
        <f t="shared" si="27"/>
        <v>0</v>
      </c>
      <c r="DC10" s="137">
        <f t="shared" si="28"/>
        <v>0</v>
      </c>
      <c r="DD10" s="137">
        <f t="shared" si="29"/>
        <v>0</v>
      </c>
      <c r="DE10" s="137">
        <f t="shared" si="30"/>
        <v>0</v>
      </c>
      <c r="DF10" s="139">
        <f t="shared" si="38"/>
        <v>0</v>
      </c>
      <c r="DG10" s="100"/>
      <c r="DH10" s="100"/>
      <c r="DI10" s="100"/>
      <c r="DJ10" s="100"/>
      <c r="DK10"/>
      <c r="DL10"/>
      <c r="DM10"/>
      <c r="DN10"/>
      <c r="DO10"/>
      <c r="DP10"/>
      <c r="DQ10" s="101"/>
      <c r="DR10" s="101"/>
    </row>
    <row r="11" spans="1:122" s="229" customFormat="1" ht="14.25">
      <c r="A11" s="125"/>
      <c r="B11" s="25" t="s">
        <v>119</v>
      </c>
      <c r="C11" s="26"/>
      <c r="D11" s="135">
        <v>109.907</v>
      </c>
      <c r="E11" s="135">
        <v>122.127</v>
      </c>
      <c r="F11" s="135">
        <v>135.941</v>
      </c>
      <c r="G11" s="151">
        <v>144.267</v>
      </c>
      <c r="H11" s="155">
        <v>150.84200000000001</v>
      </c>
      <c r="I11" s="151">
        <v>142.708</v>
      </c>
      <c r="J11" s="151">
        <v>156.53</v>
      </c>
      <c r="K11" s="136">
        <v>157.77199999999999</v>
      </c>
      <c r="L11" s="135">
        <v>170.86</v>
      </c>
      <c r="M11" s="135">
        <v>166.358</v>
      </c>
      <c r="N11" s="135">
        <v>162.006</v>
      </c>
      <c r="O11" s="151">
        <v>171.45400000000001</v>
      </c>
      <c r="P11" s="155">
        <v>171.065</v>
      </c>
      <c r="Q11" s="151">
        <v>172.792</v>
      </c>
      <c r="R11" s="151">
        <v>204.25700000000001</v>
      </c>
      <c r="S11" s="136">
        <v>158.798</v>
      </c>
      <c r="T11" s="135">
        <v>163.262</v>
      </c>
      <c r="U11" s="135">
        <v>161.19200000000001</v>
      </c>
      <c r="V11" s="135">
        <v>164.34299999999999</v>
      </c>
      <c r="W11" s="136">
        <v>167.31899999999999</v>
      </c>
      <c r="X11" s="135">
        <v>166.64699999999999</v>
      </c>
      <c r="Y11" s="135">
        <v>164.60400000000001</v>
      </c>
      <c r="Z11" s="135">
        <v>169.28899999999999</v>
      </c>
      <c r="AA11" s="136">
        <v>146.71</v>
      </c>
      <c r="AB11" s="135">
        <v>108.871</v>
      </c>
      <c r="AC11" s="135">
        <v>112.13</v>
      </c>
      <c r="AD11" s="135">
        <v>112.462</v>
      </c>
      <c r="AE11" s="136">
        <v>115.03400000000001</v>
      </c>
      <c r="AF11" s="135">
        <v>119.22</v>
      </c>
      <c r="AG11" s="135">
        <v>107.669</v>
      </c>
      <c r="AH11" s="135">
        <v>154.78299999999999</v>
      </c>
      <c r="AI11" s="151">
        <v>175.232</v>
      </c>
      <c r="AJ11" s="155">
        <v>200.905</v>
      </c>
      <c r="AK11" s="151">
        <v>183.352</v>
      </c>
      <c r="AL11" s="135">
        <v>186.12899999999999</v>
      </c>
      <c r="AM11" s="151">
        <v>177.94</v>
      </c>
      <c r="AN11" s="155">
        <v>199.01</v>
      </c>
      <c r="AO11" s="151">
        <v>211.488</v>
      </c>
      <c r="AP11" s="135">
        <v>246.89400000000001</v>
      </c>
      <c r="AQ11" s="151">
        <v>297.589</v>
      </c>
      <c r="AR11" s="155">
        <v>252.149</v>
      </c>
      <c r="AS11" s="151">
        <v>234.6</v>
      </c>
      <c r="AT11" s="151">
        <v>283.89999999999998</v>
      </c>
      <c r="AU11" s="151">
        <v>292.7</v>
      </c>
      <c r="AV11" s="155">
        <v>267.10000000000002</v>
      </c>
      <c r="AW11" s="151">
        <v>216.3</v>
      </c>
      <c r="AX11" s="151">
        <v>251.4</v>
      </c>
      <c r="AY11" s="151">
        <v>317.60000000000002</v>
      </c>
      <c r="AZ11" s="155">
        <v>242.3</v>
      </c>
      <c r="BA11" s="151">
        <v>277.10000000000002</v>
      </c>
      <c r="BB11" s="151">
        <v>381.7</v>
      </c>
      <c r="BC11" s="151">
        <v>538</v>
      </c>
      <c r="BD11" s="155">
        <v>527.6</v>
      </c>
      <c r="BE11" s="151">
        <v>538.5</v>
      </c>
      <c r="BF11" s="151">
        <v>570</v>
      </c>
      <c r="BG11" s="151">
        <v>416.6</v>
      </c>
      <c r="BH11" s="155">
        <v>368.4</v>
      </c>
      <c r="BI11" s="151">
        <v>368.8</v>
      </c>
      <c r="BJ11" s="151">
        <v>397.4</v>
      </c>
      <c r="BK11" s="151">
        <v>454.7</v>
      </c>
      <c r="BL11" s="155">
        <v>458.8</v>
      </c>
      <c r="BM11" s="137">
        <f t="shared" ref="BM11:BS11" si="39">BM49/360*BM41*4</f>
        <v>401.20634777777781</v>
      </c>
      <c r="BN11" s="137">
        <f t="shared" si="39"/>
        <v>385.83066703888898</v>
      </c>
      <c r="BO11" s="139">
        <f t="shared" si="39"/>
        <v>458.5018856494446</v>
      </c>
      <c r="BP11" s="138">
        <f t="shared" si="39"/>
        <v>453.5138953262919</v>
      </c>
      <c r="BQ11" s="137">
        <f t="shared" si="39"/>
        <v>412.94139343987649</v>
      </c>
      <c r="BR11" s="137">
        <f t="shared" si="39"/>
        <v>413.06394259082003</v>
      </c>
      <c r="BS11" s="139">
        <f t="shared" si="39"/>
        <v>444.30703185088402</v>
      </c>
      <c r="BT11" s="138">
        <f t="shared" ref="BT11:BW11" si="40">BT49/360*BT41*4</f>
        <v>438.68306013782649</v>
      </c>
      <c r="BU11" s="137">
        <f t="shared" si="40"/>
        <v>414.85384737569518</v>
      </c>
      <c r="BV11" s="137">
        <f t="shared" si="40"/>
        <v>420.25242049302005</v>
      </c>
      <c r="BW11" s="139">
        <f t="shared" si="40"/>
        <v>454.44452993171234</v>
      </c>
      <c r="BX11" s="578"/>
      <c r="BY11" s="138">
        <f t="shared" si="0"/>
        <v>144.267</v>
      </c>
      <c r="BZ11" s="137">
        <f t="shared" si="1"/>
        <v>157.77199999999999</v>
      </c>
      <c r="CA11" s="137">
        <f t="shared" si="2"/>
        <v>171.45400000000001</v>
      </c>
      <c r="CB11" s="137">
        <f t="shared" si="3"/>
        <v>158.798</v>
      </c>
      <c r="CC11" s="137">
        <f t="shared" si="4"/>
        <v>167.31899999999999</v>
      </c>
      <c r="CD11" s="137">
        <f t="shared" si="5"/>
        <v>146.71</v>
      </c>
      <c r="CE11" s="137">
        <f t="shared" si="6"/>
        <v>115.03400000000001</v>
      </c>
      <c r="CF11" s="137">
        <f t="shared" si="7"/>
        <v>175.232</v>
      </c>
      <c r="CG11" s="137">
        <f t="shared" si="8"/>
        <v>177.94</v>
      </c>
      <c r="CH11" s="137">
        <f t="shared" si="9"/>
        <v>297.589</v>
      </c>
      <c r="CI11" s="139">
        <f t="shared" si="10"/>
        <v>292.7</v>
      </c>
      <c r="CJ11" s="138">
        <f t="shared" si="11"/>
        <v>317.60000000000002</v>
      </c>
      <c r="CK11" s="137">
        <f t="shared" si="12"/>
        <v>538</v>
      </c>
      <c r="CL11" s="137">
        <f t="shared" si="13"/>
        <v>416.6</v>
      </c>
      <c r="CM11" s="137">
        <f t="shared" si="14"/>
        <v>454.7</v>
      </c>
      <c r="CN11" s="137">
        <f t="shared" si="15"/>
        <v>458.5018856494446</v>
      </c>
      <c r="CO11" s="137">
        <f t="shared" si="16"/>
        <v>444.30703185088402</v>
      </c>
      <c r="CP11" s="139">
        <f t="shared" si="37"/>
        <v>454.44452993171234</v>
      </c>
      <c r="CQ11" s="950"/>
      <c r="CR11" s="138">
        <f t="shared" si="17"/>
        <v>171.065</v>
      </c>
      <c r="CS11" s="137">
        <f t="shared" si="18"/>
        <v>163.262</v>
      </c>
      <c r="CT11" s="137">
        <f t="shared" si="19"/>
        <v>166.64699999999999</v>
      </c>
      <c r="CU11" s="137">
        <f t="shared" si="20"/>
        <v>108.871</v>
      </c>
      <c r="CV11" s="137">
        <f t="shared" si="21"/>
        <v>119.22</v>
      </c>
      <c r="CW11" s="137">
        <f t="shared" si="22"/>
        <v>200.905</v>
      </c>
      <c r="CX11" s="137">
        <f t="shared" si="23"/>
        <v>199.01</v>
      </c>
      <c r="CY11" s="137">
        <f t="shared" si="24"/>
        <v>252.149</v>
      </c>
      <c r="CZ11" s="137">
        <f t="shared" si="25"/>
        <v>267.10000000000002</v>
      </c>
      <c r="DA11" s="138">
        <f t="shared" si="26"/>
        <v>242.3</v>
      </c>
      <c r="DB11" s="137">
        <f t="shared" si="27"/>
        <v>527.6</v>
      </c>
      <c r="DC11" s="137">
        <f t="shared" si="28"/>
        <v>368.4</v>
      </c>
      <c r="DD11" s="137">
        <f t="shared" si="29"/>
        <v>458.8</v>
      </c>
      <c r="DE11" s="137">
        <f t="shared" si="30"/>
        <v>453.5138953262919</v>
      </c>
      <c r="DF11" s="139">
        <f t="shared" si="38"/>
        <v>438.68306013782649</v>
      </c>
      <c r="DG11" s="100"/>
      <c r="DH11" s="100"/>
      <c r="DI11" s="100"/>
      <c r="DJ11" s="100"/>
      <c r="DK11"/>
      <c r="DL11"/>
      <c r="DM11"/>
      <c r="DN11"/>
      <c r="DO11"/>
      <c r="DP11"/>
      <c r="DQ11" s="101"/>
      <c r="DR11" s="101"/>
    </row>
    <row r="12" spans="1:122" s="229" customFormat="1" ht="14.25">
      <c r="A12" s="125"/>
      <c r="B12" s="25" t="s">
        <v>120</v>
      </c>
      <c r="C12" s="26"/>
      <c r="D12" s="135">
        <v>48.262999999999998</v>
      </c>
      <c r="E12" s="135">
        <v>56.820999999999998</v>
      </c>
      <c r="F12" s="135">
        <v>62.548999999999999</v>
      </c>
      <c r="G12" s="151">
        <v>58.167999999999999</v>
      </c>
      <c r="H12" s="155">
        <v>61.844000000000001</v>
      </c>
      <c r="I12" s="151">
        <v>72.334000000000003</v>
      </c>
      <c r="J12" s="151">
        <v>86.965000000000003</v>
      </c>
      <c r="K12" s="136">
        <v>79.572000000000003</v>
      </c>
      <c r="L12" s="135">
        <v>79.274000000000001</v>
      </c>
      <c r="M12" s="135">
        <v>80.594999999999999</v>
      </c>
      <c r="N12" s="135">
        <v>81.188000000000002</v>
      </c>
      <c r="O12" s="151">
        <v>77.400000000000006</v>
      </c>
      <c r="P12" s="155">
        <v>79.031000000000006</v>
      </c>
      <c r="Q12" s="151">
        <v>92.84</v>
      </c>
      <c r="R12" s="151">
        <v>101.962</v>
      </c>
      <c r="S12" s="136">
        <v>81.528999999999996</v>
      </c>
      <c r="T12" s="135">
        <v>71.379000000000005</v>
      </c>
      <c r="U12" s="135">
        <v>76.186000000000007</v>
      </c>
      <c r="V12" s="135">
        <v>83.783000000000001</v>
      </c>
      <c r="W12" s="136">
        <v>82.108999999999995</v>
      </c>
      <c r="X12" s="135">
        <v>85.912000000000006</v>
      </c>
      <c r="Y12" s="135">
        <v>94.272000000000006</v>
      </c>
      <c r="Z12" s="135">
        <v>96.119</v>
      </c>
      <c r="AA12" s="136">
        <v>103.791</v>
      </c>
      <c r="AB12" s="135">
        <v>98.551000000000002</v>
      </c>
      <c r="AC12" s="135">
        <v>91.753</v>
      </c>
      <c r="AD12" s="135">
        <v>89.241</v>
      </c>
      <c r="AE12" s="136">
        <v>86.096999999999994</v>
      </c>
      <c r="AF12" s="135">
        <v>97.94</v>
      </c>
      <c r="AG12" s="135">
        <v>104.42100000000001</v>
      </c>
      <c r="AH12" s="135">
        <v>118.119</v>
      </c>
      <c r="AI12" s="151">
        <v>125.059</v>
      </c>
      <c r="AJ12" s="155">
        <v>142.46299999999999</v>
      </c>
      <c r="AK12" s="151">
        <v>151.179</v>
      </c>
      <c r="AL12" s="135">
        <v>188.79499999999999</v>
      </c>
      <c r="AM12" s="151">
        <v>198.18299999999999</v>
      </c>
      <c r="AN12" s="155">
        <v>177.52</v>
      </c>
      <c r="AO12" s="151">
        <v>196.55799999999999</v>
      </c>
      <c r="AP12" s="135">
        <v>209.947</v>
      </c>
      <c r="AQ12" s="151">
        <v>232.92</v>
      </c>
      <c r="AR12" s="155">
        <v>229.53399999999999</v>
      </c>
      <c r="AS12" s="151">
        <v>226.8</v>
      </c>
      <c r="AT12" s="151">
        <v>232.3</v>
      </c>
      <c r="AU12" s="151">
        <v>229.5</v>
      </c>
      <c r="AV12" s="155">
        <v>224.7</v>
      </c>
      <c r="AW12" s="151">
        <v>216.6</v>
      </c>
      <c r="AX12" s="151">
        <v>198.7</v>
      </c>
      <c r="AY12" s="151">
        <v>270.8</v>
      </c>
      <c r="AZ12" s="155">
        <v>273.8</v>
      </c>
      <c r="BA12" s="151">
        <v>276.2</v>
      </c>
      <c r="BB12" s="151">
        <v>272.7</v>
      </c>
      <c r="BC12" s="151">
        <v>267.89999999999998</v>
      </c>
      <c r="BD12" s="155">
        <v>276.39999999999998</v>
      </c>
      <c r="BE12" s="151">
        <v>333.7</v>
      </c>
      <c r="BF12" s="151">
        <v>437.6</v>
      </c>
      <c r="BG12" s="151">
        <v>424</v>
      </c>
      <c r="BH12" s="155">
        <v>422.8</v>
      </c>
      <c r="BI12" s="151">
        <v>444.5</v>
      </c>
      <c r="BJ12" s="151">
        <v>482.5</v>
      </c>
      <c r="BK12" s="151">
        <v>493.5</v>
      </c>
      <c r="BL12" s="155">
        <v>458.6</v>
      </c>
      <c r="BM12" s="137">
        <f t="shared" ref="BM12:BS12" si="41">BM43/365*BM50*4</f>
        <v>398.24805492850834</v>
      </c>
      <c r="BN12" s="137">
        <f t="shared" si="41"/>
        <v>381.9335983955217</v>
      </c>
      <c r="BO12" s="139">
        <f t="shared" si="41"/>
        <v>452.92160964459197</v>
      </c>
      <c r="BP12" s="138">
        <f t="shared" si="41"/>
        <v>471.2970974967468</v>
      </c>
      <c r="BQ12" s="137">
        <f t="shared" si="41"/>
        <v>430.51611824532671</v>
      </c>
      <c r="BR12" s="137">
        <f t="shared" si="41"/>
        <v>430.17895284855871</v>
      </c>
      <c r="BS12" s="139">
        <f t="shared" si="41"/>
        <v>461.34058024799202</v>
      </c>
      <c r="BT12" s="138">
        <f t="shared" ref="BT12:BW12" si="42">BT43/365*BT50*4</f>
        <v>480.93112002845396</v>
      </c>
      <c r="BU12" s="137">
        <f t="shared" si="42"/>
        <v>454.89257465372987</v>
      </c>
      <c r="BV12" s="137">
        <f t="shared" si="42"/>
        <v>460.33280393614922</v>
      </c>
      <c r="BW12" s="139">
        <f t="shared" si="42"/>
        <v>497.72807046026213</v>
      </c>
      <c r="BX12" s="578"/>
      <c r="BY12" s="138">
        <f t="shared" si="0"/>
        <v>58.167999999999999</v>
      </c>
      <c r="BZ12" s="137">
        <f t="shared" si="1"/>
        <v>79.572000000000003</v>
      </c>
      <c r="CA12" s="137">
        <f t="shared" si="2"/>
        <v>77.400000000000006</v>
      </c>
      <c r="CB12" s="137">
        <f t="shared" si="3"/>
        <v>81.528999999999996</v>
      </c>
      <c r="CC12" s="137">
        <f t="shared" si="4"/>
        <v>82.108999999999995</v>
      </c>
      <c r="CD12" s="137">
        <f t="shared" si="5"/>
        <v>103.791</v>
      </c>
      <c r="CE12" s="137">
        <f t="shared" si="6"/>
        <v>86.096999999999994</v>
      </c>
      <c r="CF12" s="137">
        <f t="shared" si="7"/>
        <v>125.059</v>
      </c>
      <c r="CG12" s="137">
        <f t="shared" si="8"/>
        <v>198.18299999999999</v>
      </c>
      <c r="CH12" s="137">
        <f t="shared" si="9"/>
        <v>232.92</v>
      </c>
      <c r="CI12" s="139">
        <f t="shared" si="10"/>
        <v>229.5</v>
      </c>
      <c r="CJ12" s="138">
        <f t="shared" si="11"/>
        <v>270.8</v>
      </c>
      <c r="CK12" s="137">
        <f t="shared" si="12"/>
        <v>267.89999999999998</v>
      </c>
      <c r="CL12" s="137">
        <f t="shared" si="13"/>
        <v>424</v>
      </c>
      <c r="CM12" s="137">
        <f t="shared" si="14"/>
        <v>493.5</v>
      </c>
      <c r="CN12" s="137">
        <f t="shared" si="15"/>
        <v>452.92160964459197</v>
      </c>
      <c r="CO12" s="137">
        <f t="shared" si="16"/>
        <v>461.34058024799202</v>
      </c>
      <c r="CP12" s="139">
        <f t="shared" si="37"/>
        <v>497.72807046026213</v>
      </c>
      <c r="CQ12" s="950"/>
      <c r="CR12" s="138">
        <f t="shared" si="17"/>
        <v>79.031000000000006</v>
      </c>
      <c r="CS12" s="137">
        <f t="shared" si="18"/>
        <v>71.379000000000005</v>
      </c>
      <c r="CT12" s="137">
        <f t="shared" si="19"/>
        <v>85.912000000000006</v>
      </c>
      <c r="CU12" s="137">
        <f t="shared" si="20"/>
        <v>98.551000000000002</v>
      </c>
      <c r="CV12" s="137">
        <f t="shared" si="21"/>
        <v>97.94</v>
      </c>
      <c r="CW12" s="137">
        <f t="shared" si="22"/>
        <v>142.46299999999999</v>
      </c>
      <c r="CX12" s="137">
        <f t="shared" si="23"/>
        <v>177.52</v>
      </c>
      <c r="CY12" s="137">
        <f t="shared" si="24"/>
        <v>229.53399999999999</v>
      </c>
      <c r="CZ12" s="137">
        <f t="shared" si="25"/>
        <v>224.7</v>
      </c>
      <c r="DA12" s="138">
        <f t="shared" si="26"/>
        <v>273.8</v>
      </c>
      <c r="DB12" s="137">
        <f t="shared" si="27"/>
        <v>276.39999999999998</v>
      </c>
      <c r="DC12" s="137">
        <f t="shared" si="28"/>
        <v>422.8</v>
      </c>
      <c r="DD12" s="137">
        <f t="shared" si="29"/>
        <v>458.6</v>
      </c>
      <c r="DE12" s="137">
        <f t="shared" si="30"/>
        <v>471.2970974967468</v>
      </c>
      <c r="DF12" s="139">
        <f t="shared" si="38"/>
        <v>480.93112002845396</v>
      </c>
      <c r="DG12" s="100"/>
      <c r="DH12" s="100"/>
      <c r="DI12" s="100"/>
      <c r="DJ12" s="100"/>
      <c r="DK12"/>
      <c r="DL12"/>
      <c r="DM12"/>
      <c r="DN12"/>
      <c r="DO12"/>
      <c r="DP12"/>
      <c r="DQ12" s="101"/>
      <c r="DR12" s="101"/>
    </row>
    <row r="13" spans="1:122" s="229" customFormat="1" ht="14.25">
      <c r="A13" s="125"/>
      <c r="B13" s="407" t="s">
        <v>122</v>
      </c>
      <c r="C13" s="408"/>
      <c r="D13" s="235">
        <v>15.464</v>
      </c>
      <c r="E13" s="233">
        <v>18.321999999999999</v>
      </c>
      <c r="F13" s="233">
        <v>11.898999999999999</v>
      </c>
      <c r="G13" s="233">
        <v>12.853999999999999</v>
      </c>
      <c r="H13" s="235">
        <v>12.587</v>
      </c>
      <c r="I13" s="233">
        <v>11.868</v>
      </c>
      <c r="J13" s="233">
        <v>10.14</v>
      </c>
      <c r="K13" s="237">
        <v>11.968</v>
      </c>
      <c r="L13" s="233">
        <v>10.875</v>
      </c>
      <c r="M13" s="233">
        <v>11.340999999999999</v>
      </c>
      <c r="N13" s="233">
        <v>8.8040000000000003</v>
      </c>
      <c r="O13" s="233">
        <v>11.268000000000001</v>
      </c>
      <c r="P13" s="235">
        <v>10.481999999999999</v>
      </c>
      <c r="Q13" s="233">
        <v>12.468999999999999</v>
      </c>
      <c r="R13" s="233">
        <v>9.9640000000000004</v>
      </c>
      <c r="S13" s="237">
        <v>9.3149999999999995</v>
      </c>
      <c r="T13" s="233">
        <v>8.11</v>
      </c>
      <c r="U13" s="233">
        <v>8.0039999999999996</v>
      </c>
      <c r="V13" s="233">
        <v>8.5</v>
      </c>
      <c r="W13" s="237">
        <v>10.510999999999999</v>
      </c>
      <c r="X13" s="235">
        <v>9.2989999999999995</v>
      </c>
      <c r="Y13" s="233">
        <v>8.9260000000000002</v>
      </c>
      <c r="Z13" s="233">
        <v>10.282</v>
      </c>
      <c r="AA13" s="237">
        <v>13.089</v>
      </c>
      <c r="AB13" s="235">
        <v>12.366</v>
      </c>
      <c r="AC13" s="233">
        <v>14.837999999999999</v>
      </c>
      <c r="AD13" s="233">
        <v>16.253</v>
      </c>
      <c r="AE13" s="237">
        <v>18.911999999999999</v>
      </c>
      <c r="AF13" s="235">
        <v>16.239000000000001</v>
      </c>
      <c r="AG13" s="233">
        <v>20.390999999999998</v>
      </c>
      <c r="AH13" s="233">
        <v>20.805</v>
      </c>
      <c r="AI13" s="233">
        <v>30.189</v>
      </c>
      <c r="AJ13" s="235">
        <v>26.518999999999998</v>
      </c>
      <c r="AK13" s="233">
        <v>33.450000000000003</v>
      </c>
      <c r="AL13" s="233">
        <v>26.852</v>
      </c>
      <c r="AM13" s="233">
        <v>29.411999999999999</v>
      </c>
      <c r="AN13" s="235">
        <v>33.314</v>
      </c>
      <c r="AO13" s="233">
        <v>36.950000000000003</v>
      </c>
      <c r="AP13" s="233">
        <v>44.734000000000002</v>
      </c>
      <c r="AQ13" s="233">
        <v>45.744</v>
      </c>
      <c r="AR13" s="235">
        <v>39.515000000000001</v>
      </c>
      <c r="AS13" s="233">
        <v>43.5</v>
      </c>
      <c r="AT13" s="233">
        <v>43.1</v>
      </c>
      <c r="AU13" s="233">
        <v>40</v>
      </c>
      <c r="AV13" s="235">
        <v>39.700000000000003</v>
      </c>
      <c r="AW13" s="233">
        <v>38.200000000000003</v>
      </c>
      <c r="AX13" s="233">
        <v>43.9</v>
      </c>
      <c r="AY13" s="233">
        <v>35</v>
      </c>
      <c r="AZ13" s="235">
        <v>24.4</v>
      </c>
      <c r="BA13" s="233">
        <v>71.400000000000006</v>
      </c>
      <c r="BB13" s="233">
        <v>57.7</v>
      </c>
      <c r="BC13" s="233">
        <v>65.2</v>
      </c>
      <c r="BD13" s="235">
        <v>77.5</v>
      </c>
      <c r="BE13" s="233">
        <v>77.3</v>
      </c>
      <c r="BF13" s="233">
        <v>96.8</v>
      </c>
      <c r="BG13" s="233">
        <v>77.7</v>
      </c>
      <c r="BH13" s="235">
        <v>56.8</v>
      </c>
      <c r="BI13" s="233">
        <v>87.9</v>
      </c>
      <c r="BJ13" s="233">
        <v>88.1</v>
      </c>
      <c r="BK13" s="233">
        <v>68.7</v>
      </c>
      <c r="BL13" s="235">
        <v>87.7</v>
      </c>
      <c r="BM13" s="141">
        <f t="shared" ref="BM13:BS13" si="43">BM46*BM51</f>
        <v>84.855389763521273</v>
      </c>
      <c r="BN13" s="141">
        <f t="shared" si="43"/>
        <v>84.515486429549242</v>
      </c>
      <c r="BO13" s="140">
        <f t="shared" si="43"/>
        <v>90.089470196905637</v>
      </c>
      <c r="BP13" s="156">
        <f t="shared" si="43"/>
        <v>90.785531456595081</v>
      </c>
      <c r="BQ13" s="141">
        <f t="shared" si="43"/>
        <v>88.217637531065293</v>
      </c>
      <c r="BR13" s="141">
        <f t="shared" si="43"/>
        <v>88.119182283339285</v>
      </c>
      <c r="BS13" s="140">
        <f t="shared" si="43"/>
        <v>90.08384111245428</v>
      </c>
      <c r="BT13" s="156">
        <f t="shared" ref="BT13:BW13" si="44">BT46*BT51</f>
        <v>90.563719638640563</v>
      </c>
      <c r="BU13" s="141">
        <f t="shared" si="44"/>
        <v>88.830303869635657</v>
      </c>
      <c r="BV13" s="141">
        <f t="shared" si="44"/>
        <v>88.954132789730778</v>
      </c>
      <c r="BW13" s="140">
        <f t="shared" si="44"/>
        <v>91.104415111465755</v>
      </c>
      <c r="BX13" s="578"/>
      <c r="BY13" s="138">
        <f t="shared" si="0"/>
        <v>12.853999999999999</v>
      </c>
      <c r="BZ13" s="137">
        <f t="shared" si="1"/>
        <v>11.968</v>
      </c>
      <c r="CA13" s="137">
        <f t="shared" si="2"/>
        <v>11.268000000000001</v>
      </c>
      <c r="CB13" s="137">
        <f t="shared" si="3"/>
        <v>9.3149999999999995</v>
      </c>
      <c r="CC13" s="137">
        <f t="shared" si="4"/>
        <v>10.510999999999999</v>
      </c>
      <c r="CD13" s="137">
        <f t="shared" si="5"/>
        <v>13.089</v>
      </c>
      <c r="CE13" s="137">
        <f t="shared" si="6"/>
        <v>18.911999999999999</v>
      </c>
      <c r="CF13" s="137">
        <f t="shared" si="7"/>
        <v>30.189</v>
      </c>
      <c r="CG13" s="137">
        <f t="shared" si="8"/>
        <v>29.411999999999999</v>
      </c>
      <c r="CH13" s="137">
        <f t="shared" si="9"/>
        <v>45.744</v>
      </c>
      <c r="CI13" s="139">
        <f t="shared" si="10"/>
        <v>40</v>
      </c>
      <c r="CJ13" s="138">
        <f t="shared" si="11"/>
        <v>35</v>
      </c>
      <c r="CK13" s="137">
        <f t="shared" si="12"/>
        <v>65.2</v>
      </c>
      <c r="CL13" s="137">
        <f t="shared" si="13"/>
        <v>77.7</v>
      </c>
      <c r="CM13" s="137">
        <f t="shared" si="14"/>
        <v>68.7</v>
      </c>
      <c r="CN13" s="137">
        <f t="shared" si="15"/>
        <v>90.089470196905637</v>
      </c>
      <c r="CO13" s="137">
        <f t="shared" si="16"/>
        <v>90.08384111245428</v>
      </c>
      <c r="CP13" s="139">
        <f t="shared" si="37"/>
        <v>91.104415111465755</v>
      </c>
      <c r="CQ13" s="949"/>
      <c r="CR13" s="156">
        <f t="shared" si="17"/>
        <v>10.481999999999999</v>
      </c>
      <c r="CS13" s="141">
        <f t="shared" si="18"/>
        <v>8.11</v>
      </c>
      <c r="CT13" s="141">
        <f t="shared" si="19"/>
        <v>9.2989999999999995</v>
      </c>
      <c r="CU13" s="141">
        <f t="shared" si="20"/>
        <v>12.366</v>
      </c>
      <c r="CV13" s="141">
        <f t="shared" si="21"/>
        <v>16.239000000000001</v>
      </c>
      <c r="CW13" s="141">
        <f t="shared" si="22"/>
        <v>26.518999999999998</v>
      </c>
      <c r="CX13" s="141">
        <f t="shared" si="23"/>
        <v>33.314</v>
      </c>
      <c r="CY13" s="141">
        <f t="shared" si="24"/>
        <v>39.515000000000001</v>
      </c>
      <c r="CZ13" s="141">
        <f t="shared" si="25"/>
        <v>39.700000000000003</v>
      </c>
      <c r="DA13" s="156">
        <f t="shared" si="26"/>
        <v>24.4</v>
      </c>
      <c r="DB13" s="141">
        <f t="shared" si="27"/>
        <v>77.5</v>
      </c>
      <c r="DC13" s="141">
        <f t="shared" si="28"/>
        <v>56.8</v>
      </c>
      <c r="DD13" s="141">
        <f t="shared" si="29"/>
        <v>87.7</v>
      </c>
      <c r="DE13" s="141">
        <f t="shared" si="30"/>
        <v>90.785531456595081</v>
      </c>
      <c r="DF13" s="140">
        <f t="shared" si="38"/>
        <v>90.563719638640563</v>
      </c>
      <c r="DG13" s="100"/>
      <c r="DH13" s="100"/>
      <c r="DI13" s="100"/>
      <c r="DJ13" s="100"/>
      <c r="DK13"/>
      <c r="DL13"/>
      <c r="DM13"/>
      <c r="DN13"/>
      <c r="DO13"/>
      <c r="DP13"/>
      <c r="DQ13" s="101"/>
      <c r="DR13" s="101"/>
    </row>
    <row r="14" spans="1:122" s="229" customFormat="1" ht="15" customHeight="1">
      <c r="A14" s="125"/>
      <c r="B14" s="142" t="s">
        <v>123</v>
      </c>
      <c r="C14" s="143"/>
      <c r="D14" s="147">
        <f t="shared" ref="D14:O14" si="45">SUM(D8:D13)</f>
        <v>267.89700000000005</v>
      </c>
      <c r="E14" s="147">
        <f t="shared" si="45"/>
        <v>281.59699999999998</v>
      </c>
      <c r="F14" s="147">
        <f t="shared" si="45"/>
        <v>275.61199999999997</v>
      </c>
      <c r="G14" s="147">
        <f t="shared" si="45"/>
        <v>386.09499999999997</v>
      </c>
      <c r="H14" s="161">
        <f t="shared" si="45"/>
        <v>406.83600000000001</v>
      </c>
      <c r="I14" s="147">
        <f t="shared" si="45"/>
        <v>423.995</v>
      </c>
      <c r="J14" s="147">
        <f t="shared" si="45"/>
        <v>455.83500000000004</v>
      </c>
      <c r="K14" s="148">
        <f t="shared" si="45"/>
        <v>463.86399999999998</v>
      </c>
      <c r="L14" s="147">
        <f t="shared" si="45"/>
        <v>476.70400000000006</v>
      </c>
      <c r="M14" s="147">
        <f t="shared" si="45"/>
        <v>477.64700000000005</v>
      </c>
      <c r="N14" s="147">
        <f t="shared" si="45"/>
        <v>487.47699999999998</v>
      </c>
      <c r="O14" s="147">
        <f t="shared" si="45"/>
        <v>495.98200000000008</v>
      </c>
      <c r="P14" s="161">
        <f t="shared" ref="P14:W14" si="46">SUM(P8:P13)</f>
        <v>505.053</v>
      </c>
      <c r="Q14" s="147">
        <f t="shared" si="46"/>
        <v>461.12299999999999</v>
      </c>
      <c r="R14" s="147">
        <f t="shared" si="46"/>
        <v>470.69300000000004</v>
      </c>
      <c r="S14" s="148">
        <f t="shared" si="46"/>
        <v>420.84300000000002</v>
      </c>
      <c r="T14" s="147">
        <f t="shared" si="46"/>
        <v>426.08500000000004</v>
      </c>
      <c r="U14" s="147">
        <f t="shared" si="46"/>
        <v>468.18100000000004</v>
      </c>
      <c r="V14" s="147">
        <f t="shared" si="46"/>
        <v>491.22300000000001</v>
      </c>
      <c r="W14" s="147">
        <f t="shared" si="46"/>
        <v>513.71799999999996</v>
      </c>
      <c r="X14" s="147">
        <f t="shared" ref="X14:AW14" si="47">SUM(X8:X13)</f>
        <v>469.33799999999997</v>
      </c>
      <c r="Y14" s="147">
        <f t="shared" si="47"/>
        <v>496.26099999999997</v>
      </c>
      <c r="Z14" s="147">
        <f t="shared" si="47"/>
        <v>529.66700000000003</v>
      </c>
      <c r="AA14" s="147">
        <f t="shared" si="47"/>
        <v>494.65600000000001</v>
      </c>
      <c r="AB14" s="144">
        <f t="shared" si="47"/>
        <v>469.44499999999994</v>
      </c>
      <c r="AC14" s="147">
        <f t="shared" si="47"/>
        <v>486.63400000000001</v>
      </c>
      <c r="AD14" s="147">
        <f t="shared" si="47"/>
        <v>526.322</v>
      </c>
      <c r="AE14" s="146">
        <f t="shared" si="47"/>
        <v>590.12700000000007</v>
      </c>
      <c r="AF14" s="144">
        <f t="shared" si="47"/>
        <v>635.85300000000007</v>
      </c>
      <c r="AG14" s="147">
        <f t="shared" si="47"/>
        <v>644.01800000000003</v>
      </c>
      <c r="AH14" s="147">
        <f t="shared" si="47"/>
        <v>683.65800000000002</v>
      </c>
      <c r="AI14" s="147">
        <f t="shared" si="47"/>
        <v>789.8649999999999</v>
      </c>
      <c r="AJ14" s="144">
        <f t="shared" si="47"/>
        <v>820.60299999999995</v>
      </c>
      <c r="AK14" s="145">
        <f t="shared" si="47"/>
        <v>872.44399999999996</v>
      </c>
      <c r="AL14" s="147">
        <f t="shared" si="47"/>
        <v>712.13299999999992</v>
      </c>
      <c r="AM14" s="147">
        <f t="shared" si="47"/>
        <v>816.33400000000006</v>
      </c>
      <c r="AN14" s="144">
        <f t="shared" si="47"/>
        <v>856.34199999999998</v>
      </c>
      <c r="AO14" s="145">
        <f t="shared" si="47"/>
        <v>752.33200000000011</v>
      </c>
      <c r="AP14" s="147">
        <f t="shared" si="47"/>
        <v>829.49</v>
      </c>
      <c r="AQ14" s="147">
        <f t="shared" si="47"/>
        <v>883.36300000000006</v>
      </c>
      <c r="AR14" s="144">
        <f t="shared" si="47"/>
        <v>899.553</v>
      </c>
      <c r="AS14" s="145">
        <f t="shared" si="47"/>
        <v>963.7</v>
      </c>
      <c r="AT14" s="145">
        <f t="shared" si="47"/>
        <v>959.6</v>
      </c>
      <c r="AU14" s="147">
        <f t="shared" si="47"/>
        <v>1073.3</v>
      </c>
      <c r="AV14" s="144">
        <f t="shared" si="47"/>
        <v>1180.1000000000001</v>
      </c>
      <c r="AW14" s="145">
        <f t="shared" si="47"/>
        <v>1268.8999999999999</v>
      </c>
      <c r="AX14" s="145">
        <f t="shared" ref="AX14:BG14" si="48">SUM(AX8:AX13)</f>
        <v>1387.3000000000002</v>
      </c>
      <c r="AY14" s="147">
        <f t="shared" si="48"/>
        <v>1429.2</v>
      </c>
      <c r="AZ14" s="144">
        <f t="shared" si="48"/>
        <v>1590.4</v>
      </c>
      <c r="BA14" s="145">
        <f t="shared" si="48"/>
        <v>1678.9000000000003</v>
      </c>
      <c r="BB14" s="145">
        <f t="shared" si="48"/>
        <v>1818.1000000000001</v>
      </c>
      <c r="BC14" s="147">
        <f t="shared" si="48"/>
        <v>1914.7</v>
      </c>
      <c r="BD14" s="161">
        <f t="shared" si="48"/>
        <v>2114.7000000000003</v>
      </c>
      <c r="BE14" s="147">
        <f t="shared" si="48"/>
        <v>2127</v>
      </c>
      <c r="BF14" s="145">
        <f t="shared" si="48"/>
        <v>2078.1000000000004</v>
      </c>
      <c r="BG14" s="147">
        <f t="shared" si="48"/>
        <v>2002.1000000000001</v>
      </c>
      <c r="BH14" s="161">
        <f t="shared" ref="BH14:BS14" si="49">SUM(BH8:BH13)</f>
        <v>2198.5000000000005</v>
      </c>
      <c r="BI14" s="147">
        <f t="shared" si="49"/>
        <v>2308.1</v>
      </c>
      <c r="BJ14" s="145">
        <f t="shared" si="49"/>
        <v>2412</v>
      </c>
      <c r="BK14" s="147">
        <f t="shared" si="49"/>
        <v>2633.7</v>
      </c>
      <c r="BL14" s="161">
        <f t="shared" ref="BL14" si="50">SUM(BL8:BL13)</f>
        <v>2686.6</v>
      </c>
      <c r="BM14" s="145">
        <f t="shared" si="49"/>
        <v>2812.5865351566304</v>
      </c>
      <c r="BN14" s="145">
        <f t="shared" si="49"/>
        <v>2947.1622266194031</v>
      </c>
      <c r="BO14" s="146">
        <f t="shared" si="49"/>
        <v>3164.5899730431097</v>
      </c>
      <c r="BP14" s="144">
        <f t="shared" si="49"/>
        <v>3445.5302312226768</v>
      </c>
      <c r="BQ14" s="145">
        <f t="shared" si="49"/>
        <v>3638.7899125466101</v>
      </c>
      <c r="BR14" s="145">
        <f t="shared" si="49"/>
        <v>3852.2813125115294</v>
      </c>
      <c r="BS14" s="146">
        <f t="shared" si="49"/>
        <v>4104.171115072877</v>
      </c>
      <c r="BT14" s="144">
        <f t="shared" ref="BT14:BW14" si="51">SUM(BT8:BT13)</f>
        <v>4367.6642953618266</v>
      </c>
      <c r="BU14" s="145">
        <f t="shared" si="51"/>
        <v>4595.5590316241432</v>
      </c>
      <c r="BV14" s="145">
        <f t="shared" si="51"/>
        <v>4843.8784535649856</v>
      </c>
      <c r="BW14" s="146">
        <f t="shared" si="51"/>
        <v>5133.4372166994872</v>
      </c>
      <c r="BX14" s="578"/>
      <c r="BY14" s="144">
        <f>SUM(BY8:BY13)</f>
        <v>386.09499999999997</v>
      </c>
      <c r="BZ14" s="145">
        <f>SUM(BZ8:BZ13)</f>
        <v>463.86399999999998</v>
      </c>
      <c r="CA14" s="145">
        <f>SUM(CA8:CA13)</f>
        <v>495.98200000000008</v>
      </c>
      <c r="CB14" s="145">
        <f>SUM(CB8:CB13)</f>
        <v>420.84300000000002</v>
      </c>
      <c r="CC14" s="145">
        <f>SUM(CB8:CB13)</f>
        <v>420.84300000000002</v>
      </c>
      <c r="CD14" s="145">
        <f t="shared" ref="CD14:CN14" si="52">SUM(CD8:CD13)</f>
        <v>494.65600000000001</v>
      </c>
      <c r="CE14" s="145">
        <f t="shared" si="52"/>
        <v>590.12700000000007</v>
      </c>
      <c r="CF14" s="145">
        <f t="shared" si="52"/>
        <v>789.8649999999999</v>
      </c>
      <c r="CG14" s="145">
        <f t="shared" si="52"/>
        <v>816.33400000000006</v>
      </c>
      <c r="CH14" s="145">
        <f t="shared" si="52"/>
        <v>883.36300000000006</v>
      </c>
      <c r="CI14" s="146">
        <f t="shared" si="52"/>
        <v>1073.3</v>
      </c>
      <c r="CJ14" s="144">
        <f t="shared" si="52"/>
        <v>1429.2</v>
      </c>
      <c r="CK14" s="145">
        <f t="shared" si="52"/>
        <v>1914.7</v>
      </c>
      <c r="CL14" s="145">
        <f t="shared" si="52"/>
        <v>2002.1000000000001</v>
      </c>
      <c r="CM14" s="145">
        <f t="shared" si="52"/>
        <v>2633.7</v>
      </c>
      <c r="CN14" s="145">
        <f t="shared" si="52"/>
        <v>3164.5899730431097</v>
      </c>
      <c r="CO14" s="145">
        <f>SUM(CO8:CO13)</f>
        <v>4104.171115072877</v>
      </c>
      <c r="CP14" s="146">
        <f>SUM(CP8:CP13)</f>
        <v>5133.4372166994872</v>
      </c>
      <c r="CQ14" s="949"/>
      <c r="CR14" s="161">
        <f>SUM(CR8:CR13)</f>
        <v>505.053</v>
      </c>
      <c r="CS14" s="147">
        <f>SUM(CS8:CS13)</f>
        <v>426.08500000000004</v>
      </c>
      <c r="CT14" s="147">
        <f>SUM(CT8:CT13)</f>
        <v>469.33799999999997</v>
      </c>
      <c r="CU14" s="147">
        <f t="shared" ref="CU14:CZ14" si="53">SUM(CU8:CU13)</f>
        <v>469.44499999999994</v>
      </c>
      <c r="CV14" s="147">
        <f t="shared" si="53"/>
        <v>635.85300000000007</v>
      </c>
      <c r="CW14" s="147">
        <f t="shared" si="53"/>
        <v>820.60299999999995</v>
      </c>
      <c r="CX14" s="147">
        <f t="shared" si="53"/>
        <v>856.34199999999998</v>
      </c>
      <c r="CY14" s="147">
        <f t="shared" si="53"/>
        <v>899.553</v>
      </c>
      <c r="CZ14" s="147">
        <f t="shared" si="53"/>
        <v>1180.1000000000001</v>
      </c>
      <c r="DA14" s="161">
        <f t="shared" ref="DA14:DF14" si="54">SUM(DA8:DA13)</f>
        <v>1590.4</v>
      </c>
      <c r="DB14" s="147">
        <f t="shared" si="54"/>
        <v>2114.7000000000003</v>
      </c>
      <c r="DC14" s="147">
        <f t="shared" si="54"/>
        <v>2198.5000000000005</v>
      </c>
      <c r="DD14" s="147">
        <f t="shared" si="54"/>
        <v>2686.6</v>
      </c>
      <c r="DE14" s="147">
        <f t="shared" si="54"/>
        <v>3445.5302312226768</v>
      </c>
      <c r="DF14" s="148">
        <f t="shared" si="54"/>
        <v>4367.6642953618266</v>
      </c>
      <c r="DG14" s="100"/>
      <c r="DH14" s="100"/>
      <c r="DI14" s="100"/>
      <c r="DJ14" s="100"/>
      <c r="DK14"/>
      <c r="DL14"/>
      <c r="DM14"/>
      <c r="DN14"/>
      <c r="DO14"/>
      <c r="DP14"/>
      <c r="DQ14" s="101"/>
      <c r="DR14" s="101"/>
    </row>
    <row r="15" spans="1:122" s="229" customFormat="1" ht="14.25">
      <c r="A15" s="125"/>
      <c r="B15" s="14"/>
      <c r="C15" s="24"/>
      <c r="D15" s="135"/>
      <c r="E15" s="135"/>
      <c r="F15" s="135"/>
      <c r="G15" s="151"/>
      <c r="H15" s="155"/>
      <c r="I15" s="151"/>
      <c r="J15" s="151"/>
      <c r="K15" s="136"/>
      <c r="L15" s="135"/>
      <c r="M15" s="135"/>
      <c r="N15" s="135"/>
      <c r="O15" s="151"/>
      <c r="P15" s="155"/>
      <c r="Q15" s="151"/>
      <c r="R15" s="151"/>
      <c r="S15" s="136"/>
      <c r="T15" s="135"/>
      <c r="U15" s="135"/>
      <c r="V15" s="135"/>
      <c r="W15" s="136"/>
      <c r="X15" s="135"/>
      <c r="Y15" s="135"/>
      <c r="Z15" s="135"/>
      <c r="AA15" s="136"/>
      <c r="AB15" s="135"/>
      <c r="AC15" s="135"/>
      <c r="AD15" s="135"/>
      <c r="AE15" s="136"/>
      <c r="AF15" s="135"/>
      <c r="AG15" s="135"/>
      <c r="AH15" s="135"/>
      <c r="AI15" s="149"/>
      <c r="AJ15" s="155"/>
      <c r="AK15" s="149"/>
      <c r="AL15" s="135"/>
      <c r="AM15" s="149"/>
      <c r="AN15" s="155"/>
      <c r="AO15" s="149"/>
      <c r="AP15" s="135"/>
      <c r="AQ15" s="149"/>
      <c r="AR15" s="155"/>
      <c r="AS15" s="149"/>
      <c r="AT15" s="149"/>
      <c r="AU15" s="149"/>
      <c r="AV15" s="155"/>
      <c r="AW15" s="149"/>
      <c r="AX15" s="149"/>
      <c r="AY15" s="149"/>
      <c r="AZ15" s="155"/>
      <c r="BA15" s="149"/>
      <c r="BB15" s="149"/>
      <c r="BC15" s="149"/>
      <c r="BD15" s="155"/>
      <c r="BE15" s="149"/>
      <c r="BF15" s="149"/>
      <c r="BG15" s="149"/>
      <c r="BH15" s="155"/>
      <c r="BI15" s="149"/>
      <c r="BJ15" s="149"/>
      <c r="BK15" s="149"/>
      <c r="BL15" s="155"/>
      <c r="BM15" s="149"/>
      <c r="BN15" s="149"/>
      <c r="BO15" s="372"/>
      <c r="BP15" s="150"/>
      <c r="BQ15" s="149"/>
      <c r="BR15" s="149"/>
      <c r="BS15" s="372"/>
      <c r="BT15" s="150"/>
      <c r="BU15" s="149"/>
      <c r="BV15" s="149"/>
      <c r="BW15" s="372"/>
      <c r="BX15" s="578"/>
      <c r="BY15" s="150"/>
      <c r="BZ15" s="149"/>
      <c r="CA15" s="149"/>
      <c r="CB15" s="149"/>
      <c r="CC15" s="149"/>
      <c r="CD15" s="149"/>
      <c r="CE15" s="149"/>
      <c r="CF15" s="149"/>
      <c r="CG15" s="149"/>
      <c r="CH15" s="149"/>
      <c r="CI15" s="372"/>
      <c r="CJ15" s="150"/>
      <c r="CK15" s="149"/>
      <c r="CL15" s="149"/>
      <c r="CM15" s="149"/>
      <c r="CN15" s="149"/>
      <c r="CO15" s="149"/>
      <c r="CP15" s="372"/>
      <c r="CQ15" s="949"/>
      <c r="CR15" s="150"/>
      <c r="CS15" s="149"/>
      <c r="CT15" s="149"/>
      <c r="CU15" s="149"/>
      <c r="CV15" s="151"/>
      <c r="CW15" s="151"/>
      <c r="CX15" s="151"/>
      <c r="CY15" s="151"/>
      <c r="CZ15" s="151"/>
      <c r="DA15" s="155"/>
      <c r="DB15" s="151"/>
      <c r="DC15" s="151"/>
      <c r="DD15" s="151"/>
      <c r="DE15" s="151"/>
      <c r="DF15" s="136"/>
      <c r="DG15" s="100"/>
      <c r="DH15" s="100"/>
      <c r="DI15" s="100"/>
      <c r="DJ15" s="100"/>
      <c r="DK15"/>
      <c r="DL15"/>
      <c r="DM15"/>
      <c r="DN15"/>
      <c r="DO15"/>
      <c r="DP15"/>
      <c r="DQ15" s="101"/>
      <c r="DR15" s="101"/>
    </row>
    <row r="16" spans="1:122" s="229" customFormat="1" ht="14.25">
      <c r="A16" s="125"/>
      <c r="B16" s="25" t="s">
        <v>171</v>
      </c>
      <c r="C16" s="26"/>
      <c r="D16" s="135">
        <v>140.09</v>
      </c>
      <c r="E16" s="135">
        <v>143.30600000000001</v>
      </c>
      <c r="F16" s="135">
        <v>139.411</v>
      </c>
      <c r="G16" s="151">
        <v>121.556</v>
      </c>
      <c r="H16" s="155">
        <v>126.669</v>
      </c>
      <c r="I16" s="151">
        <v>126.93899999999999</v>
      </c>
      <c r="J16" s="151">
        <v>136.708</v>
      </c>
      <c r="K16" s="136">
        <v>143.53399999999999</v>
      </c>
      <c r="L16" s="135">
        <v>144.131</v>
      </c>
      <c r="M16" s="135">
        <v>141.64500000000001</v>
      </c>
      <c r="N16" s="135">
        <v>143.17699999999999</v>
      </c>
      <c r="O16" s="151">
        <v>144.208</v>
      </c>
      <c r="P16" s="155">
        <v>148.69800000000001</v>
      </c>
      <c r="Q16" s="151">
        <v>151.84</v>
      </c>
      <c r="R16" s="151">
        <v>152.25700000000001</v>
      </c>
      <c r="S16" s="136">
        <v>150.38300000000001</v>
      </c>
      <c r="T16" s="135">
        <v>147.154</v>
      </c>
      <c r="U16" s="135">
        <v>148.92099999999999</v>
      </c>
      <c r="V16" s="135">
        <v>151.893</v>
      </c>
      <c r="W16" s="136">
        <v>153.51599999999999</v>
      </c>
      <c r="X16" s="135">
        <v>162.49700000000001</v>
      </c>
      <c r="Y16" s="135">
        <v>168.881</v>
      </c>
      <c r="Z16" s="135">
        <v>171.636</v>
      </c>
      <c r="AA16" s="136">
        <v>173.36</v>
      </c>
      <c r="AB16" s="135">
        <v>175.12700000000001</v>
      </c>
      <c r="AC16" s="135">
        <v>163.57599999999999</v>
      </c>
      <c r="AD16" s="135">
        <v>157.994</v>
      </c>
      <c r="AE16" s="136">
        <v>162.29900000000001</v>
      </c>
      <c r="AF16" s="135">
        <v>166.035</v>
      </c>
      <c r="AG16" s="135">
        <v>174.21299999999999</v>
      </c>
      <c r="AH16" s="135">
        <v>187.49100000000001</v>
      </c>
      <c r="AI16" s="136">
        <v>204.363</v>
      </c>
      <c r="AJ16" s="135">
        <v>223.81299999999999</v>
      </c>
      <c r="AK16" s="151">
        <v>241.733</v>
      </c>
      <c r="AL16" s="135">
        <v>252.755</v>
      </c>
      <c r="AM16" s="136">
        <v>251.36500000000001</v>
      </c>
      <c r="AN16" s="135">
        <v>240.40100000000001</v>
      </c>
      <c r="AO16" s="151">
        <v>252.31200000000001</v>
      </c>
      <c r="AP16" s="135">
        <v>266.03899999999999</v>
      </c>
      <c r="AQ16" s="136">
        <v>279.38299999999998</v>
      </c>
      <c r="AR16" s="135">
        <v>287.25299999999999</v>
      </c>
      <c r="AS16" s="151">
        <v>294.3</v>
      </c>
      <c r="AT16" s="151">
        <v>309.2</v>
      </c>
      <c r="AU16" s="136">
        <v>328.6</v>
      </c>
      <c r="AV16" s="135">
        <v>323.7</v>
      </c>
      <c r="AW16" s="151">
        <v>343.9</v>
      </c>
      <c r="AX16" s="151">
        <v>387.3</v>
      </c>
      <c r="AY16" s="136">
        <v>555.9</v>
      </c>
      <c r="AZ16" s="135">
        <v>610.4</v>
      </c>
      <c r="BA16" s="151">
        <v>655.8</v>
      </c>
      <c r="BB16" s="151">
        <v>721.6</v>
      </c>
      <c r="BC16" s="136">
        <v>826.4</v>
      </c>
      <c r="BD16" s="155">
        <v>847.9</v>
      </c>
      <c r="BE16" s="151">
        <v>837.7</v>
      </c>
      <c r="BF16" s="151">
        <v>844.5</v>
      </c>
      <c r="BG16" s="136">
        <v>806.3</v>
      </c>
      <c r="BH16" s="155">
        <v>801.5</v>
      </c>
      <c r="BI16" s="151">
        <v>800.4</v>
      </c>
      <c r="BJ16" s="151">
        <v>857.7</v>
      </c>
      <c r="BK16" s="136">
        <v>882.3</v>
      </c>
      <c r="BL16" s="155">
        <v>869.1</v>
      </c>
      <c r="BM16" s="137">
        <f>CFS!BM63</f>
        <v>896.08942825000031</v>
      </c>
      <c r="BN16" s="137">
        <f>CFS!BN63</f>
        <v>916.91118548625036</v>
      </c>
      <c r="BO16" s="139">
        <f>CFS!BO63</f>
        <v>951.47960990736306</v>
      </c>
      <c r="BP16" s="138">
        <f>CFS!BP63</f>
        <v>960.34861163059759</v>
      </c>
      <c r="BQ16" s="137">
        <f>CFS!BQ63</f>
        <v>959.59390410286164</v>
      </c>
      <c r="BR16" s="137">
        <f>CFS!BR63</f>
        <v>956.66042222242322</v>
      </c>
      <c r="BS16" s="139">
        <f>CFS!BS63</f>
        <v>957.07550360858431</v>
      </c>
      <c r="BT16" s="138">
        <f>CFS!BT63</f>
        <v>958.45301037734384</v>
      </c>
      <c r="BU16" s="137">
        <f>CFS!BU63</f>
        <v>952.89494753992835</v>
      </c>
      <c r="BV16" s="137">
        <f>CFS!BV63</f>
        <v>946.01556427052333</v>
      </c>
      <c r="BW16" s="139">
        <f>CFS!BW63</f>
        <v>943.18328165559979</v>
      </c>
      <c r="BX16" s="578"/>
      <c r="BY16" s="138">
        <f>G16</f>
        <v>121.556</v>
      </c>
      <c r="BZ16" s="137">
        <f>K16</f>
        <v>143.53399999999999</v>
      </c>
      <c r="CA16" s="137">
        <f>O16</f>
        <v>144.208</v>
      </c>
      <c r="CB16" s="137">
        <f>S16</f>
        <v>150.38300000000001</v>
      </c>
      <c r="CC16" s="137">
        <f>W16</f>
        <v>153.51599999999999</v>
      </c>
      <c r="CD16" s="137">
        <f>AA16</f>
        <v>173.36</v>
      </c>
      <c r="CE16" s="137">
        <f>AE16</f>
        <v>162.29900000000001</v>
      </c>
      <c r="CF16" s="137">
        <f>AI16</f>
        <v>204.363</v>
      </c>
      <c r="CG16" s="137">
        <f>AM16</f>
        <v>251.36500000000001</v>
      </c>
      <c r="CH16" s="137">
        <f>AQ16</f>
        <v>279.38299999999998</v>
      </c>
      <c r="CI16" s="139">
        <f>AU16</f>
        <v>328.6</v>
      </c>
      <c r="CJ16" s="138">
        <f>AY16</f>
        <v>555.9</v>
      </c>
      <c r="CK16" s="137">
        <f>BC16</f>
        <v>826.4</v>
      </c>
      <c r="CL16" s="137">
        <f>BG16</f>
        <v>806.3</v>
      </c>
      <c r="CM16" s="137">
        <f>BK16</f>
        <v>882.3</v>
      </c>
      <c r="CN16" s="137">
        <f>BO16</f>
        <v>951.47960990736306</v>
      </c>
      <c r="CO16" s="137">
        <f>BS16</f>
        <v>957.07550360858431</v>
      </c>
      <c r="CP16" s="139">
        <f t="shared" ref="CP16:CP20" si="55">BW16</f>
        <v>943.18328165559979</v>
      </c>
      <c r="CQ16" s="949"/>
      <c r="CR16" s="138">
        <f>P16</f>
        <v>148.69800000000001</v>
      </c>
      <c r="CS16" s="137">
        <f>T16</f>
        <v>147.154</v>
      </c>
      <c r="CT16" s="137">
        <f>X16</f>
        <v>162.49700000000001</v>
      </c>
      <c r="CU16" s="137">
        <f>AB16</f>
        <v>175.12700000000001</v>
      </c>
      <c r="CV16" s="137">
        <f>AF16</f>
        <v>166.035</v>
      </c>
      <c r="CW16" s="137">
        <f>AJ16</f>
        <v>223.81299999999999</v>
      </c>
      <c r="CX16" s="137">
        <f>AN16</f>
        <v>240.40100000000001</v>
      </c>
      <c r="CY16" s="137">
        <f>AR16</f>
        <v>287.25299999999999</v>
      </c>
      <c r="CZ16" s="137">
        <f>AV16</f>
        <v>323.7</v>
      </c>
      <c r="DA16" s="138">
        <f>AZ16</f>
        <v>610.4</v>
      </c>
      <c r="DB16" s="137">
        <f>BD16</f>
        <v>847.9</v>
      </c>
      <c r="DC16" s="137">
        <f>BH16</f>
        <v>801.5</v>
      </c>
      <c r="DD16" s="137">
        <f>BL16</f>
        <v>869.1</v>
      </c>
      <c r="DE16" s="137">
        <f>BP16</f>
        <v>960.34861163059759</v>
      </c>
      <c r="DF16" s="139">
        <f t="shared" ref="DF16:DF20" si="56">BT16</f>
        <v>958.45301037734384</v>
      </c>
      <c r="DG16" s="100"/>
      <c r="DH16" s="100"/>
      <c r="DI16" s="100"/>
      <c r="DJ16" s="100"/>
      <c r="DK16"/>
      <c r="DL16"/>
      <c r="DM16"/>
      <c r="DN16"/>
      <c r="DO16"/>
      <c r="DP16"/>
      <c r="DQ16" s="101"/>
      <c r="DR16" s="101"/>
    </row>
    <row r="17" spans="1:122" s="229" customFormat="1" ht="14.25">
      <c r="A17" s="125"/>
      <c r="B17" s="25" t="s">
        <v>124</v>
      </c>
      <c r="C17" s="26"/>
      <c r="D17" s="135">
        <v>940.76900000000001</v>
      </c>
      <c r="E17" s="135">
        <v>939.88300000000004</v>
      </c>
      <c r="F17" s="135">
        <v>936.73099999999999</v>
      </c>
      <c r="G17" s="151">
        <v>505.51400000000001</v>
      </c>
      <c r="H17" s="155">
        <v>505.03399999999999</v>
      </c>
      <c r="I17" s="151">
        <v>505.03399999999999</v>
      </c>
      <c r="J17" s="151">
        <v>504.53199999999998</v>
      </c>
      <c r="K17" s="136">
        <v>504.49299999999999</v>
      </c>
      <c r="L17" s="135">
        <v>500.31299999999999</v>
      </c>
      <c r="M17" s="135">
        <v>497.279</v>
      </c>
      <c r="N17" s="135">
        <v>494.99799999999999</v>
      </c>
      <c r="O17" s="151">
        <v>493.38900000000001</v>
      </c>
      <c r="P17" s="155">
        <v>491.97199999999998</v>
      </c>
      <c r="Q17" s="151">
        <v>491.97199999999998</v>
      </c>
      <c r="R17" s="151">
        <v>491.97199999999998</v>
      </c>
      <c r="S17" s="136">
        <v>493.38900000000001</v>
      </c>
      <c r="T17" s="135">
        <v>492.04500000000002</v>
      </c>
      <c r="U17" s="135">
        <v>492.71600000000001</v>
      </c>
      <c r="V17" s="135">
        <v>491.87400000000002</v>
      </c>
      <c r="W17" s="136">
        <v>480.89</v>
      </c>
      <c r="X17" s="135">
        <v>495.42899999999997</v>
      </c>
      <c r="Y17" s="135">
        <v>491.92899999999997</v>
      </c>
      <c r="Z17" s="135">
        <v>489.96100000000001</v>
      </c>
      <c r="AA17" s="136">
        <v>483.67099999999999</v>
      </c>
      <c r="AB17" s="135">
        <v>483.67099999999999</v>
      </c>
      <c r="AC17" s="135">
        <v>483.67099999999999</v>
      </c>
      <c r="AD17" s="135">
        <v>490.83100000000002</v>
      </c>
      <c r="AE17" s="136">
        <v>482.89299999999997</v>
      </c>
      <c r="AF17" s="135">
        <v>482.89299999999997</v>
      </c>
      <c r="AG17" s="135">
        <v>484.89299999999997</v>
      </c>
      <c r="AH17" s="135">
        <v>485.62400000000002</v>
      </c>
      <c r="AI17" s="136">
        <v>485.58699999999999</v>
      </c>
      <c r="AJ17" s="135">
        <v>485.54399999999998</v>
      </c>
      <c r="AK17" s="151">
        <v>485.54300000000001</v>
      </c>
      <c r="AL17" s="135">
        <v>768.99599999999998</v>
      </c>
      <c r="AM17" s="136">
        <v>749.84900000000005</v>
      </c>
      <c r="AN17" s="135">
        <v>744.22299999999996</v>
      </c>
      <c r="AO17" s="151">
        <v>802.81700000000001</v>
      </c>
      <c r="AP17" s="135">
        <v>805.41300000000001</v>
      </c>
      <c r="AQ17" s="136">
        <v>800.51300000000003</v>
      </c>
      <c r="AR17" s="135">
        <v>800.51300000000003</v>
      </c>
      <c r="AS17" s="135">
        <v>800.5</v>
      </c>
      <c r="AT17" s="151">
        <v>800.5</v>
      </c>
      <c r="AU17" s="136">
        <v>800.5</v>
      </c>
      <c r="AV17" s="135">
        <v>800.5</v>
      </c>
      <c r="AW17" s="135">
        <v>800.5</v>
      </c>
      <c r="AX17" s="151">
        <v>800.5</v>
      </c>
      <c r="AY17" s="136">
        <v>851</v>
      </c>
      <c r="AZ17" s="135">
        <v>851</v>
      </c>
      <c r="BA17" s="135">
        <v>851</v>
      </c>
      <c r="BB17" s="151">
        <v>854.7</v>
      </c>
      <c r="BC17" s="136">
        <v>856.7</v>
      </c>
      <c r="BD17" s="155">
        <v>856.7</v>
      </c>
      <c r="BE17" s="151">
        <v>856.7</v>
      </c>
      <c r="BF17" s="151">
        <v>934</v>
      </c>
      <c r="BG17" s="136">
        <f>940.3-BG18</f>
        <v>903.3</v>
      </c>
      <c r="BH17" s="155">
        <v>880.4</v>
      </c>
      <c r="BI17" s="151">
        <v>881.8</v>
      </c>
      <c r="BJ17" s="151">
        <v>881.8</v>
      </c>
      <c r="BK17" s="136">
        <v>883</v>
      </c>
      <c r="BL17" s="155">
        <f>951.2-BL18</f>
        <v>883.40000000000009</v>
      </c>
      <c r="BM17" s="137">
        <f t="shared" ref="BM17:BO19" si="57">BL17</f>
        <v>883.40000000000009</v>
      </c>
      <c r="BN17" s="137">
        <f t="shared" si="57"/>
        <v>883.40000000000009</v>
      </c>
      <c r="BO17" s="139">
        <f t="shared" si="57"/>
        <v>883.40000000000009</v>
      </c>
      <c r="BP17" s="137">
        <f t="shared" ref="BP17:BW17" si="58">BO17</f>
        <v>883.40000000000009</v>
      </c>
      <c r="BQ17" s="137">
        <f t="shared" si="58"/>
        <v>883.40000000000009</v>
      </c>
      <c r="BR17" s="137">
        <f t="shared" si="58"/>
        <v>883.40000000000009</v>
      </c>
      <c r="BS17" s="139">
        <f t="shared" si="58"/>
        <v>883.40000000000009</v>
      </c>
      <c r="BT17" s="137">
        <f t="shared" si="58"/>
        <v>883.40000000000009</v>
      </c>
      <c r="BU17" s="137">
        <f t="shared" si="58"/>
        <v>883.40000000000009</v>
      </c>
      <c r="BV17" s="137">
        <f t="shared" si="58"/>
        <v>883.40000000000009</v>
      </c>
      <c r="BW17" s="139">
        <f t="shared" si="58"/>
        <v>883.40000000000009</v>
      </c>
      <c r="BX17" s="578"/>
      <c r="BY17" s="138">
        <f>G17</f>
        <v>505.51400000000001</v>
      </c>
      <c r="BZ17" s="137">
        <f>K17</f>
        <v>504.49299999999999</v>
      </c>
      <c r="CA17" s="137">
        <f>O17</f>
        <v>493.38900000000001</v>
      </c>
      <c r="CB17" s="137">
        <f>S17</f>
        <v>493.38900000000001</v>
      </c>
      <c r="CC17" s="137">
        <f>W17</f>
        <v>480.89</v>
      </c>
      <c r="CD17" s="137">
        <f>AA17</f>
        <v>483.67099999999999</v>
      </c>
      <c r="CE17" s="137">
        <f>AE17</f>
        <v>482.89299999999997</v>
      </c>
      <c r="CF17" s="137">
        <f>AI17</f>
        <v>485.58699999999999</v>
      </c>
      <c r="CG17" s="137">
        <f>AM17</f>
        <v>749.84900000000005</v>
      </c>
      <c r="CH17" s="137">
        <f>AQ17</f>
        <v>800.51300000000003</v>
      </c>
      <c r="CI17" s="139">
        <f>AU17</f>
        <v>800.5</v>
      </c>
      <c r="CJ17" s="138">
        <f>AY17</f>
        <v>851</v>
      </c>
      <c r="CK17" s="137">
        <f>BC17</f>
        <v>856.7</v>
      </c>
      <c r="CL17" s="137">
        <f>BG17</f>
        <v>903.3</v>
      </c>
      <c r="CM17" s="137">
        <f>BK17</f>
        <v>883</v>
      </c>
      <c r="CN17" s="137">
        <f>BO17</f>
        <v>883.40000000000009</v>
      </c>
      <c r="CO17" s="137">
        <f>BS17</f>
        <v>883.40000000000009</v>
      </c>
      <c r="CP17" s="139">
        <f t="shared" si="55"/>
        <v>883.40000000000009</v>
      </c>
      <c r="CQ17" s="949"/>
      <c r="CR17" s="138">
        <f>P17</f>
        <v>491.97199999999998</v>
      </c>
      <c r="CS17" s="137">
        <f>T17</f>
        <v>492.04500000000002</v>
      </c>
      <c r="CT17" s="137">
        <f>X17</f>
        <v>495.42899999999997</v>
      </c>
      <c r="CU17" s="137">
        <f>AB17</f>
        <v>483.67099999999999</v>
      </c>
      <c r="CV17" s="137">
        <f>AF17</f>
        <v>482.89299999999997</v>
      </c>
      <c r="CW17" s="137">
        <f>AJ17</f>
        <v>485.54399999999998</v>
      </c>
      <c r="CX17" s="137">
        <f>AN17</f>
        <v>744.22299999999996</v>
      </c>
      <c r="CY17" s="137">
        <f>AR17</f>
        <v>800.51300000000003</v>
      </c>
      <c r="CZ17" s="137">
        <f>AV17</f>
        <v>800.5</v>
      </c>
      <c r="DA17" s="138">
        <f>AZ17</f>
        <v>851</v>
      </c>
      <c r="DB17" s="137">
        <f>BD17</f>
        <v>856.7</v>
      </c>
      <c r="DC17" s="137">
        <f>BH17</f>
        <v>880.4</v>
      </c>
      <c r="DD17" s="137">
        <f>BL17</f>
        <v>883.40000000000009</v>
      </c>
      <c r="DE17" s="137">
        <f>BP17</f>
        <v>883.40000000000009</v>
      </c>
      <c r="DF17" s="139">
        <f t="shared" si="56"/>
        <v>883.40000000000009</v>
      </c>
      <c r="DG17" s="100"/>
      <c r="DH17" s="100"/>
      <c r="DI17" s="100"/>
      <c r="DJ17" s="100"/>
      <c r="DK17"/>
      <c r="DL17"/>
      <c r="DM17"/>
      <c r="DN17"/>
      <c r="DO17"/>
      <c r="DP17"/>
      <c r="DQ17" s="101"/>
      <c r="DR17" s="101"/>
    </row>
    <row r="18" spans="1:122" s="229" customFormat="1" ht="14.25">
      <c r="A18" s="125"/>
      <c r="B18" s="25" t="s">
        <v>170</v>
      </c>
      <c r="C18" s="26"/>
      <c r="D18" s="135">
        <v>0</v>
      </c>
      <c r="E18" s="135">
        <v>0</v>
      </c>
      <c r="F18" s="135">
        <v>0</v>
      </c>
      <c r="G18" s="151">
        <v>22.181000000000001</v>
      </c>
      <c r="H18" s="155">
        <v>21.600999999999999</v>
      </c>
      <c r="I18" s="151">
        <v>21.021999999999998</v>
      </c>
      <c r="J18" s="151">
        <v>20.440999999999999</v>
      </c>
      <c r="K18" s="136">
        <v>19.895</v>
      </c>
      <c r="L18" s="135">
        <v>19.347999999999999</v>
      </c>
      <c r="M18" s="135">
        <v>18.803000000000001</v>
      </c>
      <c r="N18" s="135">
        <v>18.265999999999998</v>
      </c>
      <c r="O18" s="151">
        <v>17.73</v>
      </c>
      <c r="P18" s="155">
        <v>17.193999999999999</v>
      </c>
      <c r="Q18" s="151">
        <v>16.658000000000001</v>
      </c>
      <c r="R18" s="151">
        <v>16.122</v>
      </c>
      <c r="S18" s="136">
        <v>15.586</v>
      </c>
      <c r="T18" s="135">
        <v>15.05</v>
      </c>
      <c r="U18" s="135">
        <v>14.513999999999999</v>
      </c>
      <c r="V18" s="135">
        <v>13.978</v>
      </c>
      <c r="W18" s="136">
        <v>13.442</v>
      </c>
      <c r="X18" s="135">
        <v>22.52</v>
      </c>
      <c r="Y18" s="135">
        <v>22.568000000000001</v>
      </c>
      <c r="Z18" s="135">
        <v>21.157</v>
      </c>
      <c r="AA18" s="136">
        <v>19.745999999999999</v>
      </c>
      <c r="AB18" s="135">
        <v>19.817</v>
      </c>
      <c r="AC18" s="135">
        <v>18.571000000000002</v>
      </c>
      <c r="AD18" s="135">
        <v>20.123999999999999</v>
      </c>
      <c r="AE18" s="136">
        <v>18.245000000000001</v>
      </c>
      <c r="AF18" s="135">
        <v>16.744</v>
      </c>
      <c r="AG18" s="135">
        <v>15.244</v>
      </c>
      <c r="AH18" s="135">
        <v>13.743</v>
      </c>
      <c r="AI18" s="136">
        <v>12.509</v>
      </c>
      <c r="AJ18" s="135">
        <v>15.257</v>
      </c>
      <c r="AK18" s="151">
        <v>13.519</v>
      </c>
      <c r="AL18" s="135">
        <v>0</v>
      </c>
      <c r="AM18" s="136">
        <v>0</v>
      </c>
      <c r="AN18" s="135">
        <v>0</v>
      </c>
      <c r="AO18" s="151">
        <v>111.10299999999999</v>
      </c>
      <c r="AP18" s="135">
        <v>102.494</v>
      </c>
      <c r="AQ18" s="136">
        <v>94.01</v>
      </c>
      <c r="AR18" s="135">
        <v>85.853999999999999</v>
      </c>
      <c r="AS18" s="135">
        <v>78.5</v>
      </c>
      <c r="AT18" s="151">
        <v>71.5</v>
      </c>
      <c r="AU18" s="136">
        <v>64.8</v>
      </c>
      <c r="AV18" s="135">
        <v>58.3</v>
      </c>
      <c r="AW18" s="135">
        <v>52</v>
      </c>
      <c r="AX18" s="151">
        <v>46.3</v>
      </c>
      <c r="AY18" s="136">
        <v>75</v>
      </c>
      <c r="AZ18" s="135">
        <v>66.5</v>
      </c>
      <c r="BA18" s="135">
        <v>58.2</v>
      </c>
      <c r="BB18" s="151">
        <v>53.3</v>
      </c>
      <c r="BC18" s="136">
        <v>45</v>
      </c>
      <c r="BD18" s="155">
        <v>36.6</v>
      </c>
      <c r="BE18" s="151">
        <v>37</v>
      </c>
      <c r="BF18" s="151">
        <f>+BE18</f>
        <v>37</v>
      </c>
      <c r="BG18" s="136">
        <f>+BF18</f>
        <v>37</v>
      </c>
      <c r="BH18" s="155">
        <v>74.900000000000006</v>
      </c>
      <c r="BI18" s="151">
        <v>67.900000000000006</v>
      </c>
      <c r="BJ18" s="151">
        <v>60.8</v>
      </c>
      <c r="BK18" s="136">
        <v>67.8</v>
      </c>
      <c r="BL18" s="155">
        <f>BK18</f>
        <v>67.8</v>
      </c>
      <c r="BM18" s="137">
        <f>BL18-IS!BM54</f>
        <v>67.8</v>
      </c>
      <c r="BN18" s="137">
        <f>BM18-IS!BN54</f>
        <v>67.8</v>
      </c>
      <c r="BO18" s="139">
        <f>BN18-IS!BO54</f>
        <v>67.8</v>
      </c>
      <c r="BP18" s="137">
        <f>BO18-IS!BP54</f>
        <v>67.8</v>
      </c>
      <c r="BQ18" s="137">
        <f>BP18-IS!BQ54</f>
        <v>67.8</v>
      </c>
      <c r="BR18" s="137">
        <f>BQ18-IS!BR54</f>
        <v>67.8</v>
      </c>
      <c r="BS18" s="139">
        <f>BR18-IS!BS54</f>
        <v>67.8</v>
      </c>
      <c r="BT18" s="137">
        <f>BS18-IS!BT54</f>
        <v>67.8</v>
      </c>
      <c r="BU18" s="137">
        <f>BT18-IS!BU54</f>
        <v>67.8</v>
      </c>
      <c r="BV18" s="137">
        <f>BU18-IS!BV54</f>
        <v>67.8</v>
      </c>
      <c r="BW18" s="137">
        <f>BV18-IS!BW54</f>
        <v>67.8</v>
      </c>
      <c r="BX18" s="578"/>
      <c r="BY18" s="138">
        <f>G18</f>
        <v>22.181000000000001</v>
      </c>
      <c r="BZ18" s="137">
        <f>K18</f>
        <v>19.895</v>
      </c>
      <c r="CA18" s="137">
        <f>O18</f>
        <v>17.73</v>
      </c>
      <c r="CB18" s="137">
        <f>S18</f>
        <v>15.586</v>
      </c>
      <c r="CC18" s="137">
        <f>W18</f>
        <v>13.442</v>
      </c>
      <c r="CD18" s="137">
        <f>AA18</f>
        <v>19.745999999999999</v>
      </c>
      <c r="CE18" s="137">
        <f>AE18</f>
        <v>18.245000000000001</v>
      </c>
      <c r="CF18" s="137">
        <f>AI18</f>
        <v>12.509</v>
      </c>
      <c r="CG18" s="137">
        <f>AM18</f>
        <v>0</v>
      </c>
      <c r="CH18" s="137">
        <f>AQ18</f>
        <v>94.01</v>
      </c>
      <c r="CI18" s="139">
        <f>AU18</f>
        <v>64.8</v>
      </c>
      <c r="CJ18" s="138">
        <f>AY18</f>
        <v>75</v>
      </c>
      <c r="CK18" s="137">
        <f>BC18</f>
        <v>45</v>
      </c>
      <c r="CL18" s="137">
        <f>BG18</f>
        <v>37</v>
      </c>
      <c r="CM18" s="137">
        <f>BK18</f>
        <v>67.8</v>
      </c>
      <c r="CN18" s="137">
        <f>BO18</f>
        <v>67.8</v>
      </c>
      <c r="CO18" s="137">
        <f>BS18</f>
        <v>67.8</v>
      </c>
      <c r="CP18" s="139">
        <f t="shared" si="55"/>
        <v>67.8</v>
      </c>
      <c r="CQ18" s="949"/>
      <c r="CR18" s="138">
        <f>P18</f>
        <v>17.193999999999999</v>
      </c>
      <c r="CS18" s="137">
        <f>T18</f>
        <v>15.05</v>
      </c>
      <c r="CT18" s="137">
        <f>X18</f>
        <v>22.52</v>
      </c>
      <c r="CU18" s="137">
        <f>AB18</f>
        <v>19.817</v>
      </c>
      <c r="CV18" s="137">
        <f>AF18</f>
        <v>16.744</v>
      </c>
      <c r="CW18" s="137">
        <f>AJ18</f>
        <v>15.257</v>
      </c>
      <c r="CX18" s="137">
        <f>AN18</f>
        <v>0</v>
      </c>
      <c r="CY18" s="137">
        <f>AR18</f>
        <v>85.853999999999999</v>
      </c>
      <c r="CZ18" s="137">
        <f>AV18</f>
        <v>58.3</v>
      </c>
      <c r="DA18" s="138">
        <f>AZ18</f>
        <v>66.5</v>
      </c>
      <c r="DB18" s="137">
        <f>BD18</f>
        <v>36.6</v>
      </c>
      <c r="DC18" s="137">
        <f>BH18</f>
        <v>74.900000000000006</v>
      </c>
      <c r="DD18" s="137">
        <f>BL18</f>
        <v>67.8</v>
      </c>
      <c r="DE18" s="137">
        <f>BP18</f>
        <v>67.8</v>
      </c>
      <c r="DF18" s="139">
        <f t="shared" si="56"/>
        <v>67.8</v>
      </c>
      <c r="DG18" s="100"/>
      <c r="DH18" s="100"/>
      <c r="DI18" s="100"/>
      <c r="DJ18" s="100"/>
      <c r="DK18"/>
      <c r="DL18"/>
      <c r="DM18"/>
      <c r="DN18"/>
      <c r="DO18"/>
      <c r="DP18"/>
      <c r="DQ18" s="101"/>
      <c r="DR18" s="101"/>
    </row>
    <row r="19" spans="1:122" s="229" customFormat="1" ht="14.25">
      <c r="A19" s="125"/>
      <c r="B19" s="25" t="s">
        <v>121</v>
      </c>
      <c r="C19" s="26"/>
      <c r="D19" s="135">
        <v>22.475999999999999</v>
      </c>
      <c r="E19" s="135">
        <v>22.475000000000001</v>
      </c>
      <c r="F19" s="135">
        <v>22.477</v>
      </c>
      <c r="G19" s="151">
        <v>22.765999999999998</v>
      </c>
      <c r="H19" s="155">
        <v>22.765999999999998</v>
      </c>
      <c r="I19" s="151">
        <v>22.765999999999998</v>
      </c>
      <c r="J19" s="151">
        <v>22.765999999999998</v>
      </c>
      <c r="K19" s="136">
        <v>19.372</v>
      </c>
      <c r="L19" s="135">
        <v>17.420000000000002</v>
      </c>
      <c r="M19" s="135">
        <v>16.835000000000001</v>
      </c>
      <c r="N19" s="135">
        <v>17.125</v>
      </c>
      <c r="O19" s="151">
        <v>16.052</v>
      </c>
      <c r="P19" s="155">
        <v>15.218999999999999</v>
      </c>
      <c r="Q19" s="151">
        <v>14.262</v>
      </c>
      <c r="R19" s="151">
        <v>13.331</v>
      </c>
      <c r="S19" s="136">
        <v>0.251</v>
      </c>
      <c r="T19" s="135">
        <v>0.89400000000000002</v>
      </c>
      <c r="U19" s="135">
        <v>0.74299999999999999</v>
      </c>
      <c r="V19" s="135">
        <v>0.55500000000000005</v>
      </c>
      <c r="W19" s="136">
        <v>14.459</v>
      </c>
      <c r="X19" s="135">
        <v>14.523999999999999</v>
      </c>
      <c r="Y19" s="135">
        <v>14.528</v>
      </c>
      <c r="Z19" s="135">
        <v>14.536</v>
      </c>
      <c r="AA19" s="136">
        <v>53.192</v>
      </c>
      <c r="AB19" s="135">
        <v>53.185000000000002</v>
      </c>
      <c r="AC19" s="135">
        <v>52.012999999999998</v>
      </c>
      <c r="AD19" s="135">
        <v>53.509</v>
      </c>
      <c r="AE19" s="136">
        <v>89.162999999999997</v>
      </c>
      <c r="AF19" s="135">
        <v>80.855999999999995</v>
      </c>
      <c r="AG19" s="135">
        <v>76.712000000000003</v>
      </c>
      <c r="AH19" s="135">
        <v>66.137</v>
      </c>
      <c r="AI19" s="136">
        <v>60.569000000000003</v>
      </c>
      <c r="AJ19" s="135">
        <v>58.088000000000001</v>
      </c>
      <c r="AK19" s="151">
        <v>55.33</v>
      </c>
      <c r="AL19" s="135">
        <v>0</v>
      </c>
      <c r="AM19" s="136">
        <v>0</v>
      </c>
      <c r="AN19" s="135">
        <v>0</v>
      </c>
      <c r="AO19" s="151">
        <v>0</v>
      </c>
      <c r="AP19" s="135">
        <v>72.524000000000001</v>
      </c>
      <c r="AQ19" s="136">
        <v>65.141000000000005</v>
      </c>
      <c r="AR19" s="135">
        <v>63.545999999999999</v>
      </c>
      <c r="AS19" s="135">
        <v>66.5</v>
      </c>
      <c r="AT19" s="151">
        <v>64.2</v>
      </c>
      <c r="AU19" s="136">
        <v>54.1</v>
      </c>
      <c r="AV19" s="135">
        <v>60</v>
      </c>
      <c r="AW19" s="135">
        <v>57.1</v>
      </c>
      <c r="AX19" s="151">
        <v>55.3</v>
      </c>
      <c r="AY19" s="136">
        <v>50.8</v>
      </c>
      <c r="AZ19" s="135">
        <v>58.2</v>
      </c>
      <c r="BA19" s="135">
        <v>54.6</v>
      </c>
      <c r="BB19" s="151">
        <v>55.5</v>
      </c>
      <c r="BC19" s="136">
        <v>56.3</v>
      </c>
      <c r="BD19" s="155">
        <v>54.3</v>
      </c>
      <c r="BE19" s="151">
        <v>56.6</v>
      </c>
      <c r="BF19" s="151">
        <f>+BE19</f>
        <v>56.6</v>
      </c>
      <c r="BG19" s="136">
        <f>106.7-BG20</f>
        <v>101.20000000000002</v>
      </c>
      <c r="BH19" s="155">
        <v>54.4</v>
      </c>
      <c r="BI19" s="151">
        <v>53.2</v>
      </c>
      <c r="BJ19" s="151">
        <v>51.4</v>
      </c>
      <c r="BK19" s="136">
        <v>66.5</v>
      </c>
      <c r="BL19" s="155">
        <f>BK19</f>
        <v>66.5</v>
      </c>
      <c r="BM19" s="137">
        <f t="shared" si="57"/>
        <v>66.5</v>
      </c>
      <c r="BN19" s="137">
        <f t="shared" si="57"/>
        <v>66.5</v>
      </c>
      <c r="BO19" s="139">
        <f t="shared" si="57"/>
        <v>66.5</v>
      </c>
      <c r="BP19" s="137">
        <f t="shared" ref="BP19:BW19" si="59">BO19</f>
        <v>66.5</v>
      </c>
      <c r="BQ19" s="137">
        <f t="shared" si="59"/>
        <v>66.5</v>
      </c>
      <c r="BR19" s="137">
        <f t="shared" si="59"/>
        <v>66.5</v>
      </c>
      <c r="BS19" s="139">
        <f t="shared" si="59"/>
        <v>66.5</v>
      </c>
      <c r="BT19" s="137">
        <f t="shared" si="59"/>
        <v>66.5</v>
      </c>
      <c r="BU19" s="137">
        <f t="shared" si="59"/>
        <v>66.5</v>
      </c>
      <c r="BV19" s="137">
        <f t="shared" si="59"/>
        <v>66.5</v>
      </c>
      <c r="BW19" s="139">
        <f t="shared" si="59"/>
        <v>66.5</v>
      </c>
      <c r="BX19" s="578"/>
      <c r="BY19" s="138">
        <f>G19</f>
        <v>22.765999999999998</v>
      </c>
      <c r="BZ19" s="137">
        <f>K19</f>
        <v>19.372</v>
      </c>
      <c r="CA19" s="137">
        <f>O19</f>
        <v>16.052</v>
      </c>
      <c r="CB19" s="137">
        <f>S19</f>
        <v>0.251</v>
      </c>
      <c r="CC19" s="137">
        <f>W19</f>
        <v>14.459</v>
      </c>
      <c r="CD19" s="137">
        <f>AA19</f>
        <v>53.192</v>
      </c>
      <c r="CE19" s="137">
        <f>AE19</f>
        <v>89.162999999999997</v>
      </c>
      <c r="CF19" s="137">
        <f>AI19</f>
        <v>60.569000000000003</v>
      </c>
      <c r="CG19" s="137">
        <f>AM19</f>
        <v>0</v>
      </c>
      <c r="CH19" s="137">
        <f>AQ19</f>
        <v>65.141000000000005</v>
      </c>
      <c r="CI19" s="139">
        <f>AU19</f>
        <v>54.1</v>
      </c>
      <c r="CJ19" s="138">
        <f>AY19</f>
        <v>50.8</v>
      </c>
      <c r="CK19" s="137">
        <f>BC19</f>
        <v>56.3</v>
      </c>
      <c r="CL19" s="137">
        <f>BG19</f>
        <v>101.20000000000002</v>
      </c>
      <c r="CM19" s="137">
        <f>BK19</f>
        <v>66.5</v>
      </c>
      <c r="CN19" s="137">
        <f>BO19</f>
        <v>66.5</v>
      </c>
      <c r="CO19" s="137">
        <f>BS19</f>
        <v>66.5</v>
      </c>
      <c r="CP19" s="139">
        <f t="shared" si="55"/>
        <v>66.5</v>
      </c>
      <c r="CQ19" s="949"/>
      <c r="CR19" s="138">
        <f>P19</f>
        <v>15.218999999999999</v>
      </c>
      <c r="CS19" s="137">
        <f>T19</f>
        <v>0.89400000000000002</v>
      </c>
      <c r="CT19" s="137">
        <f>X19</f>
        <v>14.523999999999999</v>
      </c>
      <c r="CU19" s="137">
        <f>AB19</f>
        <v>53.185000000000002</v>
      </c>
      <c r="CV19" s="137">
        <f>AF19</f>
        <v>80.855999999999995</v>
      </c>
      <c r="CW19" s="137">
        <f>AJ19</f>
        <v>58.088000000000001</v>
      </c>
      <c r="CX19" s="137">
        <f>AN19</f>
        <v>0</v>
      </c>
      <c r="CY19" s="137">
        <f>AR19</f>
        <v>63.545999999999999</v>
      </c>
      <c r="CZ19" s="137">
        <f>AV19</f>
        <v>60</v>
      </c>
      <c r="DA19" s="138">
        <f>AZ19</f>
        <v>58.2</v>
      </c>
      <c r="DB19" s="137">
        <f>BD19</f>
        <v>54.3</v>
      </c>
      <c r="DC19" s="137">
        <f>BH19</f>
        <v>54.4</v>
      </c>
      <c r="DD19" s="137">
        <f>BL19</f>
        <v>66.5</v>
      </c>
      <c r="DE19" s="137">
        <f>BP19</f>
        <v>66.5</v>
      </c>
      <c r="DF19" s="139">
        <f t="shared" si="56"/>
        <v>66.5</v>
      </c>
      <c r="DG19" s="100"/>
      <c r="DH19" s="100"/>
      <c r="DI19" s="100"/>
      <c r="DJ19" s="100"/>
      <c r="DK19"/>
      <c r="DL19"/>
      <c r="DM19"/>
      <c r="DN19"/>
      <c r="DO19"/>
      <c r="DP19"/>
      <c r="DQ19" s="101"/>
      <c r="DR19" s="101"/>
    </row>
    <row r="20" spans="1:122" s="229" customFormat="1" ht="14.25">
      <c r="A20" s="125"/>
      <c r="B20" s="25" t="s">
        <v>125</v>
      </c>
      <c r="C20" s="26"/>
      <c r="D20" s="135">
        <f>21.956+8.455</f>
        <v>30.411000000000001</v>
      </c>
      <c r="E20" s="135">
        <f>25.337+8.455</f>
        <v>33.792000000000002</v>
      </c>
      <c r="F20" s="135">
        <f>27.937+8.455</f>
        <v>36.392000000000003</v>
      </c>
      <c r="G20" s="151">
        <f>26.347+6.209</f>
        <v>32.555999999999997</v>
      </c>
      <c r="H20" s="155">
        <f>26.551+6.265</f>
        <v>32.815999999999995</v>
      </c>
      <c r="I20" s="151">
        <f>12.174+6.265</f>
        <v>18.439</v>
      </c>
      <c r="J20" s="151">
        <f>15.115+6.272</f>
        <v>21.387</v>
      </c>
      <c r="K20" s="136">
        <f>11.173+6.475</f>
        <v>17.648</v>
      </c>
      <c r="L20" s="135">
        <f>10.95+6.485</f>
        <v>17.434999999999999</v>
      </c>
      <c r="M20" s="135">
        <f>12.226+6.559</f>
        <v>18.785</v>
      </c>
      <c r="N20" s="135">
        <f>13.412+6.588</f>
        <v>20</v>
      </c>
      <c r="O20" s="151">
        <f>13.852+6.63</f>
        <v>20.481999999999999</v>
      </c>
      <c r="P20" s="155">
        <f>15.171+6.633</f>
        <v>21.803999999999998</v>
      </c>
      <c r="Q20" s="151">
        <f>15.395+7.146</f>
        <v>22.541</v>
      </c>
      <c r="R20" s="151">
        <f>15.412+6.975</f>
        <v>22.387</v>
      </c>
      <c r="S20" s="136">
        <v>10.044</v>
      </c>
      <c r="T20" s="135">
        <v>11.185</v>
      </c>
      <c r="U20" s="135">
        <v>15.74</v>
      </c>
      <c r="V20" s="135">
        <v>15.023999999999999</v>
      </c>
      <c r="W20" s="136">
        <v>13.882999999999999</v>
      </c>
      <c r="X20" s="135">
        <v>13.475</v>
      </c>
      <c r="Y20" s="135">
        <v>14.124000000000001</v>
      </c>
      <c r="Z20" s="135">
        <v>14.051</v>
      </c>
      <c r="AA20" s="136">
        <v>11.474</v>
      </c>
      <c r="AB20" s="135">
        <v>10.444000000000001</v>
      </c>
      <c r="AC20" s="135">
        <v>9.8390000000000004</v>
      </c>
      <c r="AD20" s="135">
        <v>10.478999999999999</v>
      </c>
      <c r="AE20" s="136">
        <v>9.8640000000000008</v>
      </c>
      <c r="AF20" s="135">
        <v>10.023</v>
      </c>
      <c r="AG20" s="135">
        <v>8.3889999999999993</v>
      </c>
      <c r="AH20" s="135">
        <v>11.579000000000001</v>
      </c>
      <c r="AI20" s="136">
        <v>11.159000000000001</v>
      </c>
      <c r="AJ20" s="135">
        <v>10.771000000000001</v>
      </c>
      <c r="AK20" s="233">
        <v>10.228</v>
      </c>
      <c r="AL20" s="135">
        <v>71.715000000000003</v>
      </c>
      <c r="AM20" s="136">
        <v>72.840999999999994</v>
      </c>
      <c r="AN20" s="135">
        <v>73.667000000000002</v>
      </c>
      <c r="AO20" s="233">
        <f>75.595+13.167</f>
        <v>88.762</v>
      </c>
      <c r="AP20" s="135">
        <v>13.933</v>
      </c>
      <c r="AQ20" s="136">
        <v>14.236000000000001</v>
      </c>
      <c r="AR20" s="135">
        <v>14.388</v>
      </c>
      <c r="AS20" s="135">
        <v>13.4</v>
      </c>
      <c r="AT20" s="233">
        <v>12.9</v>
      </c>
      <c r="AU20" s="136">
        <v>11.8</v>
      </c>
      <c r="AV20" s="135">
        <v>12.8</v>
      </c>
      <c r="AW20" s="135">
        <v>12.2</v>
      </c>
      <c r="AX20" s="233">
        <v>12.2</v>
      </c>
      <c r="AY20" s="136">
        <v>11.9</v>
      </c>
      <c r="AZ20" s="135">
        <v>14.5</v>
      </c>
      <c r="BA20" s="135">
        <v>14.7</v>
      </c>
      <c r="BB20" s="233">
        <v>15.1</v>
      </c>
      <c r="BC20" s="136">
        <v>20.3</v>
      </c>
      <c r="BD20" s="235">
        <v>20.3</v>
      </c>
      <c r="BE20" s="233">
        <v>43.2</v>
      </c>
      <c r="BF20" s="233">
        <f>99.1-BF19-BF18</f>
        <v>5.4999999999999929</v>
      </c>
      <c r="BG20" s="136">
        <f>+BF20</f>
        <v>5.4999999999999929</v>
      </c>
      <c r="BH20" s="235">
        <v>56</v>
      </c>
      <c r="BI20" s="233">
        <v>55.4</v>
      </c>
      <c r="BJ20" s="233">
        <v>46.5</v>
      </c>
      <c r="BK20" s="136">
        <v>40.299999999999997</v>
      </c>
      <c r="BL20" s="235">
        <f>87.4-BL19</f>
        <v>20.900000000000006</v>
      </c>
      <c r="BM20" s="141">
        <f>(BM47*BM51)+CFS!BM32</f>
        <v>27.132438309562868</v>
      </c>
      <c r="BN20" s="141">
        <f>(BN47*BN51)+CFS!BN32</f>
        <v>27.023754509206611</v>
      </c>
      <c r="BO20" s="140">
        <f>(BO47*BO51)+CFS!BO32</f>
        <v>28.806031052013999</v>
      </c>
      <c r="BP20" s="141">
        <f>(BP47*BP51)+CFS!BP32</f>
        <v>29.028596044536368</v>
      </c>
      <c r="BQ20" s="141">
        <f>(BQ47*BQ51)+CFS!BQ32</f>
        <v>28.207514157880652</v>
      </c>
      <c r="BR20" s="141">
        <f>(BR47*BR51)+CFS!BR32</f>
        <v>28.17603317661802</v>
      </c>
      <c r="BS20" s="140">
        <f>(BS47*BS51)+CFS!BS32</f>
        <v>28.804231157074607</v>
      </c>
      <c r="BT20" s="141">
        <f>(BT47*BT51)+CFS!BT32</f>
        <v>28.957671905436246</v>
      </c>
      <c r="BU20" s="141">
        <f>(BU47*BU51)+CFS!BU32</f>
        <v>28.403413695693533</v>
      </c>
      <c r="BV20" s="141">
        <f>(BV47*BV51)+CFS!BV32</f>
        <v>28.443007886996931</v>
      </c>
      <c r="BW20" s="140">
        <f>(BW47*BW51)+CFS!BW32</f>
        <v>29.130558820475745</v>
      </c>
      <c r="BX20" s="578"/>
      <c r="BY20" s="138">
        <f>G20</f>
        <v>32.555999999999997</v>
      </c>
      <c r="BZ20" s="137">
        <f>K20</f>
        <v>17.648</v>
      </c>
      <c r="CA20" s="137">
        <f>O20</f>
        <v>20.481999999999999</v>
      </c>
      <c r="CB20" s="137">
        <f>S20</f>
        <v>10.044</v>
      </c>
      <c r="CC20" s="137">
        <f>W20</f>
        <v>13.882999999999999</v>
      </c>
      <c r="CD20" s="137">
        <f>AA20</f>
        <v>11.474</v>
      </c>
      <c r="CE20" s="137">
        <f>AE20</f>
        <v>9.8640000000000008</v>
      </c>
      <c r="CF20" s="137">
        <f>AI20</f>
        <v>11.159000000000001</v>
      </c>
      <c r="CG20" s="137">
        <f>AM20</f>
        <v>72.840999999999994</v>
      </c>
      <c r="CH20" s="137">
        <f>AQ20</f>
        <v>14.236000000000001</v>
      </c>
      <c r="CI20" s="139">
        <f>AU20</f>
        <v>11.8</v>
      </c>
      <c r="CJ20" s="138">
        <f>AY20</f>
        <v>11.9</v>
      </c>
      <c r="CK20" s="137">
        <f>BC20</f>
        <v>20.3</v>
      </c>
      <c r="CL20" s="137">
        <f>BG20</f>
        <v>5.4999999999999929</v>
      </c>
      <c r="CM20" s="137">
        <f>BK20</f>
        <v>40.299999999999997</v>
      </c>
      <c r="CN20" s="137">
        <f>BO20</f>
        <v>28.806031052013999</v>
      </c>
      <c r="CO20" s="137">
        <f>BS20</f>
        <v>28.804231157074607</v>
      </c>
      <c r="CP20" s="139">
        <f t="shared" si="55"/>
        <v>29.130558820475745</v>
      </c>
      <c r="CQ20" s="949"/>
      <c r="CR20" s="156">
        <f>P20</f>
        <v>21.803999999999998</v>
      </c>
      <c r="CS20" s="141">
        <f>T20</f>
        <v>11.185</v>
      </c>
      <c r="CT20" s="141">
        <f>X20</f>
        <v>13.475</v>
      </c>
      <c r="CU20" s="141">
        <f>AB20</f>
        <v>10.444000000000001</v>
      </c>
      <c r="CV20" s="141">
        <f>AF20</f>
        <v>10.023</v>
      </c>
      <c r="CW20" s="141">
        <f>AJ20</f>
        <v>10.771000000000001</v>
      </c>
      <c r="CX20" s="141">
        <f>AN20</f>
        <v>73.667000000000002</v>
      </c>
      <c r="CY20" s="141">
        <f>AR20</f>
        <v>14.388</v>
      </c>
      <c r="CZ20" s="141">
        <f>AV20</f>
        <v>12.8</v>
      </c>
      <c r="DA20" s="156">
        <f>AZ20</f>
        <v>14.5</v>
      </c>
      <c r="DB20" s="141">
        <f>BD20</f>
        <v>20.3</v>
      </c>
      <c r="DC20" s="141">
        <f>BH20</f>
        <v>56</v>
      </c>
      <c r="DD20" s="141">
        <f>BL20</f>
        <v>20.900000000000006</v>
      </c>
      <c r="DE20" s="141">
        <f>BP20</f>
        <v>29.028596044536368</v>
      </c>
      <c r="DF20" s="140">
        <f t="shared" si="56"/>
        <v>28.957671905436246</v>
      </c>
      <c r="DG20" s="100"/>
      <c r="DH20" s="100"/>
      <c r="DI20" s="100"/>
      <c r="DJ20" s="100"/>
      <c r="DK20"/>
      <c r="DL20"/>
      <c r="DM20"/>
      <c r="DN20"/>
      <c r="DO20"/>
      <c r="DP20"/>
      <c r="DQ20" s="101"/>
      <c r="DR20" s="101"/>
    </row>
    <row r="21" spans="1:122" s="229" customFormat="1" ht="15">
      <c r="A21" s="125"/>
      <c r="B21" s="409" t="s">
        <v>126</v>
      </c>
      <c r="C21" s="410"/>
      <c r="D21" s="153">
        <f t="shared" ref="D21:O21" si="60">SUM(D16:D20)+D14</f>
        <v>1401.643</v>
      </c>
      <c r="E21" s="153">
        <f t="shared" si="60"/>
        <v>1421.0529999999999</v>
      </c>
      <c r="F21" s="153">
        <f t="shared" si="60"/>
        <v>1410.623</v>
      </c>
      <c r="G21" s="153">
        <f t="shared" si="60"/>
        <v>1090.6680000000001</v>
      </c>
      <c r="H21" s="152">
        <f t="shared" si="60"/>
        <v>1115.722</v>
      </c>
      <c r="I21" s="153">
        <f t="shared" si="60"/>
        <v>1118.1949999999999</v>
      </c>
      <c r="J21" s="153">
        <f t="shared" si="60"/>
        <v>1161.6690000000001</v>
      </c>
      <c r="K21" s="154">
        <f t="shared" si="60"/>
        <v>1168.806</v>
      </c>
      <c r="L21" s="153">
        <f t="shared" si="60"/>
        <v>1175.3509999999999</v>
      </c>
      <c r="M21" s="153">
        <f t="shared" si="60"/>
        <v>1170.9940000000001</v>
      </c>
      <c r="N21" s="153">
        <f t="shared" si="60"/>
        <v>1181.0429999999999</v>
      </c>
      <c r="O21" s="153">
        <f t="shared" si="60"/>
        <v>1187.8430000000001</v>
      </c>
      <c r="P21" s="152">
        <f t="shared" ref="P21:W21" si="61">SUM(P16:P20)+P14</f>
        <v>1199.94</v>
      </c>
      <c r="Q21" s="153">
        <f t="shared" si="61"/>
        <v>1158.396</v>
      </c>
      <c r="R21" s="153">
        <f t="shared" si="61"/>
        <v>1166.7619999999999</v>
      </c>
      <c r="S21" s="154">
        <f t="shared" si="61"/>
        <v>1090.4960000000001</v>
      </c>
      <c r="T21" s="153">
        <f t="shared" si="61"/>
        <v>1092.413</v>
      </c>
      <c r="U21" s="153">
        <f t="shared" si="61"/>
        <v>1140.8150000000001</v>
      </c>
      <c r="V21" s="153">
        <f t="shared" si="61"/>
        <v>1164.547</v>
      </c>
      <c r="W21" s="153">
        <f t="shared" si="61"/>
        <v>1189.9079999999999</v>
      </c>
      <c r="X21" s="153">
        <f t="shared" ref="X21:AW21" si="62">SUM(X16:X20)+X14</f>
        <v>1177.7829999999999</v>
      </c>
      <c r="Y21" s="153">
        <f t="shared" si="62"/>
        <v>1208.2909999999999</v>
      </c>
      <c r="Z21" s="153">
        <f t="shared" si="62"/>
        <v>1241.008</v>
      </c>
      <c r="AA21" s="153">
        <f t="shared" si="62"/>
        <v>1236.0989999999999</v>
      </c>
      <c r="AB21" s="152">
        <f t="shared" si="62"/>
        <v>1211.6889999999999</v>
      </c>
      <c r="AC21" s="153">
        <f t="shared" si="62"/>
        <v>1214.3040000000001</v>
      </c>
      <c r="AD21" s="153">
        <f t="shared" si="62"/>
        <v>1259.259</v>
      </c>
      <c r="AE21" s="154">
        <f t="shared" si="62"/>
        <v>1352.5910000000001</v>
      </c>
      <c r="AF21" s="152">
        <f t="shared" si="62"/>
        <v>1392.404</v>
      </c>
      <c r="AG21" s="153">
        <f t="shared" si="62"/>
        <v>1403.4690000000001</v>
      </c>
      <c r="AH21" s="153">
        <f t="shared" si="62"/>
        <v>1448.232</v>
      </c>
      <c r="AI21" s="154">
        <f t="shared" si="62"/>
        <v>1564.0519999999999</v>
      </c>
      <c r="AJ21" s="152">
        <f t="shared" si="62"/>
        <v>1614.0759999999998</v>
      </c>
      <c r="AK21" s="153">
        <f t="shared" si="62"/>
        <v>1678.797</v>
      </c>
      <c r="AL21" s="153">
        <f t="shared" si="62"/>
        <v>1805.5989999999997</v>
      </c>
      <c r="AM21" s="154">
        <f t="shared" si="62"/>
        <v>1890.3890000000001</v>
      </c>
      <c r="AN21" s="152">
        <f t="shared" si="62"/>
        <v>1914.6329999999998</v>
      </c>
      <c r="AO21" s="153">
        <f t="shared" si="62"/>
        <v>2007.326</v>
      </c>
      <c r="AP21" s="153">
        <f t="shared" si="62"/>
        <v>2089.893</v>
      </c>
      <c r="AQ21" s="154">
        <f t="shared" si="62"/>
        <v>2136.6460000000002</v>
      </c>
      <c r="AR21" s="152">
        <f t="shared" si="62"/>
        <v>2151.107</v>
      </c>
      <c r="AS21" s="153">
        <f t="shared" si="62"/>
        <v>2216.9</v>
      </c>
      <c r="AT21" s="153">
        <f t="shared" si="62"/>
        <v>2217.9</v>
      </c>
      <c r="AU21" s="154">
        <f t="shared" si="62"/>
        <v>2333.0999999999995</v>
      </c>
      <c r="AV21" s="152">
        <f t="shared" si="62"/>
        <v>2435.4</v>
      </c>
      <c r="AW21" s="153">
        <f t="shared" si="62"/>
        <v>2534.6</v>
      </c>
      <c r="AX21" s="153">
        <f t="shared" ref="AX21:BG21" si="63">SUM(AX16:AX20)+AX14</f>
        <v>2688.9</v>
      </c>
      <c r="AY21" s="154">
        <f t="shared" si="63"/>
        <v>2973.8</v>
      </c>
      <c r="AZ21" s="152">
        <f t="shared" si="63"/>
        <v>3191</v>
      </c>
      <c r="BA21" s="153">
        <f t="shared" si="63"/>
        <v>3313.2000000000003</v>
      </c>
      <c r="BB21" s="153">
        <f t="shared" si="63"/>
        <v>3518.3</v>
      </c>
      <c r="BC21" s="154">
        <f t="shared" si="63"/>
        <v>3719.3999999999996</v>
      </c>
      <c r="BD21" s="152">
        <f t="shared" si="63"/>
        <v>3930.5</v>
      </c>
      <c r="BE21" s="153">
        <f t="shared" si="63"/>
        <v>3958.2</v>
      </c>
      <c r="BF21" s="153">
        <f t="shared" si="63"/>
        <v>3955.7000000000003</v>
      </c>
      <c r="BG21" s="154">
        <f t="shared" si="63"/>
        <v>3855.4</v>
      </c>
      <c r="BH21" s="152">
        <f t="shared" ref="BH21:BS21" si="64">SUM(BH16:BH20)+BH14</f>
        <v>4065.7000000000007</v>
      </c>
      <c r="BI21" s="153">
        <f t="shared" si="64"/>
        <v>4166.8</v>
      </c>
      <c r="BJ21" s="153">
        <f t="shared" si="64"/>
        <v>4310.2</v>
      </c>
      <c r="BK21" s="154">
        <f t="shared" si="64"/>
        <v>4573.5999999999995</v>
      </c>
      <c r="BL21" s="152">
        <f t="shared" ref="BL21" si="65">SUM(BL16:BL20)+BL14</f>
        <v>4594.3</v>
      </c>
      <c r="BM21" s="153">
        <f t="shared" si="64"/>
        <v>4753.5084017161935</v>
      </c>
      <c r="BN21" s="153">
        <f t="shared" si="64"/>
        <v>4908.7971666148605</v>
      </c>
      <c r="BO21" s="154">
        <f t="shared" si="64"/>
        <v>5162.5756140024869</v>
      </c>
      <c r="BP21" s="153">
        <f t="shared" si="64"/>
        <v>5452.6074388978104</v>
      </c>
      <c r="BQ21" s="153">
        <f t="shared" si="64"/>
        <v>5644.291330807353</v>
      </c>
      <c r="BR21" s="153">
        <f t="shared" si="64"/>
        <v>5854.8177679105702</v>
      </c>
      <c r="BS21" s="154">
        <f t="shared" si="64"/>
        <v>6107.7508498385359</v>
      </c>
      <c r="BT21" s="153">
        <f t="shared" ref="BT21:BW21" si="66">SUM(BT16:BT20)+BT14</f>
        <v>6372.7749776446071</v>
      </c>
      <c r="BU21" s="153">
        <f t="shared" si="66"/>
        <v>6594.5573928597651</v>
      </c>
      <c r="BV21" s="153">
        <f t="shared" si="66"/>
        <v>6836.0370257225059</v>
      </c>
      <c r="BW21" s="154">
        <f t="shared" si="66"/>
        <v>7123.4510571755627</v>
      </c>
      <c r="BX21" s="56"/>
      <c r="BY21" s="152">
        <f>SUM(BY16:BY20)+BY14</f>
        <v>1090.6680000000001</v>
      </c>
      <c r="BZ21" s="153">
        <f>SUM(BZ16:BZ20)+BZ14</f>
        <v>1168.806</v>
      </c>
      <c r="CA21" s="153">
        <f>SUM(CA16:CA20)+CA14</f>
        <v>1187.8430000000001</v>
      </c>
      <c r="CB21" s="153">
        <f>SUM(CB16:CB20)+CB14</f>
        <v>1090.4960000000001</v>
      </c>
      <c r="CC21" s="153">
        <f>SUM(CB16:CB20)+CB14</f>
        <v>1090.4960000000001</v>
      </c>
      <c r="CD21" s="153">
        <f t="shared" ref="CD21:CN21" si="67">SUM(CD16:CD20)+CD14</f>
        <v>1236.0989999999999</v>
      </c>
      <c r="CE21" s="153">
        <f t="shared" si="67"/>
        <v>1352.5910000000001</v>
      </c>
      <c r="CF21" s="153">
        <f t="shared" si="67"/>
        <v>1564.0519999999999</v>
      </c>
      <c r="CG21" s="153">
        <f t="shared" si="67"/>
        <v>1890.3890000000001</v>
      </c>
      <c r="CH21" s="153">
        <f t="shared" si="67"/>
        <v>2136.6460000000002</v>
      </c>
      <c r="CI21" s="154">
        <f t="shared" si="67"/>
        <v>2333.0999999999995</v>
      </c>
      <c r="CJ21" s="152">
        <f t="shared" si="67"/>
        <v>2973.8</v>
      </c>
      <c r="CK21" s="153">
        <f t="shared" si="67"/>
        <v>3719.3999999999996</v>
      </c>
      <c r="CL21" s="153">
        <f t="shared" si="67"/>
        <v>3855.4</v>
      </c>
      <c r="CM21" s="153">
        <f t="shared" si="67"/>
        <v>4573.5999999999995</v>
      </c>
      <c r="CN21" s="153">
        <f t="shared" si="67"/>
        <v>5162.5756140024869</v>
      </c>
      <c r="CO21" s="153">
        <f>SUM(CO16:CO20)+CO14</f>
        <v>6107.7508498385359</v>
      </c>
      <c r="CP21" s="154">
        <f>SUM(CP16:CP20)+CP14</f>
        <v>7123.4510571755627</v>
      </c>
      <c r="CQ21" s="949"/>
      <c r="CR21" s="152">
        <f>SUM(CR16:CR20)+CR14</f>
        <v>1199.94</v>
      </c>
      <c r="CS21" s="153">
        <f>SUM(CS16:CS20)+CS14</f>
        <v>1092.413</v>
      </c>
      <c r="CT21" s="153">
        <f>SUM(CT16:CT20)+CT14</f>
        <v>1177.7829999999999</v>
      </c>
      <c r="CU21" s="153">
        <f t="shared" ref="CU21:CZ21" si="68">SUM(CU16:CU20)+CU14</f>
        <v>1211.6889999999999</v>
      </c>
      <c r="CV21" s="153">
        <f t="shared" si="68"/>
        <v>1392.404</v>
      </c>
      <c r="CW21" s="153">
        <f t="shared" si="68"/>
        <v>1614.0759999999998</v>
      </c>
      <c r="CX21" s="153">
        <f t="shared" si="68"/>
        <v>1914.6329999999998</v>
      </c>
      <c r="CY21" s="153">
        <f t="shared" si="68"/>
        <v>2151.107</v>
      </c>
      <c r="CZ21" s="153">
        <f t="shared" si="68"/>
        <v>2435.4</v>
      </c>
      <c r="DA21" s="152">
        <f t="shared" ref="DA21:DF21" si="69">SUM(DA16:DA20)+DA14</f>
        <v>3191</v>
      </c>
      <c r="DB21" s="153">
        <f t="shared" si="69"/>
        <v>3930.5</v>
      </c>
      <c r="DC21" s="153">
        <f t="shared" si="69"/>
        <v>4065.7000000000007</v>
      </c>
      <c r="DD21" s="153">
        <f t="shared" si="69"/>
        <v>4594.3</v>
      </c>
      <c r="DE21" s="153">
        <f t="shared" si="69"/>
        <v>5452.6074388978104</v>
      </c>
      <c r="DF21" s="154">
        <f t="shared" si="69"/>
        <v>6372.7749776446071</v>
      </c>
      <c r="DG21" s="100"/>
      <c r="DH21" s="100"/>
      <c r="DI21" s="100"/>
      <c r="DJ21" s="100"/>
      <c r="DK21"/>
      <c r="DL21"/>
      <c r="DM21"/>
      <c r="DN21"/>
      <c r="DO21"/>
      <c r="DP21"/>
      <c r="DQ21" s="101"/>
      <c r="DR21" s="101"/>
    </row>
    <row r="22" spans="1:122" s="229" customFormat="1" ht="14.25">
      <c r="A22" s="125"/>
      <c r="B22" s="14"/>
      <c r="C22" s="24"/>
      <c r="D22" s="135"/>
      <c r="E22" s="135"/>
      <c r="F22" s="135"/>
      <c r="G22" s="151"/>
      <c r="H22" s="155"/>
      <c r="I22" s="151"/>
      <c r="J22" s="151"/>
      <c r="K22" s="136"/>
      <c r="L22" s="135"/>
      <c r="M22" s="135"/>
      <c r="N22" s="135"/>
      <c r="O22" s="151"/>
      <c r="P22" s="155"/>
      <c r="Q22" s="151"/>
      <c r="R22" s="151"/>
      <c r="S22" s="136"/>
      <c r="T22" s="135"/>
      <c r="U22" s="135"/>
      <c r="V22" s="135"/>
      <c r="W22" s="136"/>
      <c r="X22" s="135"/>
      <c r="Y22" s="135"/>
      <c r="Z22" s="135"/>
      <c r="AA22" s="136"/>
      <c r="AB22" s="135"/>
      <c r="AC22" s="135"/>
      <c r="AD22" s="135"/>
      <c r="AE22" s="136"/>
      <c r="AF22" s="370"/>
      <c r="AG22" s="371"/>
      <c r="AH22" s="135"/>
      <c r="AI22" s="136"/>
      <c r="AJ22" s="370"/>
      <c r="AK22" s="373"/>
      <c r="AL22" s="135"/>
      <c r="AM22" s="136"/>
      <c r="AN22" s="370"/>
      <c r="AO22" s="373"/>
      <c r="AP22" s="135"/>
      <c r="AQ22" s="136"/>
      <c r="AR22" s="370"/>
      <c r="AS22" s="373"/>
      <c r="AT22" s="373"/>
      <c r="AU22" s="136"/>
      <c r="AV22" s="370"/>
      <c r="AW22" s="373"/>
      <c r="AX22" s="373"/>
      <c r="AY22" s="136"/>
      <c r="AZ22" s="370"/>
      <c r="BA22" s="373"/>
      <c r="BB22" s="373"/>
      <c r="BC22" s="136"/>
      <c r="BD22" s="370"/>
      <c r="BE22" s="373"/>
      <c r="BF22" s="373"/>
      <c r="BG22" s="136"/>
      <c r="BH22" s="370"/>
      <c r="BI22" s="373"/>
      <c r="BJ22" s="373"/>
      <c r="BK22" s="136"/>
      <c r="BL22" s="370"/>
      <c r="BM22" s="373"/>
      <c r="BN22" s="373"/>
      <c r="BO22" s="374"/>
      <c r="BP22" s="373"/>
      <c r="BQ22" s="373"/>
      <c r="BR22" s="373"/>
      <c r="BS22" s="374"/>
      <c r="BT22" s="373"/>
      <c r="BU22" s="373"/>
      <c r="BV22" s="373"/>
      <c r="BW22" s="374"/>
      <c r="BX22" s="579"/>
      <c r="BY22" s="155"/>
      <c r="BZ22" s="151"/>
      <c r="CA22" s="151"/>
      <c r="CB22" s="151"/>
      <c r="CC22" s="151"/>
      <c r="CD22" s="151"/>
      <c r="CE22" s="151"/>
      <c r="CF22" s="151"/>
      <c r="CG22" s="151"/>
      <c r="CH22" s="151"/>
      <c r="CI22" s="136"/>
      <c r="CJ22" s="155"/>
      <c r="CK22" s="151"/>
      <c r="CL22" s="151"/>
      <c r="CM22" s="151"/>
      <c r="CN22" s="151"/>
      <c r="CO22" s="151"/>
      <c r="CP22" s="136"/>
      <c r="CQ22" s="949"/>
      <c r="CR22" s="155"/>
      <c r="CS22" s="151"/>
      <c r="CT22" s="151"/>
      <c r="CU22" s="151"/>
      <c r="CV22" s="151"/>
      <c r="CW22" s="151"/>
      <c r="CX22" s="151"/>
      <c r="CY22" s="151"/>
      <c r="CZ22" s="151"/>
      <c r="DA22" s="155"/>
      <c r="DB22" s="151"/>
      <c r="DC22" s="151"/>
      <c r="DD22" s="151"/>
      <c r="DE22" s="151"/>
      <c r="DF22" s="136"/>
      <c r="DG22" s="100"/>
      <c r="DH22" s="100"/>
      <c r="DI22" s="100"/>
      <c r="DJ22" s="100"/>
      <c r="DK22"/>
      <c r="DL22"/>
      <c r="DM22"/>
      <c r="DN22"/>
      <c r="DO22"/>
      <c r="DP22"/>
      <c r="DQ22" s="101"/>
      <c r="DR22" s="101"/>
    </row>
    <row r="23" spans="1:122" s="229" customFormat="1" ht="15">
      <c r="A23" s="125"/>
      <c r="B23" s="126" t="s">
        <v>127</v>
      </c>
      <c r="C23" s="127"/>
      <c r="D23" s="135"/>
      <c r="E23" s="135"/>
      <c r="F23" s="135"/>
      <c r="G23" s="151"/>
      <c r="H23" s="155"/>
      <c r="I23" s="151"/>
      <c r="J23" s="151"/>
      <c r="K23" s="136"/>
      <c r="L23" s="135"/>
      <c r="M23" s="135"/>
      <c r="N23" s="135"/>
      <c r="O23" s="151"/>
      <c r="P23" s="155"/>
      <c r="Q23" s="151"/>
      <c r="R23" s="151"/>
      <c r="S23" s="136"/>
      <c r="T23" s="135"/>
      <c r="U23" s="135"/>
      <c r="V23" s="135"/>
      <c r="W23" s="136"/>
      <c r="X23" s="135"/>
      <c r="Y23" s="135"/>
      <c r="Z23" s="135"/>
      <c r="AA23" s="136"/>
      <c r="AB23" s="135"/>
      <c r="AC23" s="135"/>
      <c r="AD23" s="135"/>
      <c r="AE23" s="136"/>
      <c r="AF23" s="135"/>
      <c r="AG23" s="135"/>
      <c r="AH23" s="135"/>
      <c r="AI23" s="136"/>
      <c r="AJ23" s="135"/>
      <c r="AK23" s="151"/>
      <c r="AL23" s="135"/>
      <c r="AM23" s="136"/>
      <c r="AN23" s="135"/>
      <c r="AO23" s="151"/>
      <c r="AP23" s="135"/>
      <c r="AQ23" s="136"/>
      <c r="AR23" s="135"/>
      <c r="AS23" s="151"/>
      <c r="AT23" s="151"/>
      <c r="AU23" s="136"/>
      <c r="AV23" s="135"/>
      <c r="AW23" s="151"/>
      <c r="AX23" s="151"/>
      <c r="AY23" s="136"/>
      <c r="AZ23" s="135"/>
      <c r="BA23" s="151"/>
      <c r="BB23" s="151"/>
      <c r="BC23" s="136"/>
      <c r="BD23" s="135"/>
      <c r="BE23" s="151"/>
      <c r="BF23" s="151"/>
      <c r="BG23" s="136"/>
      <c r="BH23" s="135"/>
      <c r="BI23" s="151"/>
      <c r="BJ23" s="151"/>
      <c r="BK23" s="136"/>
      <c r="BL23" s="135"/>
      <c r="BM23" s="151"/>
      <c r="BN23" s="151"/>
      <c r="BO23" s="136"/>
      <c r="BP23" s="155"/>
      <c r="BQ23" s="151"/>
      <c r="BR23" s="151"/>
      <c r="BS23" s="136"/>
      <c r="BT23" s="155"/>
      <c r="BU23" s="151"/>
      <c r="BV23" s="151"/>
      <c r="BW23" s="136"/>
      <c r="BX23" s="579"/>
      <c r="BY23" s="155"/>
      <c r="BZ23" s="151"/>
      <c r="CA23" s="151"/>
      <c r="CB23" s="151"/>
      <c r="CC23" s="151"/>
      <c r="CD23" s="151"/>
      <c r="CE23" s="151"/>
      <c r="CF23" s="151"/>
      <c r="CG23" s="151"/>
      <c r="CH23" s="151"/>
      <c r="CI23" s="136"/>
      <c r="CJ23" s="155"/>
      <c r="CK23" s="151"/>
      <c r="CL23" s="151"/>
      <c r="CM23" s="151"/>
      <c r="CN23" s="151"/>
      <c r="CO23" s="151"/>
      <c r="CP23" s="136"/>
      <c r="CQ23" s="949"/>
      <c r="CR23" s="155"/>
      <c r="CS23" s="151"/>
      <c r="CT23" s="151"/>
      <c r="CU23" s="151"/>
      <c r="CV23" s="151"/>
      <c r="CW23" s="151"/>
      <c r="CX23" s="151"/>
      <c r="CY23" s="151"/>
      <c r="CZ23" s="151"/>
      <c r="DA23" s="155"/>
      <c r="DB23" s="151"/>
      <c r="DC23" s="151"/>
      <c r="DD23" s="151"/>
      <c r="DE23" s="151"/>
      <c r="DF23" s="136"/>
      <c r="DG23" s="100"/>
      <c r="DH23" s="100"/>
      <c r="DI23" s="100"/>
      <c r="DJ23" s="100"/>
      <c r="DK23"/>
      <c r="DL23"/>
      <c r="DM23"/>
      <c r="DN23"/>
      <c r="DO23"/>
      <c r="DP23"/>
      <c r="DQ23" s="101"/>
      <c r="DR23" s="101"/>
    </row>
    <row r="24" spans="1:122" s="229" customFormat="1" ht="14.25">
      <c r="A24" s="125"/>
      <c r="B24" s="25" t="s">
        <v>128</v>
      </c>
      <c r="C24" s="26"/>
      <c r="D24" s="135">
        <v>0.129</v>
      </c>
      <c r="E24" s="135">
        <v>9.9000000000000005E-2</v>
      </c>
      <c r="F24" s="135">
        <v>6.4000000000000001E-2</v>
      </c>
      <c r="G24" s="151">
        <f>0.029+41.652</f>
        <v>41.681000000000004</v>
      </c>
      <c r="H24" s="155">
        <v>39.005000000000003</v>
      </c>
      <c r="I24" s="151">
        <v>45.054000000000002</v>
      </c>
      <c r="J24" s="151">
        <v>50</v>
      </c>
      <c r="K24" s="136">
        <v>50</v>
      </c>
      <c r="L24" s="135">
        <v>50</v>
      </c>
      <c r="M24" s="135">
        <v>49.218000000000004</v>
      </c>
      <c r="N24" s="135">
        <v>50</v>
      </c>
      <c r="O24" s="151">
        <v>50</v>
      </c>
      <c r="P24" s="155">
        <v>50</v>
      </c>
      <c r="Q24" s="151">
        <v>50</v>
      </c>
      <c r="R24" s="151">
        <v>50</v>
      </c>
      <c r="S24" s="136">
        <v>50</v>
      </c>
      <c r="T24" s="135">
        <v>229.33500000000001</v>
      </c>
      <c r="U24" s="135">
        <v>89.406000000000006</v>
      </c>
      <c r="V24" s="135">
        <v>99.334999999999994</v>
      </c>
      <c r="W24" s="136">
        <v>99.334999999999994</v>
      </c>
      <c r="X24" s="135">
        <v>50</v>
      </c>
      <c r="Y24" s="135">
        <v>50</v>
      </c>
      <c r="Z24" s="135">
        <v>50</v>
      </c>
      <c r="AA24" s="136">
        <v>50</v>
      </c>
      <c r="AB24" s="135">
        <v>50</v>
      </c>
      <c r="AC24" s="135">
        <v>100</v>
      </c>
      <c r="AD24" s="135">
        <v>100</v>
      </c>
      <c r="AE24" s="136">
        <v>81.864999999999995</v>
      </c>
      <c r="AF24" s="135">
        <v>77.36</v>
      </c>
      <c r="AG24" s="135">
        <v>50</v>
      </c>
      <c r="AH24" s="135">
        <v>50</v>
      </c>
      <c r="AI24" s="136">
        <v>50</v>
      </c>
      <c r="AJ24" s="135">
        <v>0</v>
      </c>
      <c r="AK24" s="151">
        <v>25.405000000000001</v>
      </c>
      <c r="AL24" s="135">
        <v>25.744</v>
      </c>
      <c r="AM24" s="136">
        <v>26.088999999999999</v>
      </c>
      <c r="AN24" s="135">
        <v>17.123000000000001</v>
      </c>
      <c r="AO24" s="151">
        <v>0</v>
      </c>
      <c r="AP24" s="135">
        <v>0</v>
      </c>
      <c r="AQ24" s="136">
        <v>0</v>
      </c>
      <c r="AR24" s="135">
        <v>0</v>
      </c>
      <c r="AS24" s="151">
        <v>0</v>
      </c>
      <c r="AT24" s="151">
        <v>0</v>
      </c>
      <c r="AU24" s="136">
        <v>0</v>
      </c>
      <c r="AV24" s="135">
        <v>0</v>
      </c>
      <c r="AW24" s="151">
        <v>0</v>
      </c>
      <c r="AX24" s="151">
        <v>0</v>
      </c>
      <c r="AY24" s="136">
        <v>0</v>
      </c>
      <c r="AZ24" s="135">
        <v>0</v>
      </c>
      <c r="BA24" s="151">
        <v>0</v>
      </c>
      <c r="BB24" s="151">
        <v>0</v>
      </c>
      <c r="BC24" s="136">
        <v>0</v>
      </c>
      <c r="BD24" s="135">
        <v>0</v>
      </c>
      <c r="BE24" s="151">
        <v>0</v>
      </c>
      <c r="BF24" s="151">
        <v>0</v>
      </c>
      <c r="BG24" s="136">
        <v>0</v>
      </c>
      <c r="BH24" s="135">
        <v>0</v>
      </c>
      <c r="BI24" s="151">
        <v>0</v>
      </c>
      <c r="BJ24" s="151">
        <v>0</v>
      </c>
      <c r="BK24" s="136">
        <v>0</v>
      </c>
      <c r="BL24" s="135">
        <v>0</v>
      </c>
      <c r="BM24" s="137">
        <f t="shared" ref="BM24:BS24" si="70">BL24</f>
        <v>0</v>
      </c>
      <c r="BN24" s="137">
        <f t="shared" si="70"/>
        <v>0</v>
      </c>
      <c r="BO24" s="139">
        <f t="shared" si="70"/>
        <v>0</v>
      </c>
      <c r="BP24" s="138">
        <f t="shared" si="70"/>
        <v>0</v>
      </c>
      <c r="BQ24" s="137">
        <f t="shared" si="70"/>
        <v>0</v>
      </c>
      <c r="BR24" s="137">
        <f t="shared" si="70"/>
        <v>0</v>
      </c>
      <c r="BS24" s="139">
        <f t="shared" si="70"/>
        <v>0</v>
      </c>
      <c r="BT24" s="138">
        <f t="shared" ref="BT24" si="71">BS24</f>
        <v>0</v>
      </c>
      <c r="BU24" s="137">
        <f t="shared" ref="BU24" si="72">BT24</f>
        <v>0</v>
      </c>
      <c r="BV24" s="137">
        <f t="shared" ref="BV24" si="73">BU24</f>
        <v>0</v>
      </c>
      <c r="BW24" s="139">
        <f t="shared" ref="BW24" si="74">BV24</f>
        <v>0</v>
      </c>
      <c r="BX24" s="580"/>
      <c r="BY24" s="138">
        <f>G24</f>
        <v>41.681000000000004</v>
      </c>
      <c r="BZ24" s="137">
        <f>K24</f>
        <v>50</v>
      </c>
      <c r="CA24" s="137">
        <f>O24</f>
        <v>50</v>
      </c>
      <c r="CB24" s="137">
        <f>S24</f>
        <v>50</v>
      </c>
      <c r="CC24" s="137">
        <f>W24</f>
        <v>99.334999999999994</v>
      </c>
      <c r="CD24" s="137">
        <f>AA24</f>
        <v>50</v>
      </c>
      <c r="CE24" s="137">
        <f>AE24</f>
        <v>81.864999999999995</v>
      </c>
      <c r="CF24" s="137">
        <f>AI24</f>
        <v>50</v>
      </c>
      <c r="CG24" s="137">
        <f>AM24</f>
        <v>26.088999999999999</v>
      </c>
      <c r="CH24" s="137">
        <f>AQ24</f>
        <v>0</v>
      </c>
      <c r="CI24" s="139">
        <f>AU24</f>
        <v>0</v>
      </c>
      <c r="CJ24" s="138">
        <f>AY24</f>
        <v>0</v>
      </c>
      <c r="CK24" s="137">
        <f>BC24</f>
        <v>0</v>
      </c>
      <c r="CL24" s="137">
        <f>BG24</f>
        <v>0</v>
      </c>
      <c r="CM24" s="137">
        <f>BK24</f>
        <v>0</v>
      </c>
      <c r="CN24" s="137">
        <f>BO24</f>
        <v>0</v>
      </c>
      <c r="CO24" s="137">
        <f>BS24</f>
        <v>0</v>
      </c>
      <c r="CP24" s="139">
        <f t="shared" ref="CP24:CP27" si="75">BW24</f>
        <v>0</v>
      </c>
      <c r="CQ24" s="949"/>
      <c r="CR24" s="138">
        <f>P24</f>
        <v>50</v>
      </c>
      <c r="CS24" s="137">
        <f>T24</f>
        <v>229.33500000000001</v>
      </c>
      <c r="CT24" s="137">
        <f>X24</f>
        <v>50</v>
      </c>
      <c r="CU24" s="137">
        <f>AB24</f>
        <v>50</v>
      </c>
      <c r="CV24" s="137">
        <f>AF24</f>
        <v>77.36</v>
      </c>
      <c r="CW24" s="137">
        <f>AJ24</f>
        <v>0</v>
      </c>
      <c r="CX24" s="137">
        <f>AN24</f>
        <v>17.123000000000001</v>
      </c>
      <c r="CY24" s="137">
        <f>AR24</f>
        <v>0</v>
      </c>
      <c r="CZ24" s="137">
        <f>AV24</f>
        <v>0</v>
      </c>
      <c r="DA24" s="138">
        <f>AZ24</f>
        <v>0</v>
      </c>
      <c r="DB24" s="137">
        <f>BD24</f>
        <v>0</v>
      </c>
      <c r="DC24" s="137">
        <f>BH24</f>
        <v>0</v>
      </c>
      <c r="DD24" s="137">
        <f>BL24</f>
        <v>0</v>
      </c>
      <c r="DE24" s="137">
        <f>BP24</f>
        <v>0</v>
      </c>
      <c r="DF24" s="139">
        <f t="shared" ref="DF24:DF27" si="76">BT24</f>
        <v>0</v>
      </c>
      <c r="DG24" s="100"/>
      <c r="DH24" s="100"/>
      <c r="DI24" s="100"/>
      <c r="DJ24" s="100"/>
      <c r="DK24"/>
      <c r="DL24"/>
      <c r="DM24"/>
      <c r="DN24"/>
      <c r="DO24"/>
      <c r="DP24"/>
      <c r="DQ24" s="101"/>
      <c r="DR24" s="101"/>
    </row>
    <row r="25" spans="1:122" s="229" customFormat="1" ht="14.25">
      <c r="A25" s="125"/>
      <c r="B25" s="25" t="s">
        <v>129</v>
      </c>
      <c r="C25" s="26"/>
      <c r="D25" s="135">
        <v>45.726999999999997</v>
      </c>
      <c r="E25" s="135">
        <v>69.331999999999994</v>
      </c>
      <c r="F25" s="135">
        <v>76.472999999999999</v>
      </c>
      <c r="G25" s="151">
        <v>50.369</v>
      </c>
      <c r="H25" s="155">
        <v>64.393000000000001</v>
      </c>
      <c r="I25" s="151">
        <v>70.031999999999996</v>
      </c>
      <c r="J25" s="151">
        <v>88.521000000000001</v>
      </c>
      <c r="K25" s="136">
        <v>73.405000000000001</v>
      </c>
      <c r="L25" s="135">
        <v>74.510000000000005</v>
      </c>
      <c r="M25" s="135">
        <v>66.540000000000006</v>
      </c>
      <c r="N25" s="135">
        <v>62.122</v>
      </c>
      <c r="O25" s="151">
        <v>72.275999999999996</v>
      </c>
      <c r="P25" s="155">
        <v>72.296000000000006</v>
      </c>
      <c r="Q25" s="151">
        <v>74.731999999999999</v>
      </c>
      <c r="R25" s="151">
        <v>75.804000000000002</v>
      </c>
      <c r="S25" s="136">
        <v>73.070999999999998</v>
      </c>
      <c r="T25" s="135">
        <v>56.067999999999998</v>
      </c>
      <c r="U25" s="135">
        <v>60.698</v>
      </c>
      <c r="V25" s="135">
        <v>57.676000000000002</v>
      </c>
      <c r="W25" s="136">
        <v>56.417000000000002</v>
      </c>
      <c r="X25" s="135">
        <v>69.227000000000004</v>
      </c>
      <c r="Y25" s="135">
        <v>76.691000000000003</v>
      </c>
      <c r="Z25" s="135">
        <v>69.239000000000004</v>
      </c>
      <c r="AA25" s="136">
        <v>58.527000000000001</v>
      </c>
      <c r="AB25" s="135">
        <v>52.578000000000003</v>
      </c>
      <c r="AC25" s="135">
        <v>48.097999999999999</v>
      </c>
      <c r="AD25" s="135">
        <v>49.564999999999998</v>
      </c>
      <c r="AE25" s="136">
        <v>69.097999999999999</v>
      </c>
      <c r="AF25" s="135">
        <v>76.945999999999998</v>
      </c>
      <c r="AG25" s="135">
        <v>76.596999999999994</v>
      </c>
      <c r="AH25" s="135">
        <v>102.58799999999999</v>
      </c>
      <c r="AI25" s="136">
        <v>111.967</v>
      </c>
      <c r="AJ25" s="135">
        <v>120.535</v>
      </c>
      <c r="AK25" s="151">
        <v>111.949</v>
      </c>
      <c r="AL25" s="135">
        <v>116.648</v>
      </c>
      <c r="AM25" s="136">
        <v>115.29</v>
      </c>
      <c r="AN25" s="135">
        <v>96.03</v>
      </c>
      <c r="AO25" s="151">
        <v>136.67699999999999</v>
      </c>
      <c r="AP25" s="135">
        <v>135.59700000000001</v>
      </c>
      <c r="AQ25" s="136">
        <v>140.583</v>
      </c>
      <c r="AR25" s="135">
        <v>111.36199999999999</v>
      </c>
      <c r="AS25" s="135">
        <v>111.5</v>
      </c>
      <c r="AT25" s="151">
        <v>115.2</v>
      </c>
      <c r="AU25" s="136">
        <v>126.5</v>
      </c>
      <c r="AV25" s="135">
        <v>107.3</v>
      </c>
      <c r="AW25" s="135">
        <v>125.8</v>
      </c>
      <c r="AX25" s="151">
        <v>164</v>
      </c>
      <c r="AY25" s="136">
        <v>200.6</v>
      </c>
      <c r="AZ25" s="135">
        <v>211</v>
      </c>
      <c r="BA25" s="135">
        <v>231</v>
      </c>
      <c r="BB25" s="151">
        <v>228.2</v>
      </c>
      <c r="BC25" s="136">
        <v>291.10000000000002</v>
      </c>
      <c r="BD25" s="135">
        <v>191.8</v>
      </c>
      <c r="BE25" s="135">
        <v>180.7</v>
      </c>
      <c r="BF25" s="151">
        <v>181.7</v>
      </c>
      <c r="BG25" s="136">
        <v>110.4</v>
      </c>
      <c r="BH25" s="135">
        <v>161.5</v>
      </c>
      <c r="BI25" s="135">
        <v>163.80000000000001</v>
      </c>
      <c r="BJ25" s="151">
        <v>178.7</v>
      </c>
      <c r="BK25" s="136">
        <v>258.39999999999998</v>
      </c>
      <c r="BL25" s="135">
        <v>161.6</v>
      </c>
      <c r="BM25" s="137">
        <f t="shared" ref="BM25:BS25" si="77">BM44*BM50/91</f>
        <v>147.87082845659342</v>
      </c>
      <c r="BN25" s="137">
        <f t="shared" si="77"/>
        <v>141.8132164394176</v>
      </c>
      <c r="BO25" s="139">
        <f t="shared" si="77"/>
        <v>168.17130131636793</v>
      </c>
      <c r="BP25" s="138">
        <f t="shared" si="77"/>
        <v>209.99301734756983</v>
      </c>
      <c r="BQ25" s="137">
        <f t="shared" si="77"/>
        <v>191.82248133349336</v>
      </c>
      <c r="BR25" s="137">
        <f t="shared" si="77"/>
        <v>191.67225257250891</v>
      </c>
      <c r="BS25" s="139">
        <f t="shared" si="77"/>
        <v>205.55675175110375</v>
      </c>
      <c r="BT25" s="138">
        <f t="shared" ref="BT25:BW25" si="78">BT44*BT50/91</f>
        <v>214.28559090970941</v>
      </c>
      <c r="BU25" s="137">
        <f t="shared" si="78"/>
        <v>202.68375262209369</v>
      </c>
      <c r="BV25" s="137">
        <f t="shared" si="78"/>
        <v>205.10772291205657</v>
      </c>
      <c r="BW25" s="139">
        <f t="shared" si="78"/>
        <v>221.76970723919163</v>
      </c>
      <c r="BX25" s="580"/>
      <c r="BY25" s="138">
        <f>G25</f>
        <v>50.369</v>
      </c>
      <c r="BZ25" s="137">
        <f>K25</f>
        <v>73.405000000000001</v>
      </c>
      <c r="CA25" s="137">
        <f>O25</f>
        <v>72.275999999999996</v>
      </c>
      <c r="CB25" s="137">
        <f>S25</f>
        <v>73.070999999999998</v>
      </c>
      <c r="CC25" s="137">
        <f>W25</f>
        <v>56.417000000000002</v>
      </c>
      <c r="CD25" s="137">
        <f>AA25</f>
        <v>58.527000000000001</v>
      </c>
      <c r="CE25" s="137">
        <f>AE25</f>
        <v>69.097999999999999</v>
      </c>
      <c r="CF25" s="137">
        <f>AI25</f>
        <v>111.967</v>
      </c>
      <c r="CG25" s="137">
        <f>AM25</f>
        <v>115.29</v>
      </c>
      <c r="CH25" s="137">
        <f>AQ25</f>
        <v>140.583</v>
      </c>
      <c r="CI25" s="139">
        <f>AU25</f>
        <v>126.5</v>
      </c>
      <c r="CJ25" s="138">
        <f>AY25</f>
        <v>200.6</v>
      </c>
      <c r="CK25" s="137">
        <f>BC25</f>
        <v>291.10000000000002</v>
      </c>
      <c r="CL25" s="137">
        <f>BG25</f>
        <v>110.4</v>
      </c>
      <c r="CM25" s="137">
        <f>BK25</f>
        <v>258.39999999999998</v>
      </c>
      <c r="CN25" s="137">
        <f>BO25</f>
        <v>168.17130131636793</v>
      </c>
      <c r="CO25" s="137">
        <f>BS25</f>
        <v>205.55675175110375</v>
      </c>
      <c r="CP25" s="139">
        <f t="shared" si="75"/>
        <v>221.76970723919163</v>
      </c>
      <c r="CQ25" s="949"/>
      <c r="CR25" s="138">
        <f>P25</f>
        <v>72.296000000000006</v>
      </c>
      <c r="CS25" s="137">
        <f>T25</f>
        <v>56.067999999999998</v>
      </c>
      <c r="CT25" s="137">
        <f>X25</f>
        <v>69.227000000000004</v>
      </c>
      <c r="CU25" s="137">
        <f>AB25</f>
        <v>52.578000000000003</v>
      </c>
      <c r="CV25" s="137">
        <f>AF25</f>
        <v>76.945999999999998</v>
      </c>
      <c r="CW25" s="137">
        <f>AJ25</f>
        <v>120.535</v>
      </c>
      <c r="CX25" s="137">
        <f>AN25</f>
        <v>96.03</v>
      </c>
      <c r="CY25" s="137">
        <f>AR25</f>
        <v>111.36199999999999</v>
      </c>
      <c r="CZ25" s="137">
        <f>AV25</f>
        <v>107.3</v>
      </c>
      <c r="DA25" s="138">
        <f>AZ25</f>
        <v>211</v>
      </c>
      <c r="DB25" s="137">
        <f>BD25</f>
        <v>191.8</v>
      </c>
      <c r="DC25" s="137">
        <f>BH25</f>
        <v>161.5</v>
      </c>
      <c r="DD25" s="137">
        <f>BL25</f>
        <v>161.6</v>
      </c>
      <c r="DE25" s="137">
        <f>BP25</f>
        <v>209.99301734756983</v>
      </c>
      <c r="DF25" s="139">
        <f t="shared" si="76"/>
        <v>214.28559090970941</v>
      </c>
      <c r="DG25" s="100"/>
      <c r="DH25" s="100"/>
      <c r="DI25" s="100"/>
      <c r="DJ25" s="100"/>
      <c r="DK25"/>
      <c r="DL25"/>
      <c r="DM25"/>
      <c r="DN25"/>
      <c r="DO25"/>
      <c r="DP25"/>
      <c r="DQ25" s="101"/>
      <c r="DR25" s="101"/>
    </row>
    <row r="26" spans="1:122" s="229" customFormat="1" ht="14.25">
      <c r="A26" s="125"/>
      <c r="B26" s="25" t="s">
        <v>172</v>
      </c>
      <c r="C26" s="26"/>
      <c r="D26" s="135">
        <v>20.239000000000001</v>
      </c>
      <c r="E26" s="135">
        <v>18.34</v>
      </c>
      <c r="F26" s="135">
        <v>17.826000000000001</v>
      </c>
      <c r="G26" s="151">
        <v>16.963000000000001</v>
      </c>
      <c r="H26" s="155">
        <v>27.155999999999999</v>
      </c>
      <c r="I26" s="151">
        <v>21.527999999999999</v>
      </c>
      <c r="J26" s="151">
        <v>32.860999999999997</v>
      </c>
      <c r="K26" s="136">
        <v>36.630000000000003</v>
      </c>
      <c r="L26" s="135">
        <v>27.34</v>
      </c>
      <c r="M26" s="135">
        <v>24.048999999999999</v>
      </c>
      <c r="N26" s="135">
        <v>29.321999999999999</v>
      </c>
      <c r="O26" s="151">
        <v>19.678999999999998</v>
      </c>
      <c r="P26" s="155">
        <v>27.356000000000002</v>
      </c>
      <c r="Q26" s="151">
        <v>22.648</v>
      </c>
      <c r="R26" s="151">
        <v>26.946000000000002</v>
      </c>
      <c r="S26" s="136">
        <v>25.297000000000001</v>
      </c>
      <c r="T26" s="135">
        <v>31.931000000000001</v>
      </c>
      <c r="U26" s="135">
        <v>29.306999999999999</v>
      </c>
      <c r="V26" s="135">
        <v>29.731999999999999</v>
      </c>
      <c r="W26" s="136">
        <v>28.391999999999999</v>
      </c>
      <c r="X26" s="135">
        <v>29.951000000000001</v>
      </c>
      <c r="Y26" s="135">
        <v>28.966999999999999</v>
      </c>
      <c r="Z26" s="135">
        <v>29.167999999999999</v>
      </c>
      <c r="AA26" s="136">
        <v>32.11</v>
      </c>
      <c r="AB26" s="135">
        <v>23.260999999999999</v>
      </c>
      <c r="AC26" s="135">
        <v>21.032</v>
      </c>
      <c r="AD26" s="135">
        <v>23.401</v>
      </c>
      <c r="AE26" s="136">
        <v>29.449000000000002</v>
      </c>
      <c r="AF26" s="135">
        <v>25.245000000000001</v>
      </c>
      <c r="AG26" s="135">
        <v>29.108000000000001</v>
      </c>
      <c r="AH26" s="135">
        <v>28.888000000000002</v>
      </c>
      <c r="AI26" s="136">
        <v>35.695</v>
      </c>
      <c r="AJ26" s="135">
        <v>29.454000000000001</v>
      </c>
      <c r="AK26" s="151">
        <v>32.892000000000003</v>
      </c>
      <c r="AL26" s="135">
        <v>101.95699999999999</v>
      </c>
      <c r="AM26" s="136">
        <v>105.717</v>
      </c>
      <c r="AN26" s="135">
        <v>99.349000000000004</v>
      </c>
      <c r="AO26" s="151">
        <v>31.35</v>
      </c>
      <c r="AP26" s="135">
        <v>32.732999999999997</v>
      </c>
      <c r="AQ26" s="136">
        <v>31.338999999999999</v>
      </c>
      <c r="AR26" s="135">
        <v>30.806999999999999</v>
      </c>
      <c r="AS26" s="135">
        <v>35.5</v>
      </c>
      <c r="AT26" s="151">
        <v>34.6</v>
      </c>
      <c r="AU26" s="136">
        <v>41.2</v>
      </c>
      <c r="AV26" s="135">
        <v>38.799999999999997</v>
      </c>
      <c r="AW26" s="135">
        <v>48.6</v>
      </c>
      <c r="AX26" s="151">
        <v>61.8</v>
      </c>
      <c r="AY26" s="136">
        <v>70.7</v>
      </c>
      <c r="AZ26" s="135">
        <v>54.6</v>
      </c>
      <c r="BA26" s="135">
        <v>57.8</v>
      </c>
      <c r="BB26" s="151">
        <v>77.3</v>
      </c>
      <c r="BC26" s="136">
        <v>81.5</v>
      </c>
      <c r="BD26" s="135">
        <v>57.4</v>
      </c>
      <c r="BE26" s="135">
        <v>54.6</v>
      </c>
      <c r="BF26" s="151">
        <f>+BE26</f>
        <v>54.6</v>
      </c>
      <c r="BG26" s="136">
        <f>+BF26</f>
        <v>54.6</v>
      </c>
      <c r="BH26" s="135">
        <v>57.1</v>
      </c>
      <c r="BI26" s="135">
        <v>50.9</v>
      </c>
      <c r="BJ26" s="151">
        <v>67.7</v>
      </c>
      <c r="BK26" s="136">
        <v>68.099999999999994</v>
      </c>
      <c r="BL26" s="135">
        <f>159.9-BL27</f>
        <v>98.5</v>
      </c>
      <c r="BM26" s="137">
        <f t="shared" ref="BM26:BO27" si="79">BL26</f>
        <v>98.5</v>
      </c>
      <c r="BN26" s="137">
        <f t="shared" si="79"/>
        <v>98.5</v>
      </c>
      <c r="BO26" s="139">
        <f t="shared" si="79"/>
        <v>98.5</v>
      </c>
      <c r="BP26" s="138">
        <f t="shared" ref="BP26:BS27" si="80">BO26</f>
        <v>98.5</v>
      </c>
      <c r="BQ26" s="137">
        <f t="shared" si="80"/>
        <v>98.5</v>
      </c>
      <c r="BR26" s="137">
        <f t="shared" si="80"/>
        <v>98.5</v>
      </c>
      <c r="BS26" s="139">
        <f t="shared" si="80"/>
        <v>98.5</v>
      </c>
      <c r="BT26" s="138">
        <f t="shared" ref="BT26:BT27" si="81">BS26</f>
        <v>98.5</v>
      </c>
      <c r="BU26" s="137">
        <f t="shared" ref="BU26:BU27" si="82">BT26</f>
        <v>98.5</v>
      </c>
      <c r="BV26" s="137">
        <f t="shared" ref="BV26:BV27" si="83">BU26</f>
        <v>98.5</v>
      </c>
      <c r="BW26" s="139">
        <f t="shared" ref="BW26:BW27" si="84">BV26</f>
        <v>98.5</v>
      </c>
      <c r="BX26" s="580"/>
      <c r="BY26" s="138">
        <f>G26</f>
        <v>16.963000000000001</v>
      </c>
      <c r="BZ26" s="137">
        <f>K26</f>
        <v>36.630000000000003</v>
      </c>
      <c r="CA26" s="137">
        <f>O26</f>
        <v>19.678999999999998</v>
      </c>
      <c r="CB26" s="137">
        <f>S26</f>
        <v>25.297000000000001</v>
      </c>
      <c r="CC26" s="137">
        <f>W26</f>
        <v>28.391999999999999</v>
      </c>
      <c r="CD26" s="137">
        <f>AA26</f>
        <v>32.11</v>
      </c>
      <c r="CE26" s="137">
        <f>AE26</f>
        <v>29.449000000000002</v>
      </c>
      <c r="CF26" s="137">
        <f>AI26</f>
        <v>35.695</v>
      </c>
      <c r="CG26" s="137">
        <f>AM26</f>
        <v>105.717</v>
      </c>
      <c r="CH26" s="137">
        <f>AQ26</f>
        <v>31.338999999999999</v>
      </c>
      <c r="CI26" s="139">
        <f>AU26</f>
        <v>41.2</v>
      </c>
      <c r="CJ26" s="138">
        <f>AY26</f>
        <v>70.7</v>
      </c>
      <c r="CK26" s="137">
        <f>BC26</f>
        <v>81.5</v>
      </c>
      <c r="CL26" s="137">
        <f>BG26</f>
        <v>54.6</v>
      </c>
      <c r="CM26" s="137">
        <f>BK26</f>
        <v>68.099999999999994</v>
      </c>
      <c r="CN26" s="137">
        <f>BO26</f>
        <v>98.5</v>
      </c>
      <c r="CO26" s="137">
        <f>BS26</f>
        <v>98.5</v>
      </c>
      <c r="CP26" s="139">
        <f t="shared" si="75"/>
        <v>98.5</v>
      </c>
      <c r="CQ26" s="949"/>
      <c r="CR26" s="138">
        <f>P26</f>
        <v>27.356000000000002</v>
      </c>
      <c r="CS26" s="137">
        <f>T26</f>
        <v>31.931000000000001</v>
      </c>
      <c r="CT26" s="137">
        <f>X26</f>
        <v>29.951000000000001</v>
      </c>
      <c r="CU26" s="137">
        <f>AB26</f>
        <v>23.260999999999999</v>
      </c>
      <c r="CV26" s="137">
        <f>AF26</f>
        <v>25.245000000000001</v>
      </c>
      <c r="CW26" s="137">
        <f>AJ26</f>
        <v>29.454000000000001</v>
      </c>
      <c r="CX26" s="137">
        <f>AN26</f>
        <v>99.349000000000004</v>
      </c>
      <c r="CY26" s="137">
        <f>AR26</f>
        <v>30.806999999999999</v>
      </c>
      <c r="CZ26" s="137">
        <f>AV26</f>
        <v>38.799999999999997</v>
      </c>
      <c r="DA26" s="138">
        <f>AZ26</f>
        <v>54.6</v>
      </c>
      <c r="DB26" s="137">
        <f>BD26</f>
        <v>57.4</v>
      </c>
      <c r="DC26" s="137">
        <f>BH26</f>
        <v>57.1</v>
      </c>
      <c r="DD26" s="137">
        <f>BL26</f>
        <v>98.5</v>
      </c>
      <c r="DE26" s="137">
        <f>BP26</f>
        <v>98.5</v>
      </c>
      <c r="DF26" s="139">
        <f t="shared" si="76"/>
        <v>98.5</v>
      </c>
      <c r="DG26" s="100"/>
      <c r="DH26" s="100"/>
      <c r="DI26" s="100"/>
      <c r="DJ26" s="100"/>
      <c r="DK26"/>
      <c r="DL26"/>
      <c r="DM26"/>
      <c r="DN26"/>
      <c r="DO26"/>
      <c r="DP26"/>
      <c r="DQ26" s="101"/>
      <c r="DR26" s="101"/>
    </row>
    <row r="27" spans="1:122" s="229" customFormat="1" ht="14.25">
      <c r="A27" s="125"/>
      <c r="B27" s="407" t="s">
        <v>130</v>
      </c>
      <c r="C27" s="408"/>
      <c r="D27" s="235">
        <v>37.866</v>
      </c>
      <c r="E27" s="233">
        <v>40.621000000000002</v>
      </c>
      <c r="F27" s="233">
        <v>27.225000000000001</v>
      </c>
      <c r="G27" s="233">
        <v>27.803000000000001</v>
      </c>
      <c r="H27" s="235">
        <v>25.047000000000001</v>
      </c>
      <c r="I27" s="233">
        <v>26.181000000000001</v>
      </c>
      <c r="J27" s="233">
        <v>20.835999999999999</v>
      </c>
      <c r="K27" s="237">
        <v>21.216000000000001</v>
      </c>
      <c r="L27" s="233">
        <v>16.175000000000001</v>
      </c>
      <c r="M27" s="233">
        <v>18.777000000000001</v>
      </c>
      <c r="N27" s="233">
        <v>15.188000000000001</v>
      </c>
      <c r="O27" s="233">
        <v>16.28</v>
      </c>
      <c r="P27" s="235">
        <v>12.06</v>
      </c>
      <c r="Q27" s="233">
        <v>14.036</v>
      </c>
      <c r="R27" s="233">
        <v>8.9309999999999992</v>
      </c>
      <c r="S27" s="237">
        <v>27.251999999999999</v>
      </c>
      <c r="T27" s="233">
        <v>21.550999999999998</v>
      </c>
      <c r="U27" s="233">
        <v>17.760000000000002</v>
      </c>
      <c r="V27" s="233">
        <v>15.468</v>
      </c>
      <c r="W27" s="237">
        <v>13.079000000000001</v>
      </c>
      <c r="X27" s="235">
        <v>10.198</v>
      </c>
      <c r="Y27" s="233">
        <v>8.3059999999999992</v>
      </c>
      <c r="Z27" s="233">
        <v>8.4440000000000008</v>
      </c>
      <c r="AA27" s="237">
        <v>8.1029999999999998</v>
      </c>
      <c r="AB27" s="235">
        <v>9.4700000000000006</v>
      </c>
      <c r="AC27" s="233">
        <v>14.163</v>
      </c>
      <c r="AD27" s="233">
        <v>18.968</v>
      </c>
      <c r="AE27" s="136">
        <v>15.831</v>
      </c>
      <c r="AF27" s="235">
        <v>17.245000000000001</v>
      </c>
      <c r="AG27" s="233">
        <v>14.507999999999999</v>
      </c>
      <c r="AH27" s="233">
        <v>9.6430000000000007</v>
      </c>
      <c r="AI27" s="136">
        <v>6.6619999999999999</v>
      </c>
      <c r="AJ27" s="235">
        <v>7.077</v>
      </c>
      <c r="AK27" s="151">
        <v>6.1980000000000004</v>
      </c>
      <c r="AL27" s="233">
        <v>0</v>
      </c>
      <c r="AM27" s="136">
        <v>0</v>
      </c>
      <c r="AN27" s="235">
        <v>0</v>
      </c>
      <c r="AO27" s="151">
        <v>74.614999999999995</v>
      </c>
      <c r="AP27" s="233">
        <v>71.241</v>
      </c>
      <c r="AQ27" s="136">
        <v>10.782</v>
      </c>
      <c r="AR27" s="235">
        <v>13.519</v>
      </c>
      <c r="AS27" s="233">
        <v>15.6</v>
      </c>
      <c r="AT27" s="151">
        <v>9.1999999999999993</v>
      </c>
      <c r="AU27" s="136">
        <v>12</v>
      </c>
      <c r="AV27" s="235">
        <v>19.7</v>
      </c>
      <c r="AW27" s="233">
        <v>8.4</v>
      </c>
      <c r="AX27" s="151">
        <v>9</v>
      </c>
      <c r="AY27" s="136">
        <v>26.3</v>
      </c>
      <c r="AZ27" s="235">
        <v>67.3</v>
      </c>
      <c r="BA27" s="233">
        <v>9.8000000000000007</v>
      </c>
      <c r="BB27" s="151">
        <v>13.5</v>
      </c>
      <c r="BC27" s="136">
        <v>91.3</v>
      </c>
      <c r="BD27" s="235">
        <f>4.8+113.9</f>
        <v>118.7</v>
      </c>
      <c r="BE27" s="233">
        <v>89.4</v>
      </c>
      <c r="BF27" s="151">
        <f>165.3-BF26</f>
        <v>110.70000000000002</v>
      </c>
      <c r="BG27" s="136">
        <f>99.8-BG26</f>
        <v>45.199999999999996</v>
      </c>
      <c r="BH27" s="235">
        <v>84.8</v>
      </c>
      <c r="BI27" s="233">
        <v>52.2</v>
      </c>
      <c r="BJ27" s="151">
        <v>54.4</v>
      </c>
      <c r="BK27" s="136">
        <v>61.4</v>
      </c>
      <c r="BL27" s="235">
        <f>BK27</f>
        <v>61.4</v>
      </c>
      <c r="BM27" s="137">
        <f t="shared" si="79"/>
        <v>61.4</v>
      </c>
      <c r="BN27" s="137">
        <f t="shared" si="79"/>
        <v>61.4</v>
      </c>
      <c r="BO27" s="139">
        <f t="shared" si="79"/>
        <v>61.4</v>
      </c>
      <c r="BP27" s="138">
        <f t="shared" si="80"/>
        <v>61.4</v>
      </c>
      <c r="BQ27" s="137">
        <f t="shared" si="80"/>
        <v>61.4</v>
      </c>
      <c r="BR27" s="137">
        <f t="shared" si="80"/>
        <v>61.4</v>
      </c>
      <c r="BS27" s="139">
        <f t="shared" si="80"/>
        <v>61.4</v>
      </c>
      <c r="BT27" s="138">
        <f t="shared" si="81"/>
        <v>61.4</v>
      </c>
      <c r="BU27" s="137">
        <f t="shared" si="82"/>
        <v>61.4</v>
      </c>
      <c r="BV27" s="137">
        <f t="shared" si="83"/>
        <v>61.4</v>
      </c>
      <c r="BW27" s="139">
        <f t="shared" si="84"/>
        <v>61.4</v>
      </c>
      <c r="BX27" s="580"/>
      <c r="BY27" s="156">
        <f>G27</f>
        <v>27.803000000000001</v>
      </c>
      <c r="BZ27" s="141">
        <f>K27</f>
        <v>21.216000000000001</v>
      </c>
      <c r="CA27" s="141">
        <f>O27</f>
        <v>16.28</v>
      </c>
      <c r="CB27" s="141">
        <f>S27</f>
        <v>27.251999999999999</v>
      </c>
      <c r="CC27" s="141">
        <f>W27</f>
        <v>13.079000000000001</v>
      </c>
      <c r="CD27" s="141">
        <f>AA27</f>
        <v>8.1029999999999998</v>
      </c>
      <c r="CE27" s="141">
        <f>AE27</f>
        <v>15.831</v>
      </c>
      <c r="CF27" s="141">
        <f>AI27</f>
        <v>6.6619999999999999</v>
      </c>
      <c r="CG27" s="141">
        <f>AM27</f>
        <v>0</v>
      </c>
      <c r="CH27" s="141">
        <f>AQ27</f>
        <v>10.782</v>
      </c>
      <c r="CI27" s="140">
        <f>AU27</f>
        <v>12</v>
      </c>
      <c r="CJ27" s="156">
        <f>AY27</f>
        <v>26.3</v>
      </c>
      <c r="CK27" s="141">
        <f>BC27</f>
        <v>91.3</v>
      </c>
      <c r="CL27" s="141">
        <f>BG27</f>
        <v>45.199999999999996</v>
      </c>
      <c r="CM27" s="141">
        <f>BK27</f>
        <v>61.4</v>
      </c>
      <c r="CN27" s="141">
        <f>BO27</f>
        <v>61.4</v>
      </c>
      <c r="CO27" s="141">
        <f>BS27</f>
        <v>61.4</v>
      </c>
      <c r="CP27" s="140">
        <f t="shared" si="75"/>
        <v>61.4</v>
      </c>
      <c r="CQ27" s="949"/>
      <c r="CR27" s="156">
        <f>P27</f>
        <v>12.06</v>
      </c>
      <c r="CS27" s="141">
        <f>T27</f>
        <v>21.550999999999998</v>
      </c>
      <c r="CT27" s="141">
        <f>X27</f>
        <v>10.198</v>
      </c>
      <c r="CU27" s="141">
        <f>AB27</f>
        <v>9.4700000000000006</v>
      </c>
      <c r="CV27" s="141">
        <f>AF27</f>
        <v>17.245000000000001</v>
      </c>
      <c r="CW27" s="141">
        <f>AJ27</f>
        <v>7.077</v>
      </c>
      <c r="CX27" s="141">
        <f>AN27</f>
        <v>0</v>
      </c>
      <c r="CY27" s="141">
        <f>AR27</f>
        <v>13.519</v>
      </c>
      <c r="CZ27" s="141">
        <f>AV27</f>
        <v>19.7</v>
      </c>
      <c r="DA27" s="156">
        <f>AZ27</f>
        <v>67.3</v>
      </c>
      <c r="DB27" s="141">
        <f>BD27</f>
        <v>118.7</v>
      </c>
      <c r="DC27" s="141">
        <f>BH27</f>
        <v>84.8</v>
      </c>
      <c r="DD27" s="141">
        <f>BL27</f>
        <v>61.4</v>
      </c>
      <c r="DE27" s="141">
        <f>BP27</f>
        <v>61.4</v>
      </c>
      <c r="DF27" s="140">
        <f t="shared" si="76"/>
        <v>61.4</v>
      </c>
      <c r="DG27" s="100"/>
      <c r="DH27" s="100"/>
      <c r="DI27" s="100"/>
      <c r="DJ27" s="100"/>
      <c r="DK27"/>
      <c r="DL27"/>
      <c r="DM27"/>
      <c r="DN27"/>
      <c r="DO27"/>
      <c r="DP27"/>
      <c r="DQ27" s="101"/>
      <c r="DR27" s="101"/>
    </row>
    <row r="28" spans="1:122" s="229" customFormat="1" ht="15">
      <c r="A28" s="125"/>
      <c r="B28" s="157" t="s">
        <v>131</v>
      </c>
      <c r="C28" s="158"/>
      <c r="D28" s="147">
        <f t="shared" ref="D28:O28" si="85">SUM(D24:D27)</f>
        <v>103.961</v>
      </c>
      <c r="E28" s="147">
        <f t="shared" si="85"/>
        <v>128.392</v>
      </c>
      <c r="F28" s="147">
        <f t="shared" si="85"/>
        <v>121.58799999999999</v>
      </c>
      <c r="G28" s="147">
        <f t="shared" si="85"/>
        <v>136.816</v>
      </c>
      <c r="H28" s="161">
        <f t="shared" si="85"/>
        <v>155.601</v>
      </c>
      <c r="I28" s="147">
        <f t="shared" si="85"/>
        <v>162.79500000000002</v>
      </c>
      <c r="J28" s="147">
        <f t="shared" si="85"/>
        <v>192.21800000000002</v>
      </c>
      <c r="K28" s="148">
        <f t="shared" si="85"/>
        <v>181.251</v>
      </c>
      <c r="L28" s="147">
        <f t="shared" si="85"/>
        <v>168.02500000000001</v>
      </c>
      <c r="M28" s="147">
        <f t="shared" si="85"/>
        <v>158.584</v>
      </c>
      <c r="N28" s="147">
        <f t="shared" si="85"/>
        <v>156.63199999999998</v>
      </c>
      <c r="O28" s="147">
        <f t="shared" si="85"/>
        <v>158.23499999999999</v>
      </c>
      <c r="P28" s="161">
        <f t="shared" ref="P28:W28" si="86">SUM(P24:P27)</f>
        <v>161.71200000000002</v>
      </c>
      <c r="Q28" s="147">
        <f t="shared" si="86"/>
        <v>161.416</v>
      </c>
      <c r="R28" s="147">
        <f t="shared" si="86"/>
        <v>161.68100000000001</v>
      </c>
      <c r="S28" s="148">
        <f t="shared" si="86"/>
        <v>175.62</v>
      </c>
      <c r="T28" s="147">
        <f t="shared" si="86"/>
        <v>338.88499999999999</v>
      </c>
      <c r="U28" s="147">
        <f t="shared" si="86"/>
        <v>197.17099999999999</v>
      </c>
      <c r="V28" s="147">
        <f t="shared" si="86"/>
        <v>202.21099999999998</v>
      </c>
      <c r="W28" s="147">
        <f t="shared" si="86"/>
        <v>197.22300000000001</v>
      </c>
      <c r="X28" s="147">
        <f t="shared" ref="X28:AH28" si="87">SUM(X24:X27)</f>
        <v>159.376</v>
      </c>
      <c r="Y28" s="147">
        <f t="shared" si="87"/>
        <v>163.96400000000003</v>
      </c>
      <c r="Z28" s="147">
        <f t="shared" si="87"/>
        <v>156.851</v>
      </c>
      <c r="AA28" s="147">
        <f t="shared" si="87"/>
        <v>148.74</v>
      </c>
      <c r="AB28" s="144">
        <f t="shared" si="87"/>
        <v>135.309</v>
      </c>
      <c r="AC28" s="147">
        <f t="shared" si="87"/>
        <v>183.29300000000003</v>
      </c>
      <c r="AD28" s="147">
        <f t="shared" si="87"/>
        <v>191.934</v>
      </c>
      <c r="AE28" s="146">
        <f t="shared" si="87"/>
        <v>196.24299999999999</v>
      </c>
      <c r="AF28" s="144">
        <f t="shared" si="87"/>
        <v>196.79599999999999</v>
      </c>
      <c r="AG28" s="147">
        <f t="shared" si="87"/>
        <v>170.21299999999999</v>
      </c>
      <c r="AH28" s="147">
        <f t="shared" si="87"/>
        <v>191.119</v>
      </c>
      <c r="AI28" s="146">
        <f t="shared" ref="AI28:AW28" si="88">SUM(AI24:AI27)</f>
        <v>204.32399999999998</v>
      </c>
      <c r="AJ28" s="144">
        <f t="shared" si="88"/>
        <v>157.066</v>
      </c>
      <c r="AK28" s="145">
        <f t="shared" si="88"/>
        <v>176.44399999999999</v>
      </c>
      <c r="AL28" s="147">
        <f t="shared" si="88"/>
        <v>244.34899999999999</v>
      </c>
      <c r="AM28" s="146">
        <f t="shared" si="88"/>
        <v>247.096</v>
      </c>
      <c r="AN28" s="144">
        <f t="shared" si="88"/>
        <v>212.50200000000001</v>
      </c>
      <c r="AO28" s="145">
        <f t="shared" si="88"/>
        <v>242.642</v>
      </c>
      <c r="AP28" s="147">
        <f t="shared" si="88"/>
        <v>239.57100000000003</v>
      </c>
      <c r="AQ28" s="146">
        <f t="shared" si="88"/>
        <v>182.70400000000001</v>
      </c>
      <c r="AR28" s="144">
        <f t="shared" si="88"/>
        <v>155.68799999999999</v>
      </c>
      <c r="AS28" s="145">
        <f t="shared" si="88"/>
        <v>162.6</v>
      </c>
      <c r="AT28" s="145">
        <f t="shared" si="88"/>
        <v>159</v>
      </c>
      <c r="AU28" s="146">
        <f t="shared" si="88"/>
        <v>179.7</v>
      </c>
      <c r="AV28" s="144">
        <f t="shared" si="88"/>
        <v>165.79999999999998</v>
      </c>
      <c r="AW28" s="145">
        <f t="shared" si="88"/>
        <v>182.8</v>
      </c>
      <c r="AX28" s="145">
        <f t="shared" ref="AX28:BG28" si="89">SUM(AX24:AX27)</f>
        <v>234.8</v>
      </c>
      <c r="AY28" s="146">
        <f t="shared" si="89"/>
        <v>297.60000000000002</v>
      </c>
      <c r="AZ28" s="144">
        <f t="shared" si="89"/>
        <v>332.90000000000003</v>
      </c>
      <c r="BA28" s="145">
        <f t="shared" si="89"/>
        <v>298.60000000000002</v>
      </c>
      <c r="BB28" s="145">
        <f t="shared" si="89"/>
        <v>319</v>
      </c>
      <c r="BC28" s="146">
        <f t="shared" si="89"/>
        <v>463.90000000000003</v>
      </c>
      <c r="BD28" s="144">
        <f t="shared" si="89"/>
        <v>367.90000000000003</v>
      </c>
      <c r="BE28" s="145">
        <f t="shared" si="89"/>
        <v>324.7</v>
      </c>
      <c r="BF28" s="145">
        <f t="shared" si="89"/>
        <v>347</v>
      </c>
      <c r="BG28" s="146">
        <f t="shared" si="89"/>
        <v>210.2</v>
      </c>
      <c r="BH28" s="144">
        <f t="shared" ref="BH28:BS28" si="90">SUM(BH24:BH27)</f>
        <v>303.39999999999998</v>
      </c>
      <c r="BI28" s="145">
        <f t="shared" si="90"/>
        <v>266.90000000000003</v>
      </c>
      <c r="BJ28" s="145">
        <f t="shared" si="90"/>
        <v>300.79999999999995</v>
      </c>
      <c r="BK28" s="146">
        <f t="shared" si="90"/>
        <v>387.9</v>
      </c>
      <c r="BL28" s="144">
        <f t="shared" ref="BL28" si="91">SUM(BL24:BL27)</f>
        <v>321.5</v>
      </c>
      <c r="BM28" s="145">
        <f t="shared" si="90"/>
        <v>307.77082845659339</v>
      </c>
      <c r="BN28" s="145">
        <f t="shared" si="90"/>
        <v>301.71321643941758</v>
      </c>
      <c r="BO28" s="146">
        <f t="shared" si="90"/>
        <v>328.07130131636791</v>
      </c>
      <c r="BP28" s="144">
        <f t="shared" si="90"/>
        <v>369.89301734756981</v>
      </c>
      <c r="BQ28" s="145">
        <f t="shared" si="90"/>
        <v>351.72248133349331</v>
      </c>
      <c r="BR28" s="145">
        <f t="shared" si="90"/>
        <v>351.57225257250889</v>
      </c>
      <c r="BS28" s="146">
        <f t="shared" si="90"/>
        <v>365.45675175110375</v>
      </c>
      <c r="BT28" s="144">
        <f t="shared" ref="BT28:BW28" si="92">SUM(BT24:BT27)</f>
        <v>374.18559090970939</v>
      </c>
      <c r="BU28" s="145">
        <f t="shared" si="92"/>
        <v>362.5837526220937</v>
      </c>
      <c r="BV28" s="145">
        <f t="shared" si="92"/>
        <v>365.00772291205658</v>
      </c>
      <c r="BW28" s="146">
        <f t="shared" si="92"/>
        <v>381.66970723919161</v>
      </c>
      <c r="BX28" s="580"/>
      <c r="BY28" s="161">
        <f>SUM(BY24:BY27)</f>
        <v>136.816</v>
      </c>
      <c r="BZ28" s="147">
        <f>SUM(BZ24:BZ27)</f>
        <v>181.251</v>
      </c>
      <c r="CA28" s="147">
        <f>SUM(CA24:CA27)</f>
        <v>158.23499999999999</v>
      </c>
      <c r="CB28" s="147">
        <f>SUM(CB24:CB27)</f>
        <v>175.62</v>
      </c>
      <c r="CC28" s="147">
        <f>SUM(CB24:CB27)</f>
        <v>175.62</v>
      </c>
      <c r="CD28" s="147">
        <f t="shared" ref="CD28:CN28" si="93">SUM(CD24:CD27)</f>
        <v>148.74</v>
      </c>
      <c r="CE28" s="147">
        <f t="shared" si="93"/>
        <v>196.24299999999999</v>
      </c>
      <c r="CF28" s="147">
        <f t="shared" si="93"/>
        <v>204.32399999999998</v>
      </c>
      <c r="CG28" s="147">
        <f t="shared" si="93"/>
        <v>247.096</v>
      </c>
      <c r="CH28" s="147">
        <f t="shared" si="93"/>
        <v>182.70400000000001</v>
      </c>
      <c r="CI28" s="148">
        <f t="shared" si="93"/>
        <v>179.7</v>
      </c>
      <c r="CJ28" s="161">
        <f t="shared" si="93"/>
        <v>297.60000000000002</v>
      </c>
      <c r="CK28" s="147">
        <f t="shared" si="93"/>
        <v>463.90000000000003</v>
      </c>
      <c r="CL28" s="147">
        <f t="shared" si="93"/>
        <v>210.2</v>
      </c>
      <c r="CM28" s="147">
        <f t="shared" si="93"/>
        <v>387.9</v>
      </c>
      <c r="CN28" s="147">
        <f t="shared" si="93"/>
        <v>328.07130131636791</v>
      </c>
      <c r="CO28" s="147">
        <f>SUM(CO24:CO27)</f>
        <v>365.45675175110375</v>
      </c>
      <c r="CP28" s="148">
        <f>SUM(CP24:CP27)</f>
        <v>381.66970723919161</v>
      </c>
      <c r="CQ28" s="949"/>
      <c r="CR28" s="161">
        <f>SUM(CR24:CR27)</f>
        <v>161.71200000000002</v>
      </c>
      <c r="CS28" s="147">
        <f>SUM(CS24:CS27)</f>
        <v>338.88499999999999</v>
      </c>
      <c r="CT28" s="147">
        <f>SUM(CT24:CT27)</f>
        <v>159.376</v>
      </c>
      <c r="CU28" s="147">
        <f t="shared" ref="CU28:CZ28" si="94">SUM(CU24:CU27)</f>
        <v>135.309</v>
      </c>
      <c r="CV28" s="147">
        <f t="shared" si="94"/>
        <v>196.79599999999999</v>
      </c>
      <c r="CW28" s="147">
        <f t="shared" si="94"/>
        <v>157.066</v>
      </c>
      <c r="CX28" s="147">
        <f t="shared" si="94"/>
        <v>212.50200000000001</v>
      </c>
      <c r="CY28" s="147">
        <f t="shared" si="94"/>
        <v>155.68799999999999</v>
      </c>
      <c r="CZ28" s="147">
        <f t="shared" si="94"/>
        <v>165.79999999999998</v>
      </c>
      <c r="DA28" s="161">
        <f t="shared" ref="DA28:DF28" si="95">SUM(DA24:DA27)</f>
        <v>332.90000000000003</v>
      </c>
      <c r="DB28" s="147">
        <f t="shared" si="95"/>
        <v>367.90000000000003</v>
      </c>
      <c r="DC28" s="147">
        <f t="shared" si="95"/>
        <v>303.39999999999998</v>
      </c>
      <c r="DD28" s="147">
        <f t="shared" si="95"/>
        <v>321.5</v>
      </c>
      <c r="DE28" s="147">
        <f t="shared" si="95"/>
        <v>369.89301734756981</v>
      </c>
      <c r="DF28" s="148">
        <f t="shared" si="95"/>
        <v>374.18559090970939</v>
      </c>
      <c r="DG28" s="100"/>
      <c r="DH28" s="100"/>
      <c r="DI28" s="100"/>
      <c r="DJ28" s="100"/>
      <c r="DK28"/>
      <c r="DL28"/>
      <c r="DM28"/>
      <c r="DN28"/>
      <c r="DO28"/>
      <c r="DP28"/>
      <c r="DQ28" s="101"/>
      <c r="DR28" s="101"/>
    </row>
    <row r="29" spans="1:122" s="229" customFormat="1" ht="14.25">
      <c r="A29" s="125"/>
      <c r="B29" s="14"/>
      <c r="C29" s="24"/>
      <c r="D29" s="135"/>
      <c r="E29" s="135"/>
      <c r="F29" s="135"/>
      <c r="G29" s="151"/>
      <c r="H29" s="155"/>
      <c r="I29" s="151"/>
      <c r="J29" s="151"/>
      <c r="K29" s="136"/>
      <c r="L29" s="135"/>
      <c r="M29" s="135"/>
      <c r="N29" s="135"/>
      <c r="O29" s="151"/>
      <c r="P29" s="155"/>
      <c r="Q29" s="151"/>
      <c r="R29" s="151"/>
      <c r="S29" s="136"/>
      <c r="T29" s="135"/>
      <c r="U29" s="135"/>
      <c r="V29" s="135"/>
      <c r="W29" s="136"/>
      <c r="X29" s="135"/>
      <c r="Y29" s="135"/>
      <c r="Z29" s="135"/>
      <c r="AA29" s="136"/>
      <c r="AB29" s="135"/>
      <c r="AC29" s="135"/>
      <c r="AD29" s="135"/>
      <c r="AE29" s="369"/>
      <c r="AF29" s="370"/>
      <c r="AG29" s="135"/>
      <c r="AH29" s="135"/>
      <c r="AI29" s="369"/>
      <c r="AJ29" s="370"/>
      <c r="AK29" s="151"/>
      <c r="AL29" s="135"/>
      <c r="AM29" s="369"/>
      <c r="AN29" s="370"/>
      <c r="AO29" s="151"/>
      <c r="AP29" s="135"/>
      <c r="AQ29" s="369"/>
      <c r="AR29" s="370"/>
      <c r="AS29" s="151"/>
      <c r="AT29" s="151"/>
      <c r="AU29" s="369"/>
      <c r="AV29" s="370"/>
      <c r="AW29" s="151"/>
      <c r="AX29" s="151"/>
      <c r="AY29" s="369"/>
      <c r="AZ29" s="370"/>
      <c r="BA29" s="151"/>
      <c r="BB29" s="151"/>
      <c r="BC29" s="369"/>
      <c r="BD29" s="370"/>
      <c r="BE29" s="151"/>
      <c r="BF29" s="151"/>
      <c r="BG29" s="369"/>
      <c r="BH29" s="370"/>
      <c r="BI29" s="151"/>
      <c r="BJ29" s="151"/>
      <c r="BK29" s="369"/>
      <c r="BL29" s="370"/>
      <c r="BM29" s="151"/>
      <c r="BN29" s="151"/>
      <c r="BO29" s="136"/>
      <c r="BP29" s="155"/>
      <c r="BQ29" s="151"/>
      <c r="BR29" s="151"/>
      <c r="BS29" s="136"/>
      <c r="BT29" s="155"/>
      <c r="BU29" s="151"/>
      <c r="BV29" s="151"/>
      <c r="BW29" s="136"/>
      <c r="BX29" s="580"/>
      <c r="BY29" s="155"/>
      <c r="BZ29" s="151"/>
      <c r="CA29" s="151"/>
      <c r="CB29" s="151"/>
      <c r="CC29" s="151"/>
      <c r="CD29" s="151"/>
      <c r="CE29" s="151"/>
      <c r="CF29" s="151"/>
      <c r="CG29" s="151"/>
      <c r="CH29" s="151"/>
      <c r="CI29" s="136"/>
      <c r="CJ29" s="155"/>
      <c r="CK29" s="151"/>
      <c r="CL29" s="151"/>
      <c r="CM29" s="151"/>
      <c r="CN29" s="151"/>
      <c r="CO29" s="151"/>
      <c r="CP29" s="136"/>
      <c r="CQ29" s="949"/>
      <c r="CR29" s="155"/>
      <c r="CS29" s="151"/>
      <c r="CT29" s="151"/>
      <c r="CU29" s="151"/>
      <c r="CV29" s="151"/>
      <c r="CW29" s="151"/>
      <c r="CX29" s="151"/>
      <c r="CY29" s="151"/>
      <c r="CZ29" s="151"/>
      <c r="DA29" s="155"/>
      <c r="DB29" s="151"/>
      <c r="DC29" s="151"/>
      <c r="DD29" s="151"/>
      <c r="DE29" s="151"/>
      <c r="DF29" s="136"/>
      <c r="DG29" s="100"/>
      <c r="DH29" s="100"/>
      <c r="DI29" s="100"/>
      <c r="DJ29" s="100"/>
      <c r="DK29"/>
      <c r="DL29"/>
      <c r="DM29"/>
      <c r="DN29"/>
      <c r="DO29"/>
      <c r="DP29"/>
      <c r="DQ29" s="101"/>
      <c r="DR29" s="101"/>
    </row>
    <row r="30" spans="1:122" s="229" customFormat="1" ht="14.25">
      <c r="A30" s="125"/>
      <c r="B30" s="25" t="s">
        <v>132</v>
      </c>
      <c r="C30" s="26"/>
      <c r="D30" s="135">
        <v>275.005</v>
      </c>
      <c r="E30" s="135">
        <v>275</v>
      </c>
      <c r="F30" s="135">
        <v>275</v>
      </c>
      <c r="G30" s="151">
        <v>275</v>
      </c>
      <c r="H30" s="155">
        <v>275</v>
      </c>
      <c r="I30" s="151">
        <v>275</v>
      </c>
      <c r="J30" s="151">
        <v>230</v>
      </c>
      <c r="K30" s="136">
        <v>230</v>
      </c>
      <c r="L30" s="135">
        <v>230</v>
      </c>
      <c r="M30" s="135">
        <v>230</v>
      </c>
      <c r="N30" s="135">
        <v>230</v>
      </c>
      <c r="O30" s="151">
        <v>230</v>
      </c>
      <c r="P30" s="155">
        <v>230</v>
      </c>
      <c r="Q30" s="151">
        <v>179.33500000000001</v>
      </c>
      <c r="R30" s="151">
        <v>179.33500000000001</v>
      </c>
      <c r="S30" s="136">
        <v>179.33500000000001</v>
      </c>
      <c r="T30" s="135">
        <v>0</v>
      </c>
      <c r="U30" s="135">
        <v>200</v>
      </c>
      <c r="V30" s="135">
        <v>200</v>
      </c>
      <c r="W30" s="136">
        <v>200</v>
      </c>
      <c r="X30" s="135">
        <v>200</v>
      </c>
      <c r="Y30" s="135">
        <v>200</v>
      </c>
      <c r="Z30" s="135">
        <v>200</v>
      </c>
      <c r="AA30" s="136">
        <v>137.61600000000001</v>
      </c>
      <c r="AB30" s="135">
        <v>97.116</v>
      </c>
      <c r="AC30" s="135">
        <v>47.116</v>
      </c>
      <c r="AD30" s="135">
        <v>47.116</v>
      </c>
      <c r="AE30" s="136">
        <v>41.482999999999997</v>
      </c>
      <c r="AF30" s="135">
        <v>42.023000000000003</v>
      </c>
      <c r="AG30" s="135">
        <v>42.573</v>
      </c>
      <c r="AH30" s="135">
        <v>24.420999999999999</v>
      </c>
      <c r="AI30" s="136">
        <v>24.742999999999999</v>
      </c>
      <c r="AJ30" s="135">
        <v>25.071000000000002</v>
      </c>
      <c r="AK30" s="151">
        <v>0</v>
      </c>
      <c r="AL30" s="135">
        <v>0</v>
      </c>
      <c r="AM30" s="136">
        <v>0</v>
      </c>
      <c r="AN30" s="135">
        <v>0</v>
      </c>
      <c r="AO30" s="151">
        <v>0</v>
      </c>
      <c r="AP30" s="135">
        <v>0</v>
      </c>
      <c r="AQ30" s="136">
        <v>0</v>
      </c>
      <c r="AR30" s="135">
        <v>0</v>
      </c>
      <c r="AS30" s="151">
        <v>47.6</v>
      </c>
      <c r="AT30" s="151">
        <v>51.9</v>
      </c>
      <c r="AU30" s="136">
        <v>45.9</v>
      </c>
      <c r="AV30" s="135">
        <v>0</v>
      </c>
      <c r="AW30" s="151">
        <v>0</v>
      </c>
      <c r="AX30" s="151">
        <v>58.3</v>
      </c>
      <c r="AY30" s="136">
        <v>41.6</v>
      </c>
      <c r="AZ30" s="135">
        <v>45.3</v>
      </c>
      <c r="BA30" s="151">
        <v>48.6</v>
      </c>
      <c r="BB30" s="151">
        <v>55.5</v>
      </c>
      <c r="BC30" s="136">
        <v>71</v>
      </c>
      <c r="BD30" s="135">
        <v>55.4</v>
      </c>
      <c r="BE30" s="151">
        <v>59.8</v>
      </c>
      <c r="BF30" s="151">
        <f>+BE30</f>
        <v>59.8</v>
      </c>
      <c r="BG30" s="136">
        <f>103.8-BG31</f>
        <v>69.199999999999989</v>
      </c>
      <c r="BH30" s="135">
        <v>72.400000000000006</v>
      </c>
      <c r="BI30" s="151">
        <v>78.599999999999994</v>
      </c>
      <c r="BJ30" s="151">
        <v>82.8</v>
      </c>
      <c r="BK30" s="136">
        <v>92.9</v>
      </c>
      <c r="BL30" s="135">
        <f>BK30</f>
        <v>92.9</v>
      </c>
      <c r="BM30" s="137">
        <f t="shared" ref="BM30:BO31" si="96">BL30</f>
        <v>92.9</v>
      </c>
      <c r="BN30" s="137">
        <f t="shared" si="96"/>
        <v>92.9</v>
      </c>
      <c r="BO30" s="139">
        <f t="shared" si="96"/>
        <v>92.9</v>
      </c>
      <c r="BP30" s="138">
        <f t="shared" ref="BP30:BS31" si="97">BO30</f>
        <v>92.9</v>
      </c>
      <c r="BQ30" s="137">
        <f t="shared" si="97"/>
        <v>92.9</v>
      </c>
      <c r="BR30" s="137">
        <f t="shared" si="97"/>
        <v>92.9</v>
      </c>
      <c r="BS30" s="139">
        <f t="shared" si="97"/>
        <v>92.9</v>
      </c>
      <c r="BT30" s="138">
        <f t="shared" ref="BT30:BT31" si="98">BS30</f>
        <v>92.9</v>
      </c>
      <c r="BU30" s="137">
        <f t="shared" ref="BU30:BU31" si="99">BT30</f>
        <v>92.9</v>
      </c>
      <c r="BV30" s="137">
        <f t="shared" ref="BV30:BV31" si="100">BU30</f>
        <v>92.9</v>
      </c>
      <c r="BW30" s="139">
        <f t="shared" ref="BW30:BW31" si="101">BV30</f>
        <v>92.9</v>
      </c>
      <c r="BX30" s="580"/>
      <c r="BY30" s="138">
        <f>G30</f>
        <v>275</v>
      </c>
      <c r="BZ30" s="137">
        <f>K30</f>
        <v>230</v>
      </c>
      <c r="CA30" s="137">
        <f>O30</f>
        <v>230</v>
      </c>
      <c r="CB30" s="137">
        <f>S30</f>
        <v>179.33500000000001</v>
      </c>
      <c r="CC30" s="137">
        <f>W30</f>
        <v>200</v>
      </c>
      <c r="CD30" s="137">
        <f>AA30</f>
        <v>137.61600000000001</v>
      </c>
      <c r="CE30" s="137">
        <f>AE30</f>
        <v>41.482999999999997</v>
      </c>
      <c r="CF30" s="137">
        <f>AI30</f>
        <v>24.742999999999999</v>
      </c>
      <c r="CG30" s="137">
        <f>AM30</f>
        <v>0</v>
      </c>
      <c r="CH30" s="137">
        <f>AQ30</f>
        <v>0</v>
      </c>
      <c r="CI30" s="139">
        <f>AU30</f>
        <v>45.9</v>
      </c>
      <c r="CJ30" s="138">
        <f>AY30</f>
        <v>41.6</v>
      </c>
      <c r="CK30" s="137">
        <f>BC30</f>
        <v>71</v>
      </c>
      <c r="CL30" s="137">
        <f>BG30</f>
        <v>69.199999999999989</v>
      </c>
      <c r="CM30" s="137">
        <f>BK30</f>
        <v>92.9</v>
      </c>
      <c r="CN30" s="137">
        <f>BO30</f>
        <v>92.9</v>
      </c>
      <c r="CO30" s="137">
        <f>BS30</f>
        <v>92.9</v>
      </c>
      <c r="CP30" s="139">
        <f t="shared" ref="CP30:CP31" si="102">BW30</f>
        <v>92.9</v>
      </c>
      <c r="CQ30" s="949"/>
      <c r="CR30" s="138">
        <f>P30</f>
        <v>230</v>
      </c>
      <c r="CS30" s="137">
        <f>T30</f>
        <v>0</v>
      </c>
      <c r="CT30" s="137">
        <f>X30</f>
        <v>200</v>
      </c>
      <c r="CU30" s="137">
        <f>AB30</f>
        <v>97.116</v>
      </c>
      <c r="CV30" s="137">
        <f>AF30</f>
        <v>42.023000000000003</v>
      </c>
      <c r="CW30" s="137">
        <f>AJ30</f>
        <v>25.071000000000002</v>
      </c>
      <c r="CX30" s="137">
        <f>AN30</f>
        <v>0</v>
      </c>
      <c r="CY30" s="137">
        <f>AR30</f>
        <v>0</v>
      </c>
      <c r="CZ30" s="137">
        <f>AV30</f>
        <v>0</v>
      </c>
      <c r="DA30" s="138">
        <f>AZ30</f>
        <v>45.3</v>
      </c>
      <c r="DB30" s="137">
        <f>BD30</f>
        <v>55.4</v>
      </c>
      <c r="DC30" s="137">
        <f>BH30</f>
        <v>72.400000000000006</v>
      </c>
      <c r="DD30" s="137">
        <f>BL30</f>
        <v>92.9</v>
      </c>
      <c r="DE30" s="137">
        <f>BP30</f>
        <v>92.9</v>
      </c>
      <c r="DF30" s="139">
        <f t="shared" ref="DF30:DF31" si="103">BT30</f>
        <v>92.9</v>
      </c>
      <c r="DG30" s="100"/>
      <c r="DH30" s="100"/>
      <c r="DI30" s="100"/>
      <c r="DJ30" s="100"/>
      <c r="DK30"/>
      <c r="DL30"/>
      <c r="DM30"/>
      <c r="DN30"/>
      <c r="DO30"/>
      <c r="DP30"/>
      <c r="DQ30" s="101"/>
      <c r="DR30" s="101"/>
    </row>
    <row r="31" spans="1:122" s="229" customFormat="1" ht="14.25">
      <c r="A31" s="125"/>
      <c r="B31" s="25" t="s">
        <v>173</v>
      </c>
      <c r="C31" s="26"/>
      <c r="D31" s="135">
        <v>4.34</v>
      </c>
      <c r="E31" s="135">
        <v>4.32</v>
      </c>
      <c r="F31" s="135">
        <v>4.1580000000000004</v>
      </c>
      <c r="G31" s="151">
        <v>5.6769999999999996</v>
      </c>
      <c r="H31" s="155">
        <v>5.891</v>
      </c>
      <c r="I31" s="151">
        <v>5.7560000000000002</v>
      </c>
      <c r="J31" s="151">
        <v>5.9610000000000003</v>
      </c>
      <c r="K31" s="136">
        <v>5.9320000000000004</v>
      </c>
      <c r="L31" s="135">
        <v>6.4610000000000003</v>
      </c>
      <c r="M31" s="135">
        <v>6.5419999999999998</v>
      </c>
      <c r="N31" s="135">
        <v>6.6790000000000003</v>
      </c>
      <c r="O31" s="151">
        <v>7.0439999999999996</v>
      </c>
      <c r="P31" s="155">
        <v>7.1150000000000002</v>
      </c>
      <c r="Q31" s="151">
        <v>7.2789999999999999</v>
      </c>
      <c r="R31" s="151">
        <v>7.2140000000000004</v>
      </c>
      <c r="S31" s="136">
        <v>6.4480000000000004</v>
      </c>
      <c r="T31" s="135">
        <v>6.5990000000000002</v>
      </c>
      <c r="U31" s="135">
        <v>6.6580000000000004</v>
      </c>
      <c r="V31" s="135">
        <v>6.9589999999999996</v>
      </c>
      <c r="W31" s="136">
        <v>6.3380000000000001</v>
      </c>
      <c r="X31" s="135">
        <v>7.3049999999999997</v>
      </c>
      <c r="Y31" s="135">
        <v>6.8789999999999996</v>
      </c>
      <c r="Z31" s="135">
        <v>5.7729999999999997</v>
      </c>
      <c r="AA31" s="136">
        <v>5.5270000000000001</v>
      </c>
      <c r="AB31" s="135">
        <v>4.9939999999999998</v>
      </c>
      <c r="AC31" s="135">
        <v>4.9649999999999999</v>
      </c>
      <c r="AD31" s="135">
        <v>5.4020000000000001</v>
      </c>
      <c r="AE31" s="136">
        <v>6.0860000000000003</v>
      </c>
      <c r="AF31" s="135">
        <v>6.6890000000000001</v>
      </c>
      <c r="AG31" s="135">
        <v>7.6369999999999996</v>
      </c>
      <c r="AH31" s="135">
        <v>11.986000000000001</v>
      </c>
      <c r="AI31" s="136">
        <v>18.388999999999999</v>
      </c>
      <c r="AJ31" s="135">
        <v>20.532</v>
      </c>
      <c r="AK31" s="151">
        <v>25.960999999999999</v>
      </c>
      <c r="AL31" s="135">
        <v>29.076000000000001</v>
      </c>
      <c r="AM31" s="136">
        <v>34.198</v>
      </c>
      <c r="AN31" s="135">
        <v>38.466000000000001</v>
      </c>
      <c r="AO31" s="151">
        <v>44.44</v>
      </c>
      <c r="AP31" s="135">
        <v>48.656999999999996</v>
      </c>
      <c r="AQ31" s="136">
        <v>48.466999999999999</v>
      </c>
      <c r="AR31" s="135">
        <f>44.649+6.801</f>
        <v>51.45</v>
      </c>
      <c r="AS31" s="151">
        <v>6.7</v>
      </c>
      <c r="AT31" s="151">
        <v>6.9</v>
      </c>
      <c r="AU31" s="136">
        <v>6.4</v>
      </c>
      <c r="AV31" s="135">
        <f>50.6+6.8</f>
        <v>57.4</v>
      </c>
      <c r="AW31" s="151">
        <f>53.8+6.6</f>
        <v>60.4</v>
      </c>
      <c r="AX31" s="151">
        <v>6.8</v>
      </c>
      <c r="AY31" s="136">
        <v>102.2</v>
      </c>
      <c r="AZ31" s="135">
        <v>102.7</v>
      </c>
      <c r="BA31" s="151">
        <v>102.5</v>
      </c>
      <c r="BB31" s="151">
        <v>101.8</v>
      </c>
      <c r="BC31" s="136">
        <v>25.3</v>
      </c>
      <c r="BD31" s="135">
        <v>24.6</v>
      </c>
      <c r="BE31" s="151">
        <v>30.4</v>
      </c>
      <c r="BF31" s="151">
        <f>94.4-BF30</f>
        <v>34.600000000000009</v>
      </c>
      <c r="BG31" s="136">
        <f>+BF31</f>
        <v>34.600000000000009</v>
      </c>
      <c r="BH31" s="135">
        <v>29.6</v>
      </c>
      <c r="BI31" s="151">
        <v>29.5</v>
      </c>
      <c r="BJ31" s="151">
        <v>28.8</v>
      </c>
      <c r="BK31" s="136">
        <v>27.1</v>
      </c>
      <c r="BL31" s="135">
        <f>372.3-BL30</f>
        <v>279.39999999999998</v>
      </c>
      <c r="BM31" s="137">
        <f t="shared" si="96"/>
        <v>279.39999999999998</v>
      </c>
      <c r="BN31" s="137">
        <f t="shared" si="96"/>
        <v>279.39999999999998</v>
      </c>
      <c r="BO31" s="139">
        <f t="shared" si="96"/>
        <v>279.39999999999998</v>
      </c>
      <c r="BP31" s="138">
        <f t="shared" si="97"/>
        <v>279.39999999999998</v>
      </c>
      <c r="BQ31" s="137">
        <f t="shared" si="97"/>
        <v>279.39999999999998</v>
      </c>
      <c r="BR31" s="137">
        <f t="shared" si="97"/>
        <v>279.39999999999998</v>
      </c>
      <c r="BS31" s="139">
        <f t="shared" si="97"/>
        <v>279.39999999999998</v>
      </c>
      <c r="BT31" s="138">
        <f t="shared" si="98"/>
        <v>279.39999999999998</v>
      </c>
      <c r="BU31" s="137">
        <f t="shared" si="99"/>
        <v>279.39999999999998</v>
      </c>
      <c r="BV31" s="137">
        <f t="shared" si="100"/>
        <v>279.39999999999998</v>
      </c>
      <c r="BW31" s="139">
        <f t="shared" si="101"/>
        <v>279.39999999999998</v>
      </c>
      <c r="BX31" s="579"/>
      <c r="BY31" s="138">
        <f>G31</f>
        <v>5.6769999999999996</v>
      </c>
      <c r="BZ31" s="137">
        <f>K31</f>
        <v>5.9320000000000004</v>
      </c>
      <c r="CA31" s="137">
        <f>O31</f>
        <v>7.0439999999999996</v>
      </c>
      <c r="CB31" s="137">
        <f>S31</f>
        <v>6.4480000000000004</v>
      </c>
      <c r="CC31" s="137">
        <f>W31</f>
        <v>6.3380000000000001</v>
      </c>
      <c r="CD31" s="137">
        <f>AA31</f>
        <v>5.5270000000000001</v>
      </c>
      <c r="CE31" s="137">
        <f>AE31</f>
        <v>6.0860000000000003</v>
      </c>
      <c r="CF31" s="137">
        <f>AI31</f>
        <v>18.388999999999999</v>
      </c>
      <c r="CG31" s="137">
        <f>AM31</f>
        <v>34.198</v>
      </c>
      <c r="CH31" s="137">
        <f>AQ31</f>
        <v>48.466999999999999</v>
      </c>
      <c r="CI31" s="139">
        <f>AU31</f>
        <v>6.4</v>
      </c>
      <c r="CJ31" s="138">
        <f>AY31</f>
        <v>102.2</v>
      </c>
      <c r="CK31" s="137">
        <f>BC31</f>
        <v>25.3</v>
      </c>
      <c r="CL31" s="137">
        <f>BG31</f>
        <v>34.600000000000009</v>
      </c>
      <c r="CM31" s="137">
        <f>BK31</f>
        <v>27.1</v>
      </c>
      <c r="CN31" s="137">
        <f>BO31</f>
        <v>279.39999999999998</v>
      </c>
      <c r="CO31" s="137">
        <f>BS31</f>
        <v>279.39999999999998</v>
      </c>
      <c r="CP31" s="139">
        <f t="shared" si="102"/>
        <v>279.39999999999998</v>
      </c>
      <c r="CQ31" s="949"/>
      <c r="CR31" s="138">
        <f>P31</f>
        <v>7.1150000000000002</v>
      </c>
      <c r="CS31" s="137">
        <f>T31</f>
        <v>6.5990000000000002</v>
      </c>
      <c r="CT31" s="137">
        <f>X31</f>
        <v>7.3049999999999997</v>
      </c>
      <c r="CU31" s="137">
        <f>AB31</f>
        <v>4.9939999999999998</v>
      </c>
      <c r="CV31" s="137">
        <f>AF31</f>
        <v>6.6890000000000001</v>
      </c>
      <c r="CW31" s="137">
        <f>AJ31</f>
        <v>20.532</v>
      </c>
      <c r="CX31" s="137">
        <f>AN31</f>
        <v>38.466000000000001</v>
      </c>
      <c r="CY31" s="137">
        <f>AR31</f>
        <v>51.45</v>
      </c>
      <c r="CZ31" s="137">
        <f>AV31</f>
        <v>57.4</v>
      </c>
      <c r="DA31" s="138">
        <f>AZ31</f>
        <v>102.7</v>
      </c>
      <c r="DB31" s="137">
        <f>BD31</f>
        <v>24.6</v>
      </c>
      <c r="DC31" s="137">
        <f>BH31</f>
        <v>29.6</v>
      </c>
      <c r="DD31" s="137">
        <f>BL31</f>
        <v>279.39999999999998</v>
      </c>
      <c r="DE31" s="137">
        <f>BP31</f>
        <v>279.39999999999998</v>
      </c>
      <c r="DF31" s="139">
        <f t="shared" si="103"/>
        <v>279.39999999999998</v>
      </c>
      <c r="DG31" s="100"/>
      <c r="DH31" s="100"/>
      <c r="DI31" s="100"/>
      <c r="DJ31" s="100"/>
      <c r="DK31"/>
      <c r="DL31"/>
      <c r="DM31"/>
      <c r="DN31"/>
      <c r="DO31"/>
      <c r="DP31"/>
      <c r="DQ31" s="101"/>
      <c r="DR31" s="101"/>
    </row>
    <row r="32" spans="1:122" s="229" customFormat="1" ht="14.25">
      <c r="A32" s="125"/>
      <c r="B32" s="14"/>
      <c r="C32" s="24"/>
      <c r="D32" s="135"/>
      <c r="E32" s="135"/>
      <c r="F32" s="135"/>
      <c r="G32" s="151"/>
      <c r="H32" s="155"/>
      <c r="I32" s="151"/>
      <c r="J32" s="151"/>
      <c r="K32" s="136"/>
      <c r="L32" s="135"/>
      <c r="M32" s="135"/>
      <c r="N32" s="135"/>
      <c r="O32" s="151"/>
      <c r="P32" s="155"/>
      <c r="Q32" s="151"/>
      <c r="R32" s="151"/>
      <c r="S32" s="136"/>
      <c r="T32" s="135"/>
      <c r="U32" s="135"/>
      <c r="V32" s="135"/>
      <c r="W32" s="136"/>
      <c r="X32" s="135"/>
      <c r="Y32" s="135"/>
      <c r="Z32" s="135"/>
      <c r="AA32" s="136"/>
      <c r="AB32" s="135"/>
      <c r="AC32" s="135"/>
      <c r="AD32" s="135"/>
      <c r="AE32" s="136"/>
      <c r="AF32" s="370"/>
      <c r="AG32" s="135"/>
      <c r="AH32" s="135"/>
      <c r="AI32" s="136"/>
      <c r="AJ32" s="370"/>
      <c r="AK32" s="151"/>
      <c r="AL32" s="135"/>
      <c r="AM32" s="136"/>
      <c r="AN32" s="370"/>
      <c r="AO32" s="151"/>
      <c r="AP32" s="135"/>
      <c r="AQ32" s="136"/>
      <c r="AR32" s="370"/>
      <c r="AS32" s="151"/>
      <c r="AT32" s="151"/>
      <c r="AU32" s="136"/>
      <c r="AV32" s="370"/>
      <c r="AW32" s="151"/>
      <c r="AX32" s="151"/>
      <c r="AY32" s="136"/>
      <c r="AZ32" s="370"/>
      <c r="BA32" s="151"/>
      <c r="BB32" s="151"/>
      <c r="BC32" s="136"/>
      <c r="BD32" s="370"/>
      <c r="BE32" s="151"/>
      <c r="BF32" s="151"/>
      <c r="BG32" s="136"/>
      <c r="BH32" s="370"/>
      <c r="BI32" s="151"/>
      <c r="BJ32" s="151"/>
      <c r="BK32" s="136"/>
      <c r="BL32" s="370"/>
      <c r="BM32" s="151"/>
      <c r="BN32" s="151"/>
      <c r="BO32" s="136"/>
      <c r="BP32" s="155"/>
      <c r="BQ32" s="151"/>
      <c r="BR32" s="151"/>
      <c r="BS32" s="136"/>
      <c r="BT32" s="155"/>
      <c r="BU32" s="151"/>
      <c r="BV32" s="151"/>
      <c r="BW32" s="136"/>
      <c r="BX32" s="580"/>
      <c r="BY32" s="155"/>
      <c r="BZ32" s="151"/>
      <c r="CA32" s="151"/>
      <c r="CB32" s="151"/>
      <c r="CC32" s="151"/>
      <c r="CD32" s="151"/>
      <c r="CE32" s="151"/>
      <c r="CF32" s="151"/>
      <c r="CG32" s="151"/>
      <c r="CH32" s="151"/>
      <c r="CI32" s="136"/>
      <c r="CJ32" s="155"/>
      <c r="CK32" s="151"/>
      <c r="CL32" s="151"/>
      <c r="CM32" s="151"/>
      <c r="CN32" s="151"/>
      <c r="CO32" s="151"/>
      <c r="CP32" s="136"/>
      <c r="CQ32" s="949"/>
      <c r="CR32" s="155"/>
      <c r="CS32" s="151"/>
      <c r="CT32" s="151"/>
      <c r="CU32" s="151"/>
      <c r="CV32" s="151"/>
      <c r="CW32" s="151"/>
      <c r="CX32" s="151"/>
      <c r="CY32" s="151"/>
      <c r="CZ32" s="151"/>
      <c r="DA32" s="155"/>
      <c r="DB32" s="151"/>
      <c r="DC32" s="151"/>
      <c r="DD32" s="151"/>
      <c r="DE32" s="151"/>
      <c r="DF32" s="136"/>
      <c r="DG32" s="100"/>
      <c r="DH32" s="100"/>
      <c r="DI32" s="100"/>
      <c r="DJ32" s="100"/>
      <c r="DK32"/>
      <c r="DL32"/>
      <c r="DM32"/>
      <c r="DN32"/>
      <c r="DO32"/>
      <c r="DP32"/>
      <c r="DQ32" s="101"/>
      <c r="DR32" s="101"/>
    </row>
    <row r="33" spans="1:122" s="229" customFormat="1" ht="15">
      <c r="A33" s="125"/>
      <c r="B33" s="157" t="s">
        <v>133</v>
      </c>
      <c r="C33" s="158"/>
      <c r="D33" s="159">
        <v>1018.337</v>
      </c>
      <c r="E33" s="159">
        <v>1013.341</v>
      </c>
      <c r="F33" s="159">
        <v>1009.877</v>
      </c>
      <c r="G33" s="504">
        <v>673.17499999999995</v>
      </c>
      <c r="H33" s="743">
        <v>679.23</v>
      </c>
      <c r="I33" s="504">
        <v>674.64400000000001</v>
      </c>
      <c r="J33" s="504">
        <v>733.49</v>
      </c>
      <c r="K33" s="160">
        <v>751.62300000000005</v>
      </c>
      <c r="L33" s="159">
        <v>770.86500000000001</v>
      </c>
      <c r="M33" s="159">
        <v>775.86800000000005</v>
      </c>
      <c r="N33" s="159">
        <v>787.73199999999997</v>
      </c>
      <c r="O33" s="504">
        <v>792.56399999999996</v>
      </c>
      <c r="P33" s="743">
        <v>801.11300000000006</v>
      </c>
      <c r="Q33" s="504">
        <v>810.36599999999999</v>
      </c>
      <c r="R33" s="504">
        <v>818.53200000000004</v>
      </c>
      <c r="S33" s="160">
        <v>729.09299999999996</v>
      </c>
      <c r="T33" s="159">
        <v>746.92899999999997</v>
      </c>
      <c r="U33" s="159">
        <v>736.98599999999999</v>
      </c>
      <c r="V33" s="159">
        <v>755.37699999999995</v>
      </c>
      <c r="W33" s="160">
        <v>786.34699999999998</v>
      </c>
      <c r="X33" s="159">
        <v>811.10199999999998</v>
      </c>
      <c r="Y33" s="159">
        <v>837.44799999999998</v>
      </c>
      <c r="Z33" s="159">
        <v>878.38400000000001</v>
      </c>
      <c r="AA33" s="160">
        <v>944.21600000000001</v>
      </c>
      <c r="AB33" s="159">
        <v>974.27</v>
      </c>
      <c r="AC33" s="159">
        <v>978.93</v>
      </c>
      <c r="AD33" s="159">
        <v>1014.807</v>
      </c>
      <c r="AE33" s="160">
        <v>1108.779</v>
      </c>
      <c r="AF33" s="159">
        <v>1146.896</v>
      </c>
      <c r="AG33" s="159">
        <v>1183.046</v>
      </c>
      <c r="AH33" s="159">
        <v>1220.7059999999999</v>
      </c>
      <c r="AI33" s="160">
        <v>1316.596</v>
      </c>
      <c r="AJ33" s="159">
        <v>1411.4069999999999</v>
      </c>
      <c r="AK33" s="504">
        <v>1476.3920000000001</v>
      </c>
      <c r="AL33" s="159">
        <v>1532.174</v>
      </c>
      <c r="AM33" s="160">
        <v>1609.095</v>
      </c>
      <c r="AN33" s="159">
        <v>1663.665</v>
      </c>
      <c r="AO33" s="504">
        <v>1720.2439999999999</v>
      </c>
      <c r="AP33" s="159">
        <v>1801.665</v>
      </c>
      <c r="AQ33" s="160">
        <v>1905.4749999999999</v>
      </c>
      <c r="AR33" s="159">
        <v>1943.9690000000001</v>
      </c>
      <c r="AS33" s="504">
        <v>2000</v>
      </c>
      <c r="AT33" s="504">
        <v>2000.1</v>
      </c>
      <c r="AU33" s="160">
        <v>2101.1</v>
      </c>
      <c r="AV33" s="159">
        <v>2212.1999999999998</v>
      </c>
      <c r="AW33" s="504">
        <v>2291.4</v>
      </c>
      <c r="AX33" s="504">
        <v>2389</v>
      </c>
      <c r="AY33" s="160">
        <v>2532.4</v>
      </c>
      <c r="AZ33" s="159">
        <v>2710.1</v>
      </c>
      <c r="BA33" s="504">
        <v>2863.5</v>
      </c>
      <c r="BB33" s="504">
        <v>3042</v>
      </c>
      <c r="BC33" s="160">
        <v>3159.2</v>
      </c>
      <c r="BD33" s="159">
        <v>3482.6</v>
      </c>
      <c r="BE33" s="504">
        <v>3543.3</v>
      </c>
      <c r="BF33" s="504">
        <v>3514.3</v>
      </c>
      <c r="BG33" s="160">
        <v>3541.4</v>
      </c>
      <c r="BH33" s="159">
        <v>3660.3</v>
      </c>
      <c r="BI33" s="504">
        <v>3791.8</v>
      </c>
      <c r="BJ33" s="504">
        <v>3897.8</v>
      </c>
      <c r="BK33" s="160">
        <v>4065.7</v>
      </c>
      <c r="BL33" s="159">
        <v>3900.5</v>
      </c>
      <c r="BM33" s="147">
        <f t="shared" ref="BM33:BS33" si="104">BM66</f>
        <v>4073.4375732596013</v>
      </c>
      <c r="BN33" s="147">
        <f t="shared" si="104"/>
        <v>4234.7839501754434</v>
      </c>
      <c r="BO33" s="148">
        <f t="shared" si="104"/>
        <v>4462.204312686119</v>
      </c>
      <c r="BP33" s="161">
        <f t="shared" si="104"/>
        <v>4710.414421550242</v>
      </c>
      <c r="BQ33" s="147">
        <f t="shared" si="104"/>
        <v>4920.2688494738595</v>
      </c>
      <c r="BR33" s="147">
        <f t="shared" si="104"/>
        <v>5130.9455153380623</v>
      </c>
      <c r="BS33" s="148">
        <f t="shared" si="104"/>
        <v>5369.9940980874326</v>
      </c>
      <c r="BT33" s="161">
        <f t="shared" ref="BT33:BW33" si="105">BT66</f>
        <v>5626.2893867348976</v>
      </c>
      <c r="BU33" s="147">
        <f t="shared" si="105"/>
        <v>5859.6736402376719</v>
      </c>
      <c r="BV33" s="147">
        <f t="shared" si="105"/>
        <v>6098.7293028104505</v>
      </c>
      <c r="BW33" s="148">
        <f t="shared" si="105"/>
        <v>6369.4813499363718</v>
      </c>
      <c r="BX33" s="580"/>
      <c r="BY33" s="161">
        <f>G33</f>
        <v>673.17499999999995</v>
      </c>
      <c r="BZ33" s="147">
        <f>K33</f>
        <v>751.62300000000005</v>
      </c>
      <c r="CA33" s="147">
        <f>O33</f>
        <v>792.56399999999996</v>
      </c>
      <c r="CB33" s="147">
        <f>S33</f>
        <v>729.09299999999996</v>
      </c>
      <c r="CC33" s="147">
        <f>W33</f>
        <v>786.34699999999998</v>
      </c>
      <c r="CD33" s="147">
        <f>AA33</f>
        <v>944.21600000000001</v>
      </c>
      <c r="CE33" s="147">
        <f>AE33</f>
        <v>1108.779</v>
      </c>
      <c r="CF33" s="147">
        <f>AI33</f>
        <v>1316.596</v>
      </c>
      <c r="CG33" s="147">
        <f>AM33</f>
        <v>1609.095</v>
      </c>
      <c r="CH33" s="147">
        <f>AQ33</f>
        <v>1905.4749999999999</v>
      </c>
      <c r="CI33" s="148">
        <f>AU33</f>
        <v>2101.1</v>
      </c>
      <c r="CJ33" s="161">
        <f>AY33</f>
        <v>2532.4</v>
      </c>
      <c r="CK33" s="147">
        <f>BC33</f>
        <v>3159.2</v>
      </c>
      <c r="CL33" s="147">
        <f>BG33</f>
        <v>3541.4</v>
      </c>
      <c r="CM33" s="147">
        <f>BK33</f>
        <v>4065.7</v>
      </c>
      <c r="CN33" s="147">
        <f>BO33</f>
        <v>4462.204312686119</v>
      </c>
      <c r="CO33" s="147">
        <f>BS33</f>
        <v>5369.9940980874326</v>
      </c>
      <c r="CP33" s="148">
        <f>BW33</f>
        <v>6369.4813499363718</v>
      </c>
      <c r="CQ33" s="949"/>
      <c r="CR33" s="161">
        <f>P33</f>
        <v>801.11300000000006</v>
      </c>
      <c r="CS33" s="147">
        <f>T33</f>
        <v>746.92899999999997</v>
      </c>
      <c r="CT33" s="147">
        <f>X33</f>
        <v>811.10199999999998</v>
      </c>
      <c r="CU33" s="147">
        <f>AB33</f>
        <v>974.27</v>
      </c>
      <c r="CV33" s="147">
        <f>AF33</f>
        <v>1146.896</v>
      </c>
      <c r="CW33" s="147">
        <f>AJ33</f>
        <v>1411.4069999999999</v>
      </c>
      <c r="CX33" s="147">
        <f>AN33</f>
        <v>1663.665</v>
      </c>
      <c r="CY33" s="147">
        <f>AR33</f>
        <v>1943.9690000000001</v>
      </c>
      <c r="CZ33" s="147">
        <f>AV33</f>
        <v>2212.1999999999998</v>
      </c>
      <c r="DA33" s="161">
        <f>AZ33</f>
        <v>2710.1</v>
      </c>
      <c r="DB33" s="147">
        <f>BD33</f>
        <v>3482.6</v>
      </c>
      <c r="DC33" s="147">
        <f>BH33</f>
        <v>3660.3</v>
      </c>
      <c r="DD33" s="147">
        <f>BL33</f>
        <v>3900.5</v>
      </c>
      <c r="DE33" s="147">
        <f>BP33</f>
        <v>4710.414421550242</v>
      </c>
      <c r="DF33" s="148">
        <f>BT33</f>
        <v>5626.2893867348976</v>
      </c>
      <c r="DG33" s="100"/>
      <c r="DH33" s="100"/>
      <c r="DI33" s="100"/>
      <c r="DJ33" s="100"/>
      <c r="DK33"/>
      <c r="DL33"/>
      <c r="DM33"/>
      <c r="DN33"/>
      <c r="DO33"/>
      <c r="DP33"/>
      <c r="DQ33" s="101"/>
      <c r="DR33" s="101"/>
    </row>
    <row r="34" spans="1:122" s="229" customFormat="1" ht="14.25">
      <c r="A34" s="125"/>
      <c r="B34" s="14"/>
      <c r="C34" s="24"/>
      <c r="D34" s="135"/>
      <c r="E34" s="135"/>
      <c r="F34" s="135"/>
      <c r="G34" s="151"/>
      <c r="H34" s="155"/>
      <c r="I34" s="151"/>
      <c r="J34" s="151"/>
      <c r="K34" s="136"/>
      <c r="L34" s="135"/>
      <c r="M34" s="135"/>
      <c r="N34" s="135"/>
      <c r="O34" s="151"/>
      <c r="P34" s="155"/>
      <c r="Q34" s="151"/>
      <c r="R34" s="151"/>
      <c r="S34" s="136"/>
      <c r="T34" s="135"/>
      <c r="U34" s="135"/>
      <c r="V34" s="135"/>
      <c r="W34" s="136"/>
      <c r="X34" s="135"/>
      <c r="Y34" s="135"/>
      <c r="Z34" s="135"/>
      <c r="AA34" s="136"/>
      <c r="AB34" s="135"/>
      <c r="AC34" s="135"/>
      <c r="AD34" s="135"/>
      <c r="AE34" s="151"/>
      <c r="AF34" s="235"/>
      <c r="AG34" s="135"/>
      <c r="AH34" s="135"/>
      <c r="AI34" s="237"/>
      <c r="AJ34" s="235"/>
      <c r="AK34" s="233"/>
      <c r="AL34" s="135"/>
      <c r="AM34" s="237"/>
      <c r="AN34" s="235"/>
      <c r="AO34" s="233"/>
      <c r="AP34" s="135"/>
      <c r="AQ34" s="237"/>
      <c r="AR34" s="235"/>
      <c r="AS34" s="233"/>
      <c r="AT34" s="233"/>
      <c r="AU34" s="237"/>
      <c r="AV34" s="235"/>
      <c r="AW34" s="233"/>
      <c r="AX34" s="233"/>
      <c r="AY34" s="237"/>
      <c r="AZ34" s="235"/>
      <c r="BA34" s="233"/>
      <c r="BB34" s="233"/>
      <c r="BC34" s="237"/>
      <c r="BD34" s="235"/>
      <c r="BE34" s="233"/>
      <c r="BF34" s="233"/>
      <c r="BG34" s="237"/>
      <c r="BH34" s="235"/>
      <c r="BI34" s="233"/>
      <c r="BJ34" s="233"/>
      <c r="BK34" s="237"/>
      <c r="BL34" s="235"/>
      <c r="BM34" s="233"/>
      <c r="BN34" s="233"/>
      <c r="BO34" s="237"/>
      <c r="BP34" s="235"/>
      <c r="BQ34" s="233"/>
      <c r="BR34" s="233"/>
      <c r="BS34" s="237"/>
      <c r="BT34" s="235"/>
      <c r="BU34" s="233"/>
      <c r="BV34" s="233"/>
      <c r="BW34" s="237"/>
      <c r="BX34" s="155"/>
      <c r="BY34" s="155"/>
      <c r="BZ34" s="151"/>
      <c r="CA34" s="151"/>
      <c r="CB34" s="151"/>
      <c r="CC34" s="151"/>
      <c r="CD34" s="151"/>
      <c r="CE34" s="151"/>
      <c r="CF34" s="151"/>
      <c r="CG34" s="151"/>
      <c r="CH34" s="151"/>
      <c r="CI34" s="136"/>
      <c r="CJ34" s="155"/>
      <c r="CK34" s="151"/>
      <c r="CL34" s="151"/>
      <c r="CM34" s="151"/>
      <c r="CN34" s="151"/>
      <c r="CO34" s="151"/>
      <c r="CP34" s="136"/>
      <c r="CQ34" s="949"/>
      <c r="CR34" s="155"/>
      <c r="CS34" s="151"/>
      <c r="CT34" s="151"/>
      <c r="CU34" s="151"/>
      <c r="CV34" s="151"/>
      <c r="CW34" s="151"/>
      <c r="CX34" s="151"/>
      <c r="CY34" s="151"/>
      <c r="CZ34" s="233"/>
      <c r="DA34" s="235"/>
      <c r="DB34" s="233"/>
      <c r="DC34" s="233"/>
      <c r="DD34" s="233"/>
      <c r="DE34" s="233"/>
      <c r="DF34" s="237"/>
      <c r="DG34" s="100"/>
      <c r="DH34" s="100"/>
      <c r="DI34" s="100"/>
      <c r="DJ34" s="100"/>
      <c r="DK34"/>
      <c r="DL34"/>
      <c r="DM34"/>
      <c r="DN34"/>
      <c r="DO34"/>
      <c r="DP34"/>
      <c r="DQ34" s="101"/>
      <c r="DR34" s="101"/>
    </row>
    <row r="35" spans="1:122" s="229" customFormat="1" ht="15">
      <c r="A35" s="125"/>
      <c r="B35" s="206" t="s">
        <v>134</v>
      </c>
      <c r="C35" s="406"/>
      <c r="D35" s="152">
        <f t="shared" ref="D35:O35" si="106">D33+D28+SUM(D30:D31)</f>
        <v>1401.643</v>
      </c>
      <c r="E35" s="153">
        <f t="shared" si="106"/>
        <v>1421.0529999999999</v>
      </c>
      <c r="F35" s="153">
        <f t="shared" si="106"/>
        <v>1410.623</v>
      </c>
      <c r="G35" s="153">
        <f t="shared" si="106"/>
        <v>1090.6680000000001</v>
      </c>
      <c r="H35" s="152">
        <f t="shared" si="106"/>
        <v>1115.722</v>
      </c>
      <c r="I35" s="153">
        <f t="shared" si="106"/>
        <v>1118.1950000000002</v>
      </c>
      <c r="J35" s="153">
        <f t="shared" si="106"/>
        <v>1161.6690000000001</v>
      </c>
      <c r="K35" s="154">
        <f t="shared" si="106"/>
        <v>1168.806</v>
      </c>
      <c r="L35" s="153">
        <f t="shared" si="106"/>
        <v>1175.3510000000001</v>
      </c>
      <c r="M35" s="153">
        <f t="shared" si="106"/>
        <v>1170.9939999999999</v>
      </c>
      <c r="N35" s="153">
        <f t="shared" si="106"/>
        <v>1181.0429999999999</v>
      </c>
      <c r="O35" s="153">
        <f t="shared" si="106"/>
        <v>1187.8430000000001</v>
      </c>
      <c r="P35" s="152">
        <f t="shared" ref="P35:W35" si="107">P33+P28+SUM(P30:P31)</f>
        <v>1199.94</v>
      </c>
      <c r="Q35" s="153">
        <f t="shared" si="107"/>
        <v>1158.396</v>
      </c>
      <c r="R35" s="153">
        <f t="shared" si="107"/>
        <v>1166.7620000000002</v>
      </c>
      <c r="S35" s="154">
        <f t="shared" si="107"/>
        <v>1090.4960000000001</v>
      </c>
      <c r="T35" s="153">
        <f t="shared" si="107"/>
        <v>1092.4129999999998</v>
      </c>
      <c r="U35" s="153">
        <f t="shared" si="107"/>
        <v>1140.8149999999998</v>
      </c>
      <c r="V35" s="153">
        <f t="shared" si="107"/>
        <v>1164.547</v>
      </c>
      <c r="W35" s="153">
        <f t="shared" si="107"/>
        <v>1189.9079999999999</v>
      </c>
      <c r="X35" s="152">
        <f t="shared" ref="X35:AI35" si="108">X33+X28+SUM(X30:X31)</f>
        <v>1177.7829999999999</v>
      </c>
      <c r="Y35" s="153">
        <f t="shared" si="108"/>
        <v>1208.2909999999999</v>
      </c>
      <c r="Z35" s="153">
        <f t="shared" si="108"/>
        <v>1241.008</v>
      </c>
      <c r="AA35" s="153">
        <f t="shared" si="108"/>
        <v>1236.0990000000002</v>
      </c>
      <c r="AB35" s="152">
        <f t="shared" si="108"/>
        <v>1211.6889999999999</v>
      </c>
      <c r="AC35" s="153">
        <f t="shared" si="108"/>
        <v>1214.3039999999999</v>
      </c>
      <c r="AD35" s="153">
        <f t="shared" si="108"/>
        <v>1259.259</v>
      </c>
      <c r="AE35" s="154">
        <f t="shared" si="108"/>
        <v>1352.5909999999999</v>
      </c>
      <c r="AF35" s="152">
        <f t="shared" si="108"/>
        <v>1392.404</v>
      </c>
      <c r="AG35" s="153">
        <f t="shared" si="108"/>
        <v>1403.4690000000001</v>
      </c>
      <c r="AH35" s="153">
        <f t="shared" si="108"/>
        <v>1448.2319999999997</v>
      </c>
      <c r="AI35" s="153">
        <f t="shared" si="108"/>
        <v>1564.0520000000001</v>
      </c>
      <c r="AJ35" s="152">
        <f>AJ33+AJ28+SUM(AJ30:AJ31)</f>
        <v>1614.076</v>
      </c>
      <c r="AK35" s="153">
        <f>AK33+AK28+SUM(AK30:AK31)</f>
        <v>1678.797</v>
      </c>
      <c r="AL35" s="153">
        <f>AL33+AL28+SUM(AL30:AL31)</f>
        <v>1805.5989999999999</v>
      </c>
      <c r="AM35" s="153">
        <f>AM33+AM28+SUM(AM30:AM31)</f>
        <v>1890.3890000000001</v>
      </c>
      <c r="AN35" s="152">
        <f t="shared" ref="AN35:AS35" si="109">AN33+AN28+SUM(AN30:AN31)</f>
        <v>1914.6329999999998</v>
      </c>
      <c r="AO35" s="153">
        <f t="shared" si="109"/>
        <v>2007.326</v>
      </c>
      <c r="AP35" s="153">
        <f t="shared" si="109"/>
        <v>2089.893</v>
      </c>
      <c r="AQ35" s="153">
        <f t="shared" si="109"/>
        <v>2136.6460000000002</v>
      </c>
      <c r="AR35" s="152">
        <f t="shared" si="109"/>
        <v>2151.107</v>
      </c>
      <c r="AS35" s="153">
        <f t="shared" si="109"/>
        <v>2216.9</v>
      </c>
      <c r="AT35" s="153">
        <f t="shared" ref="AT35:BB35" si="110">AT33+AT28+SUM(AT30:AT31)</f>
        <v>2217.9</v>
      </c>
      <c r="AU35" s="153">
        <f t="shared" si="110"/>
        <v>2333.1</v>
      </c>
      <c r="AV35" s="152">
        <f t="shared" si="110"/>
        <v>2435.4</v>
      </c>
      <c r="AW35" s="153">
        <f t="shared" si="110"/>
        <v>2534.6000000000004</v>
      </c>
      <c r="AX35" s="153">
        <f t="shared" si="110"/>
        <v>2688.9</v>
      </c>
      <c r="AY35" s="153">
        <f t="shared" si="110"/>
        <v>2973.8</v>
      </c>
      <c r="AZ35" s="152">
        <f t="shared" si="110"/>
        <v>3191</v>
      </c>
      <c r="BA35" s="153">
        <f t="shared" si="110"/>
        <v>3313.2</v>
      </c>
      <c r="BB35" s="153">
        <f t="shared" si="110"/>
        <v>3518.3</v>
      </c>
      <c r="BC35" s="153">
        <f t="shared" ref="BC35:BO35" si="111">BC33+BC28+SUM(BC30:BC31)</f>
        <v>3719.4</v>
      </c>
      <c r="BD35" s="152">
        <f t="shared" si="111"/>
        <v>3930.5</v>
      </c>
      <c r="BE35" s="153">
        <f t="shared" si="111"/>
        <v>3958.2</v>
      </c>
      <c r="BF35" s="153">
        <f t="shared" si="111"/>
        <v>3955.7000000000003</v>
      </c>
      <c r="BG35" s="153">
        <f>BG33+BG28+SUM(BG30:BG31)</f>
        <v>3855.4</v>
      </c>
      <c r="BH35" s="152">
        <f>BH33+BH28+SUM(BH30:BH31)</f>
        <v>4065.7000000000003</v>
      </c>
      <c r="BI35" s="153">
        <f>BI33+BI28+SUM(BI30:BI31)</f>
        <v>4166.8</v>
      </c>
      <c r="BJ35" s="153">
        <f>BJ33+BJ28+SUM(BJ30:BJ31)</f>
        <v>4310.2000000000007</v>
      </c>
      <c r="BK35" s="153">
        <f>BK33+BK28+SUM(BK30:BK31)</f>
        <v>4573.5999999999995</v>
      </c>
      <c r="BL35" s="152">
        <f t="shared" si="111"/>
        <v>4594.3</v>
      </c>
      <c r="BM35" s="153">
        <f t="shared" si="111"/>
        <v>4753.5084017161953</v>
      </c>
      <c r="BN35" s="153">
        <f t="shared" si="111"/>
        <v>4908.7971666148615</v>
      </c>
      <c r="BO35" s="154">
        <f t="shared" si="111"/>
        <v>5162.5756140024869</v>
      </c>
      <c r="BP35" s="152">
        <f t="shared" ref="BP35:BW35" si="112">BP33+BP28+SUM(BP30:BP31)</f>
        <v>5452.6074388978122</v>
      </c>
      <c r="BQ35" s="153">
        <f t="shared" si="112"/>
        <v>5644.291330807353</v>
      </c>
      <c r="BR35" s="153">
        <f t="shared" si="112"/>
        <v>5854.8177679105711</v>
      </c>
      <c r="BS35" s="154">
        <f t="shared" si="112"/>
        <v>6107.7508498385369</v>
      </c>
      <c r="BT35" s="152">
        <f t="shared" si="112"/>
        <v>6372.7749776446071</v>
      </c>
      <c r="BU35" s="153">
        <f t="shared" si="112"/>
        <v>6594.557392859766</v>
      </c>
      <c r="BV35" s="153">
        <f t="shared" si="112"/>
        <v>6836.0370257225068</v>
      </c>
      <c r="BW35" s="154">
        <f t="shared" si="112"/>
        <v>7123.4510571755636</v>
      </c>
      <c r="BX35" s="155"/>
      <c r="BY35" s="152">
        <f>BY33+BY28+SUM(BY30:BY31)</f>
        <v>1090.6680000000001</v>
      </c>
      <c r="BZ35" s="153">
        <f>BZ33+BZ28+SUM(BZ30:BZ31)</f>
        <v>1168.806</v>
      </c>
      <c r="CA35" s="153">
        <f>CA33+CA28+SUM(CA30:CA31)</f>
        <v>1187.8430000000001</v>
      </c>
      <c r="CB35" s="153">
        <f>CB33+CB28+SUM(CB30:CB31)</f>
        <v>1090.4960000000001</v>
      </c>
      <c r="CC35" s="153">
        <f>CB33+CB28+SUM(CB30:CB31)</f>
        <v>1090.4960000000001</v>
      </c>
      <c r="CD35" s="153">
        <f>CD33+CD28+SUM(CD30:CD31)</f>
        <v>1236.0990000000002</v>
      </c>
      <c r="CE35" s="153">
        <f t="shared" ref="CE35:CN35" si="113">CE33+CE28+SUM(CE30:CE31)</f>
        <v>1352.5909999999999</v>
      </c>
      <c r="CF35" s="153">
        <f t="shared" si="113"/>
        <v>1564.0520000000001</v>
      </c>
      <c r="CG35" s="153">
        <f t="shared" si="113"/>
        <v>1890.3890000000001</v>
      </c>
      <c r="CH35" s="153">
        <f t="shared" si="113"/>
        <v>2136.6460000000002</v>
      </c>
      <c r="CI35" s="154">
        <f t="shared" si="113"/>
        <v>2333.1</v>
      </c>
      <c r="CJ35" s="152">
        <f t="shared" si="113"/>
        <v>2973.8</v>
      </c>
      <c r="CK35" s="153">
        <f t="shared" si="113"/>
        <v>3719.4</v>
      </c>
      <c r="CL35" s="153">
        <f t="shared" si="113"/>
        <v>3855.4</v>
      </c>
      <c r="CM35" s="153">
        <f t="shared" si="113"/>
        <v>4573.5999999999995</v>
      </c>
      <c r="CN35" s="153">
        <f t="shared" si="113"/>
        <v>5162.5756140024869</v>
      </c>
      <c r="CO35" s="153">
        <f>CO33+CO28+SUM(CO30:CO31)</f>
        <v>6107.7508498385369</v>
      </c>
      <c r="CP35" s="154">
        <f>CP33+CP28+SUM(CP30:CP31)</f>
        <v>7123.4510571755636</v>
      </c>
      <c r="CQ35" s="949"/>
      <c r="CR35" s="152">
        <f>CR33+CR28+SUM(CR30:CR31)</f>
        <v>1199.94</v>
      </c>
      <c r="CS35" s="153">
        <f>CS33+CS28+SUM(CS30:CS31)</f>
        <v>1092.4129999999998</v>
      </c>
      <c r="CT35" s="153">
        <f>CT33+CT28+SUM(CT30:CT31)</f>
        <v>1177.7829999999999</v>
      </c>
      <c r="CU35" s="153">
        <f t="shared" ref="CU35:CZ35" si="114">CU33+CU28+SUM(CU30:CU31)</f>
        <v>1211.6889999999999</v>
      </c>
      <c r="CV35" s="153">
        <f t="shared" si="114"/>
        <v>1392.404</v>
      </c>
      <c r="CW35" s="153">
        <f t="shared" si="114"/>
        <v>1614.076</v>
      </c>
      <c r="CX35" s="153">
        <f t="shared" si="114"/>
        <v>1914.6329999999998</v>
      </c>
      <c r="CY35" s="153">
        <f t="shared" si="114"/>
        <v>2151.107</v>
      </c>
      <c r="CZ35" s="153">
        <f t="shared" si="114"/>
        <v>2435.4</v>
      </c>
      <c r="DA35" s="152">
        <f t="shared" ref="DA35:DF35" si="115">DA33+DA28+SUM(DA30:DA31)</f>
        <v>3191</v>
      </c>
      <c r="DB35" s="153">
        <f t="shared" si="115"/>
        <v>3930.5</v>
      </c>
      <c r="DC35" s="153">
        <f t="shared" si="115"/>
        <v>4065.7000000000003</v>
      </c>
      <c r="DD35" s="153">
        <f t="shared" si="115"/>
        <v>4594.3</v>
      </c>
      <c r="DE35" s="153">
        <f t="shared" si="115"/>
        <v>5452.6074388978122</v>
      </c>
      <c r="DF35" s="154">
        <f t="shared" si="115"/>
        <v>6372.7749776446071</v>
      </c>
      <c r="DG35" s="100"/>
      <c r="DH35" s="100"/>
      <c r="DI35" s="100"/>
      <c r="DJ35" s="100"/>
      <c r="DK35"/>
      <c r="DL35"/>
      <c r="DM35"/>
      <c r="DN35"/>
      <c r="DO35"/>
      <c r="DP35"/>
      <c r="DQ35" s="101"/>
      <c r="DR35" s="101"/>
    </row>
    <row r="36" spans="1:122" s="3" customFormat="1" ht="12.75" customHeight="1">
      <c r="B36" s="6"/>
      <c r="C36" s="6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162"/>
      <c r="AJ36" s="99"/>
      <c r="AK36" s="162"/>
      <c r="AL36" s="162"/>
      <c r="AM36" s="162"/>
      <c r="AN36" s="99"/>
      <c r="AO36" s="162"/>
      <c r="AP36" s="162"/>
      <c r="AQ36" s="162"/>
      <c r="AR36" s="99"/>
      <c r="AS36" s="162"/>
      <c r="AT36" s="162"/>
      <c r="AU36" s="162"/>
      <c r="AV36" s="99"/>
      <c r="AW36" s="162"/>
      <c r="AX36" s="162"/>
      <c r="AY36" s="162"/>
      <c r="AZ36" s="99"/>
      <c r="BA36" s="162"/>
      <c r="BB36" s="162"/>
      <c r="BC36" s="162"/>
      <c r="BD36" s="99"/>
      <c r="BE36" s="162"/>
      <c r="BF36" s="162"/>
      <c r="BG36" s="162"/>
      <c r="BH36" s="99"/>
      <c r="BI36" s="162"/>
      <c r="BJ36" s="162"/>
      <c r="BK36" s="162"/>
      <c r="BL36" s="99"/>
      <c r="BM36" s="162"/>
      <c r="BN36" s="162"/>
      <c r="BO36" s="162"/>
      <c r="BP36" s="99"/>
      <c r="BQ36" s="162"/>
      <c r="BR36" s="162"/>
      <c r="BS36" s="162"/>
      <c r="BT36" s="99"/>
      <c r="BU36" s="162"/>
      <c r="BV36" s="162"/>
      <c r="BW36" s="162"/>
      <c r="BX36" s="99"/>
      <c r="BY36" s="99"/>
      <c r="BZ36" s="99"/>
      <c r="CA36" s="99"/>
      <c r="CB36" s="99"/>
      <c r="CC36" s="99"/>
      <c r="CD36" s="99"/>
      <c r="CE36" s="99"/>
      <c r="CF36" s="99"/>
      <c r="CG36" s="99"/>
      <c r="CH36" s="99"/>
      <c r="CI36" s="99"/>
      <c r="CJ36" s="581"/>
      <c r="CK36" s="99"/>
      <c r="CL36" s="99"/>
      <c r="CM36" s="99"/>
      <c r="CN36" s="581"/>
      <c r="CO36" s="581"/>
      <c r="CP36" s="99"/>
      <c r="CQ36" s="6"/>
      <c r="CR36" s="99"/>
      <c r="CS36" s="99"/>
      <c r="CT36" s="99"/>
      <c r="CU36" s="99"/>
      <c r="CV36" s="99"/>
      <c r="CW36" s="99"/>
      <c r="CX36" s="99"/>
      <c r="CY36" s="99"/>
      <c r="CZ36" s="99"/>
      <c r="DA36" s="99"/>
      <c r="DB36" s="99"/>
      <c r="DC36" s="99"/>
      <c r="DD36" s="99"/>
      <c r="DE36" s="99"/>
      <c r="DF36" s="99"/>
      <c r="DG36" s="110"/>
      <c r="DH36" s="110"/>
      <c r="DI36" s="110"/>
      <c r="DJ36" s="110"/>
      <c r="DK36"/>
      <c r="DL36"/>
      <c r="DM36"/>
      <c r="DN36"/>
      <c r="DO36"/>
      <c r="DP36"/>
      <c r="DQ36" s="109"/>
      <c r="DR36" s="109"/>
    </row>
    <row r="37" spans="1:122" s="7" customFormat="1" ht="14.25">
      <c r="A37" s="3"/>
      <c r="B37" s="163" t="s">
        <v>135</v>
      </c>
      <c r="C37" s="164"/>
      <c r="D37" s="167">
        <f t="shared" ref="D37:X37" si="116">IF(ROUND(D35,4)=ROUND(D21,4),0,D21-D35)</f>
        <v>0</v>
      </c>
      <c r="E37" s="165">
        <f t="shared" si="116"/>
        <v>0</v>
      </c>
      <c r="F37" s="165">
        <f t="shared" si="116"/>
        <v>0</v>
      </c>
      <c r="G37" s="166">
        <f t="shared" si="116"/>
        <v>0</v>
      </c>
      <c r="H37" s="167">
        <f t="shared" si="116"/>
        <v>0</v>
      </c>
      <c r="I37" s="165">
        <f t="shared" si="116"/>
        <v>0</v>
      </c>
      <c r="J37" s="165">
        <f t="shared" si="116"/>
        <v>0</v>
      </c>
      <c r="K37" s="166">
        <f t="shared" si="116"/>
        <v>0</v>
      </c>
      <c r="L37" s="167">
        <f t="shared" si="116"/>
        <v>0</v>
      </c>
      <c r="M37" s="165">
        <f t="shared" si="116"/>
        <v>0</v>
      </c>
      <c r="N37" s="165">
        <f t="shared" si="116"/>
        <v>0</v>
      </c>
      <c r="O37" s="166">
        <f t="shared" si="116"/>
        <v>0</v>
      </c>
      <c r="P37" s="167">
        <f t="shared" si="116"/>
        <v>0</v>
      </c>
      <c r="Q37" s="165">
        <f t="shared" si="116"/>
        <v>0</v>
      </c>
      <c r="R37" s="165">
        <f t="shared" si="116"/>
        <v>0</v>
      </c>
      <c r="S37" s="166">
        <f t="shared" si="116"/>
        <v>0</v>
      </c>
      <c r="T37" s="167">
        <f t="shared" si="116"/>
        <v>0</v>
      </c>
      <c r="U37" s="165">
        <f t="shared" si="116"/>
        <v>0</v>
      </c>
      <c r="V37" s="165">
        <f t="shared" si="116"/>
        <v>0</v>
      </c>
      <c r="W37" s="166">
        <f t="shared" si="116"/>
        <v>0</v>
      </c>
      <c r="X37" s="167">
        <f t="shared" si="116"/>
        <v>0</v>
      </c>
      <c r="Y37" s="165">
        <f t="shared" ref="Y37:AL37" si="117">IF(ROUND(Y35,4)=ROUND(Y21,4),0,Y21-Y35)</f>
        <v>0</v>
      </c>
      <c r="Z37" s="165">
        <f t="shared" si="117"/>
        <v>0</v>
      </c>
      <c r="AA37" s="166">
        <f t="shared" si="117"/>
        <v>0</v>
      </c>
      <c r="AB37" s="167">
        <f t="shared" si="117"/>
        <v>0</v>
      </c>
      <c r="AC37" s="165">
        <f t="shared" si="117"/>
        <v>0</v>
      </c>
      <c r="AD37" s="165">
        <f t="shared" si="117"/>
        <v>0</v>
      </c>
      <c r="AE37" s="166">
        <f t="shared" si="117"/>
        <v>0</v>
      </c>
      <c r="AF37" s="167">
        <f t="shared" si="117"/>
        <v>0</v>
      </c>
      <c r="AG37" s="165">
        <f t="shared" si="117"/>
        <v>0</v>
      </c>
      <c r="AH37" s="165">
        <f t="shared" si="117"/>
        <v>0</v>
      </c>
      <c r="AI37" s="166">
        <f t="shared" si="117"/>
        <v>0</v>
      </c>
      <c r="AJ37" s="167">
        <f t="shared" si="117"/>
        <v>0</v>
      </c>
      <c r="AK37" s="165">
        <f t="shared" si="117"/>
        <v>0</v>
      </c>
      <c r="AL37" s="165">
        <f t="shared" si="117"/>
        <v>0</v>
      </c>
      <c r="AM37" s="166">
        <f t="shared" ref="AM37:AR37" si="118">IF(ROUND(AM35,4)=ROUND(AM21,4),0,AM21-AM35)</f>
        <v>0</v>
      </c>
      <c r="AN37" s="167">
        <f t="shared" si="118"/>
        <v>0</v>
      </c>
      <c r="AO37" s="165">
        <f t="shared" si="118"/>
        <v>0</v>
      </c>
      <c r="AP37" s="165">
        <f t="shared" si="118"/>
        <v>0</v>
      </c>
      <c r="AQ37" s="166">
        <f t="shared" si="118"/>
        <v>0</v>
      </c>
      <c r="AR37" s="167">
        <f t="shared" si="118"/>
        <v>0</v>
      </c>
      <c r="AS37" s="165">
        <f t="shared" ref="AS37:BB37" si="119">IF(ROUND(AS35,4)=ROUND(AS21,4),0,AS21-AS35)</f>
        <v>0</v>
      </c>
      <c r="AT37" s="165">
        <f t="shared" si="119"/>
        <v>0</v>
      </c>
      <c r="AU37" s="166">
        <f t="shared" si="119"/>
        <v>0</v>
      </c>
      <c r="AV37" s="167">
        <f t="shared" si="119"/>
        <v>0</v>
      </c>
      <c r="AW37" s="165">
        <f t="shared" si="119"/>
        <v>0</v>
      </c>
      <c r="AX37" s="165">
        <f t="shared" si="119"/>
        <v>0</v>
      </c>
      <c r="AY37" s="166">
        <f t="shared" si="119"/>
        <v>0</v>
      </c>
      <c r="AZ37" s="167">
        <f t="shared" si="119"/>
        <v>0</v>
      </c>
      <c r="BA37" s="165">
        <f t="shared" si="119"/>
        <v>0</v>
      </c>
      <c r="BB37" s="165">
        <f t="shared" si="119"/>
        <v>0</v>
      </c>
      <c r="BC37" s="166">
        <f t="shared" ref="BC37:BJ37" si="120">IF(ROUND(BC35,4)=ROUND(BC21,4),0,BC21-BC35)</f>
        <v>0</v>
      </c>
      <c r="BD37" s="167">
        <f t="shared" si="120"/>
        <v>0</v>
      </c>
      <c r="BE37" s="165">
        <f t="shared" si="120"/>
        <v>0</v>
      </c>
      <c r="BF37" s="165">
        <f t="shared" si="120"/>
        <v>0</v>
      </c>
      <c r="BG37" s="166">
        <f t="shared" si="120"/>
        <v>0</v>
      </c>
      <c r="BH37" s="167">
        <f>IF(ROUND(BH35,4)=ROUND(BH21,4),0,BH21-BH35)</f>
        <v>0</v>
      </c>
      <c r="BI37" s="165">
        <f>IF(ROUND(BI35,4)=ROUND(BI21,4),0,BI21-BI35)</f>
        <v>0</v>
      </c>
      <c r="BJ37" s="165">
        <f t="shared" si="120"/>
        <v>0</v>
      </c>
      <c r="BK37" s="166">
        <f t="shared" ref="BK37" si="121">IF(ROUND(BK35,4)=ROUND(BK21,4),0,BK21-BK35)</f>
        <v>0</v>
      </c>
      <c r="BL37" s="167">
        <f t="shared" ref="BL37:BS37" si="122">IF(ROUND(BL35,4)=ROUND(BL21,4),0,BL21-BL35)</f>
        <v>0</v>
      </c>
      <c r="BM37" s="165">
        <f t="shared" si="122"/>
        <v>0</v>
      </c>
      <c r="BN37" s="165">
        <f t="shared" si="122"/>
        <v>0</v>
      </c>
      <c r="BO37" s="166">
        <f t="shared" si="122"/>
        <v>0</v>
      </c>
      <c r="BP37" s="167">
        <f t="shared" si="122"/>
        <v>0</v>
      </c>
      <c r="BQ37" s="165">
        <f t="shared" si="122"/>
        <v>0</v>
      </c>
      <c r="BR37" s="165">
        <f t="shared" si="122"/>
        <v>0</v>
      </c>
      <c r="BS37" s="166">
        <f t="shared" si="122"/>
        <v>0</v>
      </c>
      <c r="BT37" s="167">
        <f t="shared" ref="BT37:BW37" si="123">IF(ROUND(BT35,4)=ROUND(BT21,4),0,BT21-BT35)</f>
        <v>0</v>
      </c>
      <c r="BU37" s="165">
        <f t="shared" si="123"/>
        <v>0</v>
      </c>
      <c r="BV37" s="165">
        <f t="shared" si="123"/>
        <v>0</v>
      </c>
      <c r="BW37" s="166">
        <f t="shared" si="123"/>
        <v>0</v>
      </c>
      <c r="BX37" s="411"/>
      <c r="BY37" s="165">
        <f>IF(ROUND(BY35,4)=ROUND(BY21,4),0,BY21-BY35)</f>
        <v>0</v>
      </c>
      <c r="BZ37" s="165">
        <f>IF(ROUND(BZ35,4)=ROUND(BZ21,4),0,BZ21-BZ35)</f>
        <v>0</v>
      </c>
      <c r="CA37" s="165">
        <f>IF(ROUND(CA35,4)=ROUND(CA21,4),0,CA21-CA35)</f>
        <v>0</v>
      </c>
      <c r="CB37" s="165">
        <f>IF(ROUND(CB35,4)=ROUND(CB21,4),0,CB21-CB35)</f>
        <v>0</v>
      </c>
      <c r="CC37" s="165">
        <f>IF(ROUND(CB35,4)=ROUND(CB21,4),0,CB21-CB35)</f>
        <v>0</v>
      </c>
      <c r="CD37" s="165">
        <f>IF(ROUND(CD35,4)=ROUND(CD21,4),0,CD21-CD35)</f>
        <v>0</v>
      </c>
      <c r="CE37" s="165">
        <f>IF(ROUND(CE35,4)=ROUND(CE21,4),0,CE21-CE35)</f>
        <v>0</v>
      </c>
      <c r="CF37" s="165">
        <f>IF(ROUND(CF35,4)=ROUND(CF21,4),0,CF21-CF35)</f>
        <v>0</v>
      </c>
      <c r="CG37" s="165">
        <f>IF(ROUND(CG35,4)=ROUND(CG21,4),0,CG21-CG35)</f>
        <v>0</v>
      </c>
      <c r="CH37" s="165">
        <f t="shared" ref="CH37:CZ37" si="124">IF(ROUND(CH35,4)=ROUND(CH21,4),0,CH21-CH35)</f>
        <v>0</v>
      </c>
      <c r="CI37" s="165">
        <f t="shared" si="124"/>
        <v>0</v>
      </c>
      <c r="CJ37" s="165">
        <f t="shared" si="124"/>
        <v>0</v>
      </c>
      <c r="CK37" s="165">
        <f t="shared" si="124"/>
        <v>0</v>
      </c>
      <c r="CL37" s="165">
        <f t="shared" si="124"/>
        <v>0</v>
      </c>
      <c r="CM37" s="165">
        <f t="shared" si="124"/>
        <v>0</v>
      </c>
      <c r="CN37" s="165">
        <f t="shared" si="124"/>
        <v>0</v>
      </c>
      <c r="CO37" s="165">
        <f>IF(ROUND(CO35,4)=ROUND(CO21,4),0,CO21-CO35)</f>
        <v>0</v>
      </c>
      <c r="CP37" s="165">
        <f>IF(ROUND(CP35,4)=ROUND(CP21,4),0,CP21-CP35)</f>
        <v>0</v>
      </c>
      <c r="CQ37" s="131"/>
      <c r="CR37" s="165">
        <f>IF(ROUND(CR35,4)=ROUND(CR21,4),0,CR21-CR35)</f>
        <v>0</v>
      </c>
      <c r="CS37" s="165">
        <f>IF(ROUND(CS35,4)=ROUND(CS21,4),0,CS21-CS35)</f>
        <v>0</v>
      </c>
      <c r="CT37" s="165">
        <f>IF(ROUND(CT35,4)=ROUND(CT21,4),0,CT21-CT35)</f>
        <v>0</v>
      </c>
      <c r="CU37" s="165">
        <f t="shared" si="124"/>
        <v>0</v>
      </c>
      <c r="CV37" s="165">
        <f t="shared" si="124"/>
        <v>0</v>
      </c>
      <c r="CW37" s="165">
        <f t="shared" si="124"/>
        <v>0</v>
      </c>
      <c r="CX37" s="165">
        <f t="shared" si="124"/>
        <v>0</v>
      </c>
      <c r="CY37" s="165">
        <f t="shared" si="124"/>
        <v>0</v>
      </c>
      <c r="CZ37" s="165">
        <f t="shared" si="124"/>
        <v>0</v>
      </c>
      <c r="DA37" s="165">
        <f t="shared" ref="DA37:DF37" si="125">IF(ROUND(DA35,4)=ROUND(DA21,4),0,DA21-DA35)</f>
        <v>0</v>
      </c>
      <c r="DB37" s="165">
        <f t="shared" si="125"/>
        <v>0</v>
      </c>
      <c r="DC37" s="165">
        <f t="shared" si="125"/>
        <v>0</v>
      </c>
      <c r="DD37" s="165">
        <f t="shared" si="125"/>
        <v>0</v>
      </c>
      <c r="DE37" s="165">
        <f t="shared" si="125"/>
        <v>0</v>
      </c>
      <c r="DF37" s="166">
        <f t="shared" si="125"/>
        <v>0</v>
      </c>
      <c r="DG37" s="100"/>
      <c r="DH37" s="100"/>
      <c r="DI37" s="100"/>
      <c r="DJ37" s="100"/>
      <c r="DK37"/>
      <c r="DL37"/>
      <c r="DM37"/>
      <c r="DN37"/>
      <c r="DO37"/>
      <c r="DP37"/>
      <c r="DQ37" s="101"/>
      <c r="DR37" s="101"/>
    </row>
    <row r="38" spans="1:122" s="7" customFormat="1" ht="14.25">
      <c r="A38" s="3"/>
      <c r="B38" s="102"/>
      <c r="C38" s="6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28"/>
      <c r="BY38" s="128"/>
      <c r="BZ38" s="128"/>
      <c r="CA38" s="128"/>
      <c r="CB38" s="128"/>
      <c r="CC38" s="128"/>
      <c r="CD38" s="128"/>
      <c r="CE38" s="128"/>
      <c r="CF38" s="128"/>
      <c r="CG38" s="169"/>
      <c r="CH38" s="169"/>
      <c r="CI38" s="169"/>
      <c r="CJ38" s="128"/>
      <c r="CK38" s="128"/>
      <c r="CL38" s="128"/>
      <c r="CM38" s="128"/>
      <c r="CN38" s="128"/>
      <c r="CO38" s="128"/>
      <c r="CP38" s="128"/>
      <c r="CQ38" s="102"/>
      <c r="CR38" s="128"/>
      <c r="CS38" s="128"/>
      <c r="CT38" s="128"/>
      <c r="CU38" s="128"/>
      <c r="CV38" s="128"/>
      <c r="CW38" s="128"/>
      <c r="CX38" s="128"/>
      <c r="CY38" s="128"/>
      <c r="CZ38" s="128"/>
      <c r="DA38" s="128"/>
      <c r="DB38" s="128"/>
      <c r="DC38" s="128"/>
      <c r="DD38" s="128"/>
      <c r="DE38" s="128"/>
      <c r="DF38" s="128"/>
      <c r="DG38" s="100"/>
      <c r="DH38" s="100"/>
      <c r="DI38" s="100"/>
      <c r="DJ38" s="100"/>
      <c r="DK38"/>
      <c r="DL38"/>
      <c r="DM38"/>
      <c r="DN38"/>
      <c r="DO38"/>
      <c r="DP38"/>
      <c r="DQ38" s="101"/>
      <c r="DR38" s="101"/>
    </row>
    <row r="39" spans="1:122" s="7" customFormat="1" ht="14.25">
      <c r="A39" s="3"/>
      <c r="B39" s="102"/>
      <c r="C39" s="6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68"/>
      <c r="BI39" s="168"/>
      <c r="BJ39" s="168"/>
      <c r="BK39" s="168"/>
      <c r="BL39" s="168"/>
      <c r="BM39" s="168"/>
      <c r="BN39" s="168"/>
      <c r="BO39" s="168"/>
      <c r="BP39" s="168"/>
      <c r="BQ39" s="168"/>
      <c r="BR39" s="168"/>
      <c r="BS39" s="168"/>
      <c r="BT39" s="168"/>
      <c r="BU39" s="168"/>
      <c r="BV39" s="168"/>
      <c r="BW39" s="168"/>
      <c r="BX39" s="128"/>
      <c r="BY39" s="128"/>
      <c r="BZ39" s="128"/>
      <c r="CA39" s="128"/>
      <c r="CB39" s="128"/>
      <c r="CC39" s="128"/>
      <c r="CD39" s="128"/>
      <c r="CE39" s="128"/>
      <c r="CF39" s="128"/>
      <c r="CG39" s="128"/>
      <c r="CH39" s="128"/>
      <c r="CI39" s="128"/>
      <c r="CJ39" s="128"/>
      <c r="CK39" s="128"/>
      <c r="CL39" s="128"/>
      <c r="CM39" s="128"/>
      <c r="CN39" s="128"/>
      <c r="CO39" s="128"/>
      <c r="CP39" s="128"/>
      <c r="CQ39" s="102"/>
      <c r="CR39" s="128"/>
      <c r="CS39" s="128"/>
      <c r="CT39" s="128"/>
      <c r="CU39" s="128"/>
      <c r="CV39" s="128"/>
      <c r="CW39" s="128"/>
      <c r="CX39" s="128"/>
      <c r="CY39" s="128"/>
      <c r="CZ39" s="128"/>
      <c r="DA39" s="128"/>
      <c r="DB39" s="128"/>
      <c r="DC39" s="128"/>
      <c r="DD39" s="128"/>
      <c r="DE39" s="128"/>
      <c r="DF39" s="128"/>
      <c r="DG39" s="100"/>
      <c r="DH39" s="100"/>
      <c r="DI39" s="100"/>
      <c r="DJ39" s="100"/>
      <c r="DK39"/>
      <c r="DL39"/>
      <c r="DM39"/>
      <c r="DN39"/>
      <c r="DO39"/>
      <c r="DP39"/>
      <c r="DQ39" s="101"/>
      <c r="DR39" s="101"/>
    </row>
    <row r="40" spans="1:122" s="228" customFormat="1" ht="15">
      <c r="A40" s="121"/>
      <c r="B40" s="170" t="s">
        <v>136</v>
      </c>
      <c r="C40" s="232"/>
      <c r="D40" s="11" t="str">
        <f t="shared" ref="D40:O40" si="126">D6</f>
        <v>F1Q03A</v>
      </c>
      <c r="E40" s="12" t="str">
        <f t="shared" si="126"/>
        <v>F2Q03A</v>
      </c>
      <c r="F40" s="12" t="str">
        <f t="shared" si="126"/>
        <v>F3Q03A</v>
      </c>
      <c r="G40" s="13" t="str">
        <f t="shared" si="126"/>
        <v>F4Q03A</v>
      </c>
      <c r="H40" s="11" t="str">
        <f t="shared" si="126"/>
        <v>F1Q04A</v>
      </c>
      <c r="I40" s="12" t="str">
        <f t="shared" si="126"/>
        <v>F2Q04A</v>
      </c>
      <c r="J40" s="12" t="str">
        <f t="shared" si="126"/>
        <v>F3Q04A</v>
      </c>
      <c r="K40" s="13" t="str">
        <f t="shared" si="126"/>
        <v>F4Q04A</v>
      </c>
      <c r="L40" s="11" t="str">
        <f t="shared" si="126"/>
        <v>F1Q05A</v>
      </c>
      <c r="M40" s="12" t="str">
        <f t="shared" si="126"/>
        <v>F2Q05A</v>
      </c>
      <c r="N40" s="12" t="str">
        <f t="shared" si="126"/>
        <v>F3Q05A</v>
      </c>
      <c r="O40" s="13" t="str">
        <f t="shared" si="126"/>
        <v>F4Q05A</v>
      </c>
      <c r="P40" s="11" t="str">
        <f t="shared" ref="P40:W40" si="127">P6</f>
        <v>F1Q06A</v>
      </c>
      <c r="Q40" s="12" t="str">
        <f t="shared" si="127"/>
        <v>F2Q06A</v>
      </c>
      <c r="R40" s="12" t="str">
        <f t="shared" si="127"/>
        <v>F3Q06A</v>
      </c>
      <c r="S40" s="13" t="str">
        <f t="shared" si="127"/>
        <v>F4Q06A</v>
      </c>
      <c r="T40" s="11" t="str">
        <f t="shared" si="127"/>
        <v>F1Q07A</v>
      </c>
      <c r="U40" s="12" t="str">
        <f t="shared" si="127"/>
        <v>F2Q07A</v>
      </c>
      <c r="V40" s="12" t="str">
        <f t="shared" si="127"/>
        <v>F3Q07A</v>
      </c>
      <c r="W40" s="13" t="str">
        <f t="shared" si="127"/>
        <v>F4Q07A</v>
      </c>
      <c r="X40" s="11" t="str">
        <f t="shared" ref="X40:AW40" si="128">X6</f>
        <v>F1Q08A</v>
      </c>
      <c r="Y40" s="12" t="str">
        <f t="shared" si="128"/>
        <v>F2Q08A</v>
      </c>
      <c r="Z40" s="12" t="str">
        <f t="shared" si="128"/>
        <v>F3Q08A</v>
      </c>
      <c r="AA40" s="13" t="str">
        <f t="shared" si="128"/>
        <v>F4Q08A</v>
      </c>
      <c r="AB40" s="12" t="str">
        <f t="shared" si="128"/>
        <v>F1Q09A</v>
      </c>
      <c r="AC40" s="12" t="str">
        <f t="shared" si="128"/>
        <v>F2Q09A</v>
      </c>
      <c r="AD40" s="12" t="str">
        <f t="shared" si="128"/>
        <v>F3Q09A</v>
      </c>
      <c r="AE40" s="12" t="str">
        <f t="shared" si="128"/>
        <v>F4Q09A</v>
      </c>
      <c r="AF40" s="11" t="str">
        <f t="shared" si="128"/>
        <v>F1Q10A</v>
      </c>
      <c r="AG40" s="12" t="str">
        <f t="shared" si="128"/>
        <v>F2Q10A</v>
      </c>
      <c r="AH40" s="12" t="str">
        <f t="shared" si="128"/>
        <v>F3Q10A</v>
      </c>
      <c r="AI40" s="12" t="str">
        <f t="shared" si="128"/>
        <v>F4Q10A</v>
      </c>
      <c r="AJ40" s="11" t="str">
        <f t="shared" si="128"/>
        <v>F1Q11A</v>
      </c>
      <c r="AK40" s="12" t="str">
        <f t="shared" si="128"/>
        <v>F2Q11A</v>
      </c>
      <c r="AL40" s="12" t="str">
        <f t="shared" si="128"/>
        <v>F3Q11A</v>
      </c>
      <c r="AM40" s="12" t="str">
        <f>AM6</f>
        <v>F4Q11A</v>
      </c>
      <c r="AN40" s="11" t="str">
        <f>AN6</f>
        <v>F1Q12A</v>
      </c>
      <c r="AO40" s="12" t="str">
        <f>AO6</f>
        <v>F2Q12A</v>
      </c>
      <c r="AP40" s="12" t="str">
        <f t="shared" si="128"/>
        <v>F3Q12A</v>
      </c>
      <c r="AQ40" s="12" t="str">
        <f>AQ6</f>
        <v>F4Q12A</v>
      </c>
      <c r="AR40" s="11" t="str">
        <f>AR6</f>
        <v>F1Q13A</v>
      </c>
      <c r="AS40" s="12" t="str">
        <f>AS6</f>
        <v>F2Q13A</v>
      </c>
      <c r="AT40" s="12" t="str">
        <f>AT6</f>
        <v>F3Q13A</v>
      </c>
      <c r="AU40" s="12" t="str">
        <f t="shared" si="128"/>
        <v>F4Q13A</v>
      </c>
      <c r="AV40" s="11" t="str">
        <f t="shared" si="128"/>
        <v>F1Q14A</v>
      </c>
      <c r="AW40" s="12" t="str">
        <f t="shared" si="128"/>
        <v>F2Q14A</v>
      </c>
      <c r="AX40" s="12" t="str">
        <f t="shared" ref="AX40:BC40" si="129">AX6</f>
        <v>F3Q14A</v>
      </c>
      <c r="AY40" s="12" t="str">
        <f t="shared" si="129"/>
        <v>F4Q14A</v>
      </c>
      <c r="AZ40" s="11" t="str">
        <f t="shared" si="129"/>
        <v>F1Q15A</v>
      </c>
      <c r="BA40" s="12" t="str">
        <f t="shared" si="129"/>
        <v>F2Q15A</v>
      </c>
      <c r="BB40" s="12" t="str">
        <f t="shared" si="129"/>
        <v>F3Q15A</v>
      </c>
      <c r="BC40" s="12" t="str">
        <f t="shared" si="129"/>
        <v>F4Q15A</v>
      </c>
      <c r="BD40" s="11" t="str">
        <f t="shared" ref="BD40:BJ40" si="130">BD6</f>
        <v>F1Q16A</v>
      </c>
      <c r="BE40" s="12" t="str">
        <f t="shared" si="130"/>
        <v>F2Q16A</v>
      </c>
      <c r="BF40" s="12" t="str">
        <f t="shared" si="130"/>
        <v>F3Q16A</v>
      </c>
      <c r="BG40" s="12" t="str">
        <f t="shared" si="130"/>
        <v>F4Q16A</v>
      </c>
      <c r="BH40" s="11" t="str">
        <f>BH6</f>
        <v>F1Q17A</v>
      </c>
      <c r="BI40" s="858" t="str">
        <f>BI6</f>
        <v>F2Q17A</v>
      </c>
      <c r="BJ40" s="12" t="str">
        <f t="shared" si="130"/>
        <v>F3Q17A</v>
      </c>
      <c r="BK40" s="878" t="str">
        <f t="shared" ref="BK40" si="131">BK6</f>
        <v>F4Q17A</v>
      </c>
      <c r="BL40" s="865" t="str">
        <f t="shared" ref="BL40:BS40" si="132">BL6</f>
        <v>F1Q18A</v>
      </c>
      <c r="BM40" s="866" t="str">
        <f t="shared" si="132"/>
        <v>F2Q18E</v>
      </c>
      <c r="BN40" s="866" t="str">
        <f t="shared" si="132"/>
        <v>F3Q18E</v>
      </c>
      <c r="BO40" s="867" t="str">
        <f t="shared" si="132"/>
        <v>F4Q18E</v>
      </c>
      <c r="BP40" s="11" t="str">
        <f t="shared" si="132"/>
        <v>F1Q19E</v>
      </c>
      <c r="BQ40" s="12" t="str">
        <f t="shared" si="132"/>
        <v>F2Q19E</v>
      </c>
      <c r="BR40" s="12" t="str">
        <f t="shared" si="132"/>
        <v>F3Q19E</v>
      </c>
      <c r="BS40" s="12" t="str">
        <f t="shared" si="132"/>
        <v>F4Q19E</v>
      </c>
      <c r="BT40" s="877" t="str">
        <f t="shared" ref="BT40:BW40" si="133">BT6</f>
        <v>F1Q20E</v>
      </c>
      <c r="BU40" s="878" t="str">
        <f t="shared" si="133"/>
        <v>F2Q20E</v>
      </c>
      <c r="BV40" s="878" t="str">
        <f t="shared" si="133"/>
        <v>F3Q20E</v>
      </c>
      <c r="BW40" s="878" t="str">
        <f t="shared" si="133"/>
        <v>F4Q20E</v>
      </c>
      <c r="BX40" s="122"/>
      <c r="BY40" s="714" t="e">
        <f>BY6</f>
        <v>#NAME?</v>
      </c>
      <c r="BZ40" s="241" t="e">
        <f>BZ6</f>
        <v>#NAME?</v>
      </c>
      <c r="CA40" s="241" t="e">
        <f>CA6</f>
        <v>#NAME?</v>
      </c>
      <c r="CB40" s="12" t="e">
        <f>CB6</f>
        <v>#NAME?</v>
      </c>
      <c r="CC40" s="12" t="e">
        <f>CB6</f>
        <v>#NAME?</v>
      </c>
      <c r="CD40" s="12" t="e">
        <f>CD6</f>
        <v>#NAME?</v>
      </c>
      <c r="CE40" s="12" t="e">
        <f t="shared" ref="CE40:CN40" si="134">CE6</f>
        <v>#NAME?</v>
      </c>
      <c r="CF40" s="241" t="e">
        <f t="shared" si="134"/>
        <v>#NAME?</v>
      </c>
      <c r="CG40" s="12" t="e">
        <f t="shared" si="134"/>
        <v>#NAME?</v>
      </c>
      <c r="CH40" s="12" t="e">
        <f t="shared" si="134"/>
        <v>#NAME?</v>
      </c>
      <c r="CI40" s="357" t="str">
        <f t="shared" si="134"/>
        <v>FY2013A</v>
      </c>
      <c r="CJ40" s="11" t="str">
        <f t="shared" si="134"/>
        <v>FY2014A</v>
      </c>
      <c r="CK40" s="12" t="str">
        <f t="shared" si="134"/>
        <v>FY2015A</v>
      </c>
      <c r="CL40" s="12" t="str">
        <f t="shared" si="134"/>
        <v>FY2016A</v>
      </c>
      <c r="CM40" s="12" t="str">
        <f t="shared" si="134"/>
        <v>FY2017A</v>
      </c>
      <c r="CN40" s="12" t="str">
        <f t="shared" si="134"/>
        <v>FY2018E</v>
      </c>
      <c r="CO40" s="878" t="str">
        <f>CO6</f>
        <v>FY2019E</v>
      </c>
      <c r="CP40" s="13" t="str">
        <f>CP6</f>
        <v>FY2020E</v>
      </c>
      <c r="CQ40" s="122"/>
      <c r="CR40" s="11" t="str">
        <f>CR5</f>
        <v>CY2005</v>
      </c>
      <c r="CS40" s="12" t="str">
        <f>CS5</f>
        <v>CY2006</v>
      </c>
      <c r="CT40" s="12" t="str">
        <f>CT5</f>
        <v>CY2007</v>
      </c>
      <c r="CU40" s="12" t="str">
        <f t="shared" ref="CU40:CZ40" si="135">CU5</f>
        <v>CY2008</v>
      </c>
      <c r="CV40" s="12" t="str">
        <f t="shared" si="135"/>
        <v>CY2009</v>
      </c>
      <c r="CW40" s="12" t="str">
        <f t="shared" si="135"/>
        <v>CY2010</v>
      </c>
      <c r="CX40" s="12" t="str">
        <f t="shared" si="135"/>
        <v>CY2011</v>
      </c>
      <c r="CY40" s="12" t="str">
        <f t="shared" si="135"/>
        <v>CY2012</v>
      </c>
      <c r="CZ40" s="13" t="str">
        <f t="shared" si="135"/>
        <v>CY2013</v>
      </c>
      <c r="DA40" s="12" t="str">
        <f t="shared" ref="DA40:DF40" si="136">DA5</f>
        <v>CY2014</v>
      </c>
      <c r="DB40" s="12" t="str">
        <f t="shared" si="136"/>
        <v>CY2015</v>
      </c>
      <c r="DC40" s="12" t="str">
        <f t="shared" si="136"/>
        <v>CY2016</v>
      </c>
      <c r="DD40" s="878" t="str">
        <f t="shared" si="136"/>
        <v>CY2017</v>
      </c>
      <c r="DE40" s="878" t="str">
        <f t="shared" si="136"/>
        <v>CY2018</v>
      </c>
      <c r="DF40" s="879" t="str">
        <f t="shared" si="136"/>
        <v>CY2019</v>
      </c>
      <c r="DG40" s="124"/>
      <c r="DH40" s="124"/>
      <c r="DI40" s="124"/>
      <c r="DJ40" s="124"/>
      <c r="DK40"/>
      <c r="DL40"/>
      <c r="DM40"/>
      <c r="DN40"/>
      <c r="DO40"/>
      <c r="DP40"/>
      <c r="DQ40" s="227"/>
      <c r="DR40" s="227"/>
    </row>
    <row r="41" spans="1:122" s="101" customFormat="1" ht="14.25">
      <c r="A41" s="109"/>
      <c r="B41" s="14" t="s">
        <v>137</v>
      </c>
      <c r="C41" s="24"/>
      <c r="D41" s="172">
        <f t="shared" ref="D41:O41" si="137">D11/(D49*4)*365</f>
        <v>62.605426857435369</v>
      </c>
      <c r="E41" s="172">
        <f t="shared" si="137"/>
        <v>70.817269197529299</v>
      </c>
      <c r="F41" s="172">
        <f t="shared" si="137"/>
        <v>82.587875085719617</v>
      </c>
      <c r="G41" s="172">
        <f t="shared" si="137"/>
        <v>87.743706342646888</v>
      </c>
      <c r="H41" s="172">
        <f t="shared" si="137"/>
        <v>78.604818169358339</v>
      </c>
      <c r="I41" s="172">
        <f t="shared" si="137"/>
        <v>70.976366837265829</v>
      </c>
      <c r="J41" s="172">
        <f t="shared" si="137"/>
        <v>68.876309812563591</v>
      </c>
      <c r="K41" s="172">
        <f t="shared" si="137"/>
        <v>66.019594895146909</v>
      </c>
      <c r="L41" s="172">
        <f t="shared" si="137"/>
        <v>70.816565225290702</v>
      </c>
      <c r="M41" s="172">
        <f t="shared" si="137"/>
        <v>143.77200833451724</v>
      </c>
      <c r="N41" s="172">
        <f>N11/(N49*4)*365</f>
        <v>77.183173046801571</v>
      </c>
      <c r="O41" s="172">
        <f t="shared" si="137"/>
        <v>56.872114622638101</v>
      </c>
      <c r="P41" s="172">
        <f t="shared" ref="P41:W41" si="138">P11/(P49*4)*365</f>
        <v>78.707582251355106</v>
      </c>
      <c r="Q41" s="172">
        <f t="shared" si="138"/>
        <v>85.120820151807976</v>
      </c>
      <c r="R41" s="172">
        <f t="shared" si="138"/>
        <v>94.583580722426916</v>
      </c>
      <c r="S41" s="172">
        <f t="shared" si="138"/>
        <v>75.027662284539687</v>
      </c>
      <c r="T41" s="172">
        <f t="shared" si="138"/>
        <v>75.996824465643016</v>
      </c>
      <c r="U41" s="172">
        <f t="shared" si="138"/>
        <v>81.620165362632477</v>
      </c>
      <c r="V41" s="172">
        <f t="shared" si="138"/>
        <v>85.668658954584387</v>
      </c>
      <c r="W41" s="172">
        <f t="shared" si="138"/>
        <v>80.165597729635536</v>
      </c>
      <c r="X41" s="172">
        <f t="shared" ref="X41:AG41" si="139">X11/(X49*4)*365</f>
        <v>72.228765799185879</v>
      </c>
      <c r="Y41" s="172">
        <f t="shared" si="139"/>
        <v>74.464646915342982</v>
      </c>
      <c r="Z41" s="172">
        <f t="shared" si="139"/>
        <v>71.779291157474091</v>
      </c>
      <c r="AA41" s="172">
        <f t="shared" si="139"/>
        <v>57.563390607397459</v>
      </c>
      <c r="AB41" s="392">
        <f t="shared" si="139"/>
        <v>47.255735439617929</v>
      </c>
      <c r="AC41" s="172">
        <f t="shared" si="139"/>
        <v>59.147132782241748</v>
      </c>
      <c r="AD41" s="172">
        <f t="shared" si="139"/>
        <v>53.668722837882363</v>
      </c>
      <c r="AE41" s="172">
        <f t="shared" si="139"/>
        <v>46.009364617394127</v>
      </c>
      <c r="AF41" s="392">
        <f t="shared" si="139"/>
        <v>44.378370550465455</v>
      </c>
      <c r="AG41" s="172">
        <f t="shared" si="139"/>
        <v>41.270598971679171</v>
      </c>
      <c r="AH41" s="172">
        <f t="shared" ref="AH41:AM41" si="140">AH11/(AH49*4)*365</f>
        <v>51.290804190725197</v>
      </c>
      <c r="AI41" s="176">
        <f t="shared" si="140"/>
        <v>51.039858530466077</v>
      </c>
      <c r="AJ41" s="392">
        <f t="shared" si="140"/>
        <v>54.704527482692768</v>
      </c>
      <c r="AK41" s="172">
        <f t="shared" si="140"/>
        <v>51.414580330720227</v>
      </c>
      <c r="AL41" s="172">
        <f t="shared" si="140"/>
        <v>47.698578248964402</v>
      </c>
      <c r="AM41" s="176">
        <f t="shared" si="140"/>
        <v>40.358884558406828</v>
      </c>
      <c r="AN41" s="392">
        <f t="shared" ref="AN41:AS41" si="141">AN11/(AN49*4)*365</f>
        <v>46.120949103469293</v>
      </c>
      <c r="AO41" s="172">
        <f t="shared" si="141"/>
        <v>52.916943157202006</v>
      </c>
      <c r="AP41" s="172">
        <f t="shared" si="141"/>
        <v>57.909709334306676</v>
      </c>
      <c r="AQ41" s="176">
        <f t="shared" si="141"/>
        <v>64.483870718785695</v>
      </c>
      <c r="AR41" s="392">
        <f t="shared" si="141"/>
        <v>50.710667632013362</v>
      </c>
      <c r="AS41" s="172">
        <f t="shared" si="141"/>
        <v>50.346307619943559</v>
      </c>
      <c r="AT41" s="172">
        <f t="shared" ref="AT41:BB41" si="142">AT11/(AT49*4)*365</f>
        <v>59.403519834900244</v>
      </c>
      <c r="AU41" s="176">
        <f t="shared" si="142"/>
        <v>55.993448637316554</v>
      </c>
      <c r="AV41" s="392">
        <f t="shared" si="142"/>
        <v>48.244012272367385</v>
      </c>
      <c r="AW41" s="172">
        <f t="shared" si="142"/>
        <v>41.034043659043661</v>
      </c>
      <c r="AX41" s="172">
        <f t="shared" si="142"/>
        <v>39.080494037478708</v>
      </c>
      <c r="AY41" s="176">
        <f t="shared" si="142"/>
        <v>40.352269562795883</v>
      </c>
      <c r="AZ41" s="392">
        <f t="shared" si="142"/>
        <v>27.448634388578522</v>
      </c>
      <c r="BA41" s="172">
        <f t="shared" si="142"/>
        <v>33.178552683374882</v>
      </c>
      <c r="BB41" s="172">
        <f t="shared" si="142"/>
        <v>43.000154320987654</v>
      </c>
      <c r="BC41" s="176">
        <f t="shared" ref="BC41:BH41" si="143">BC11/(BC49*4)*365</f>
        <v>55.736262488646695</v>
      </c>
      <c r="BD41" s="392">
        <f t="shared" si="143"/>
        <v>51.94594302977989</v>
      </c>
      <c r="BE41" s="172">
        <f t="shared" si="143"/>
        <v>63.395852148109924</v>
      </c>
      <c r="BF41" s="172">
        <f t="shared" si="143"/>
        <v>69.193162165757613</v>
      </c>
      <c r="BG41" s="176">
        <f t="shared" si="143"/>
        <v>45.504847977017</v>
      </c>
      <c r="BH41" s="392">
        <f t="shared" si="143"/>
        <v>36.767472383244012</v>
      </c>
      <c r="BI41" s="172">
        <f>BI11/(BI49*4)*365</f>
        <v>39.512739227427495</v>
      </c>
      <c r="BJ41" s="172">
        <f>BJ11/(BJ49*4)*365</f>
        <v>40.256161190053284</v>
      </c>
      <c r="BK41" s="176">
        <f t="shared" ref="BK41:BL41" si="144">BK11/(BK49*4)*365</f>
        <v>42.140336177127764</v>
      </c>
      <c r="BL41" s="392">
        <f t="shared" si="144"/>
        <v>39.799885920714893</v>
      </c>
      <c r="BM41" s="869">
        <v>40</v>
      </c>
      <c r="BN41" s="869">
        <v>40</v>
      </c>
      <c r="BO41" s="870">
        <v>40</v>
      </c>
      <c r="BP41" s="621">
        <f>BO41-2</f>
        <v>38</v>
      </c>
      <c r="BQ41" s="624">
        <f>BP41</f>
        <v>38</v>
      </c>
      <c r="BR41" s="624">
        <f>BQ41</f>
        <v>38</v>
      </c>
      <c r="BS41" s="239">
        <f>BR41</f>
        <v>38</v>
      </c>
      <c r="BT41" s="621">
        <f>BS41-2</f>
        <v>36</v>
      </c>
      <c r="BU41" s="624">
        <f>BT41</f>
        <v>36</v>
      </c>
      <c r="BV41" s="624">
        <f>BU41</f>
        <v>36</v>
      </c>
      <c r="BW41" s="239">
        <f>BV41</f>
        <v>36</v>
      </c>
      <c r="BX41" s="475"/>
      <c r="BY41" s="392">
        <f>BY11/(BY49*4)*365</f>
        <v>21.308834812533082</v>
      </c>
      <c r="BZ41" s="358">
        <f>BZ11/(BZ49*4)*365</f>
        <v>18.362592679041303</v>
      </c>
      <c r="CA41" s="358">
        <f>CA11/(CA49*4)*365</f>
        <v>19.744762869918258</v>
      </c>
      <c r="CB41" s="358">
        <f>CB11/(CB49*4)*365</f>
        <v>18.727389337641355</v>
      </c>
      <c r="CC41" s="358">
        <f>CB11/(CB49*4)*365</f>
        <v>18.727389337641355</v>
      </c>
      <c r="CD41" s="358">
        <f t="shared" ref="CD41:CJ41" si="145">CD11/(CD49*4)*365</f>
        <v>15.566305666050788</v>
      </c>
      <c r="CE41" s="358">
        <f t="shared" si="145"/>
        <v>13.078935105292079</v>
      </c>
      <c r="CF41" s="358">
        <f t="shared" si="145"/>
        <v>14.918071482083766</v>
      </c>
      <c r="CG41" s="358">
        <f t="shared" si="145"/>
        <v>11.443211818549575</v>
      </c>
      <c r="CH41" s="358">
        <f t="shared" si="145"/>
        <v>17.311822755726354</v>
      </c>
      <c r="CI41" s="358">
        <f t="shared" si="145"/>
        <v>14.904314844173314</v>
      </c>
      <c r="CJ41" s="358">
        <f t="shared" si="145"/>
        <v>12.64772628087632</v>
      </c>
      <c r="CK41" s="358">
        <f>CK11/(CK49*4)*365</f>
        <v>15.066443653326788</v>
      </c>
      <c r="CL41" s="358">
        <f>CL11/(CL49*4)*365</f>
        <v>11.558148373365762</v>
      </c>
      <c r="CM41" s="358">
        <f t="shared" ref="CM41:CP41" si="146">CM11/(CM49*4)*365</f>
        <v>11.363141534753792</v>
      </c>
      <c r="CN41" s="358">
        <f t="shared" si="146"/>
        <v>10.854790327261147</v>
      </c>
      <c r="CO41" s="358">
        <f t="shared" si="146"/>
        <v>9.9303293804096366</v>
      </c>
      <c r="CP41" s="358">
        <f t="shared" si="146"/>
        <v>9.5977898282213392</v>
      </c>
      <c r="CQ41" s="131"/>
      <c r="CR41" s="358">
        <f>CR11/(CR49*4)*365</f>
        <v>20.258211491740813</v>
      </c>
      <c r="CS41" s="358">
        <f>CS11/(CS49*4)*365</f>
        <v>19.311116656188634</v>
      </c>
      <c r="CT41" s="358">
        <f>CT11/(CT49*4)*365</f>
        <v>20.107899601585196</v>
      </c>
      <c r="CU41" s="358">
        <f t="shared" ref="CU41:CZ41" si="147">CU11/(CU49*4)*365</f>
        <v>11.555589255471601</v>
      </c>
      <c r="CV41" s="358">
        <f t="shared" si="147"/>
        <v>12.989843424435247</v>
      </c>
      <c r="CW41" s="358">
        <f t="shared" si="147"/>
        <v>15.779042950308609</v>
      </c>
      <c r="CX41" s="358">
        <f t="shared" si="147"/>
        <v>12.29045434918263</v>
      </c>
      <c r="CY41" s="358">
        <f t="shared" si="147"/>
        <v>14.128149860859013</v>
      </c>
      <c r="CZ41" s="176">
        <f t="shared" si="147"/>
        <v>13.220979115812314</v>
      </c>
      <c r="DA41" s="358">
        <f t="shared" ref="DA41:DF41" si="148">DA11/(DA49*4)*365</f>
        <v>8.5310317552185833</v>
      </c>
      <c r="DB41" s="358">
        <f t="shared" si="148"/>
        <v>14.244903393792351</v>
      </c>
      <c r="DC41" s="358">
        <f t="shared" si="148"/>
        <v>10.25988097054784</v>
      </c>
      <c r="DD41" s="358">
        <f t="shared" si="148"/>
        <v>11.049221430456585</v>
      </c>
      <c r="DE41" s="358">
        <f t="shared" si="148"/>
        <v>10.675183514013534</v>
      </c>
      <c r="DF41" s="176">
        <f t="shared" si="148"/>
        <v>9.7506680881560683</v>
      </c>
      <c r="DG41" s="100"/>
      <c r="DH41" s="100"/>
      <c r="DI41" s="100"/>
      <c r="DJ41" s="100"/>
      <c r="DK41"/>
      <c r="DL41"/>
      <c r="DM41"/>
      <c r="DN41"/>
      <c r="DO41"/>
      <c r="DP41"/>
    </row>
    <row r="42" spans="1:122" s="101" customFormat="1" ht="14.25">
      <c r="A42" s="109"/>
      <c r="B42" s="14" t="s">
        <v>138</v>
      </c>
      <c r="C42" s="24"/>
      <c r="D42" s="172">
        <f t="shared" ref="D42:O42" si="149">365/D43</f>
        <v>7.9013067822300567</v>
      </c>
      <c r="E42" s="172">
        <f t="shared" si="149"/>
        <v>6.6245096660788034</v>
      </c>
      <c r="F42" s="172">
        <f t="shared" si="149"/>
        <v>6.0355608675326016</v>
      </c>
      <c r="G42" s="172">
        <f t="shared" si="149"/>
        <v>6.061166518806461</v>
      </c>
      <c r="H42" s="172">
        <f t="shared" si="149"/>
        <v>6.8449611962321368</v>
      </c>
      <c r="I42" s="172">
        <f t="shared" si="149"/>
        <v>6.169860843942188</v>
      </c>
      <c r="J42" s="172">
        <f t="shared" si="149"/>
        <v>5.7003411123459413</v>
      </c>
      <c r="K42" s="172">
        <f t="shared" si="149"/>
        <v>6.5734309047911808</v>
      </c>
      <c r="L42" s="172">
        <f t="shared" si="149"/>
        <v>6.6858755569429924</v>
      </c>
      <c r="M42" s="172">
        <f t="shared" si="149"/>
        <v>5.8678537170999485</v>
      </c>
      <c r="N42" s="172">
        <f t="shared" si="149"/>
        <v>5.6151277160539612</v>
      </c>
      <c r="O42" s="172">
        <f t="shared" si="149"/>
        <v>6.2649160916602753</v>
      </c>
      <c r="P42" s="172">
        <f t="shared" ref="P42:W42" si="150">365/P43</f>
        <v>6.2730607449768279</v>
      </c>
      <c r="Q42" s="172">
        <f t="shared" si="150"/>
        <v>5.0065645255218714</v>
      </c>
      <c r="R42" s="172">
        <f t="shared" si="150"/>
        <v>4.8665528484971015</v>
      </c>
      <c r="S42" s="172">
        <f t="shared" si="150"/>
        <v>7.2749695079172936</v>
      </c>
      <c r="T42" s="172">
        <f t="shared" si="150"/>
        <v>6.7832629691159498</v>
      </c>
      <c r="U42" s="172">
        <f t="shared" si="150"/>
        <v>5.8705977822350901</v>
      </c>
      <c r="V42" s="172">
        <f t="shared" si="150"/>
        <v>5.0946066453985726</v>
      </c>
      <c r="W42" s="172">
        <f t="shared" si="150"/>
        <v>5.6528229227324331</v>
      </c>
      <c r="X42" s="172">
        <f t="shared" ref="X42:BL42" si="151">365/X43</f>
        <v>5.9850630443213548</v>
      </c>
      <c r="Y42" s="172">
        <f t="shared" si="151"/>
        <v>5.1626932448915639</v>
      </c>
      <c r="Z42" s="172">
        <f t="shared" si="151"/>
        <v>5.373746302802993</v>
      </c>
      <c r="AA42" s="172">
        <f t="shared" si="151"/>
        <v>5.3616656296079359</v>
      </c>
      <c r="AB42" s="393">
        <f t="shared" si="151"/>
        <v>5.1428456577567188</v>
      </c>
      <c r="AC42" s="172">
        <f t="shared" si="151"/>
        <v>4.726255020795799</v>
      </c>
      <c r="AD42" s="172">
        <f t="shared" si="151"/>
        <v>5.1356174556833452</v>
      </c>
      <c r="AE42" s="172">
        <f t="shared" si="151"/>
        <v>6.3180169772734009</v>
      </c>
      <c r="AF42" s="393">
        <f t="shared" si="151"/>
        <v>5.8393185332127544</v>
      </c>
      <c r="AG42" s="172">
        <f t="shared" si="151"/>
        <v>5.3086517585038004</v>
      </c>
      <c r="AH42" s="172">
        <f>365/AH43</f>
        <v>5.3348099592988225</v>
      </c>
      <c r="AI42" s="173">
        <f t="shared" si="151"/>
        <v>5.6808579756948108</v>
      </c>
      <c r="AJ42" s="393">
        <f t="shared" si="151"/>
        <v>5.2531418799853409</v>
      </c>
      <c r="AK42" s="172">
        <f t="shared" si="151"/>
        <v>4.8931842603582725</v>
      </c>
      <c r="AL42" s="172">
        <f>365/AL43</f>
        <v>4.2458547834749538</v>
      </c>
      <c r="AM42" s="173">
        <f t="shared" si="151"/>
        <v>4.6095114777090531</v>
      </c>
      <c r="AN42" s="393">
        <f t="shared" si="151"/>
        <v>5.0135103179830525</v>
      </c>
      <c r="AO42" s="172">
        <f t="shared" si="151"/>
        <v>4.3346303062519143</v>
      </c>
      <c r="AP42" s="172">
        <f t="shared" si="151"/>
        <v>4.2744246755735364</v>
      </c>
      <c r="AQ42" s="173">
        <f t="shared" si="151"/>
        <v>4.1921482261513177</v>
      </c>
      <c r="AR42" s="393">
        <f t="shared" si="151"/>
        <v>4.5636022032982835</v>
      </c>
      <c r="AS42" s="172">
        <f t="shared" si="151"/>
        <v>4.3947564780898114</v>
      </c>
      <c r="AT42" s="172">
        <f t="shared" si="151"/>
        <v>4.2803451391484106</v>
      </c>
      <c r="AU42" s="173">
        <f t="shared" si="151"/>
        <v>4.6821087409322697</v>
      </c>
      <c r="AV42" s="393">
        <f t="shared" si="151"/>
        <v>5.0552384864801425</v>
      </c>
      <c r="AW42" s="172">
        <f t="shared" si="151"/>
        <v>4.9739226609032707</v>
      </c>
      <c r="AX42" s="172">
        <f t="shared" si="151"/>
        <v>6.5160908542891427</v>
      </c>
      <c r="AY42" s="173">
        <f t="shared" si="151"/>
        <v>5.8387439738990699</v>
      </c>
      <c r="AZ42" s="393">
        <f t="shared" si="151"/>
        <v>6.3358391061093764</v>
      </c>
      <c r="BA42" s="172">
        <f t="shared" si="151"/>
        <v>5.9525865155843425</v>
      </c>
      <c r="BB42" s="172">
        <f t="shared" si="151"/>
        <v>6.1319446963011313</v>
      </c>
      <c r="BC42" s="173">
        <f t="shared" si="151"/>
        <v>6.6565349544072951</v>
      </c>
      <c r="BD42" s="393">
        <f t="shared" si="151"/>
        <v>6.5983961769055846</v>
      </c>
      <c r="BE42" s="172">
        <f t="shared" si="151"/>
        <v>4.6239960219582628</v>
      </c>
      <c r="BF42" s="172">
        <f t="shared" si="151"/>
        <v>3.4225395262872409</v>
      </c>
      <c r="BG42" s="173">
        <f t="shared" si="151"/>
        <v>3.8880105743313287</v>
      </c>
      <c r="BH42" s="393">
        <f t="shared" si="151"/>
        <v>4.2728227307224467</v>
      </c>
      <c r="BI42" s="172">
        <f t="shared" si="151"/>
        <v>3.8467595396729259</v>
      </c>
      <c r="BJ42" s="172">
        <f t="shared" si="151"/>
        <v>3.7175425610658772</v>
      </c>
      <c r="BK42" s="173">
        <f t="shared" si="151"/>
        <v>3.9475934399946557</v>
      </c>
      <c r="BL42" s="393">
        <f t="shared" si="151"/>
        <v>4.5051470552996937</v>
      </c>
      <c r="BM42" s="172">
        <f t="shared" ref="BM42:BW42" si="152">365/BM43</f>
        <v>4.5051470552996937</v>
      </c>
      <c r="BN42" s="172">
        <f t="shared" si="152"/>
        <v>4.5051470552996937</v>
      </c>
      <c r="BO42" s="173">
        <f t="shared" si="152"/>
        <v>4.5051470552996937</v>
      </c>
      <c r="BP42" s="393">
        <f t="shared" si="152"/>
        <v>4.5051470552996937</v>
      </c>
      <c r="BQ42" s="172">
        <f t="shared" si="152"/>
        <v>4.5051470552996937</v>
      </c>
      <c r="BR42" s="172">
        <f t="shared" si="152"/>
        <v>4.5051470552996937</v>
      </c>
      <c r="BS42" s="173">
        <f t="shared" si="152"/>
        <v>4.5051470552996937</v>
      </c>
      <c r="BT42" s="393">
        <f t="shared" si="152"/>
        <v>4.5051470552996937</v>
      </c>
      <c r="BU42" s="172">
        <f t="shared" si="152"/>
        <v>4.5051470552996937</v>
      </c>
      <c r="BV42" s="172">
        <f t="shared" si="152"/>
        <v>4.5051470552996937</v>
      </c>
      <c r="BW42" s="173">
        <f t="shared" si="152"/>
        <v>4.5051470552996937</v>
      </c>
      <c r="BX42" s="476"/>
      <c r="BY42" s="393">
        <f>365/BY43</f>
        <v>25.578260619864253</v>
      </c>
      <c r="BZ42" s="172">
        <f>365/BZ43</f>
        <v>23.7319874239268</v>
      </c>
      <c r="CA42" s="172">
        <f>365/CA43</f>
        <v>25.112677826049911</v>
      </c>
      <c r="CB42" s="172">
        <f>365/CB43</f>
        <v>25.143202600733051</v>
      </c>
      <c r="CC42" s="172">
        <f>365/CB43</f>
        <v>25.143202600733051</v>
      </c>
      <c r="CD42" s="172">
        <f t="shared" ref="CD42:DF42" si="153">365/CD43</f>
        <v>19.981481169734487</v>
      </c>
      <c r="CE42" s="172">
        <f t="shared" si="153"/>
        <v>22.564672455435208</v>
      </c>
      <c r="CF42" s="172">
        <f t="shared" si="153"/>
        <v>19.725269013684876</v>
      </c>
      <c r="CG42" s="172">
        <f t="shared" si="153"/>
        <v>16.163081707200021</v>
      </c>
      <c r="CH42" s="172">
        <f t="shared" si="153"/>
        <v>15.523967102792447</v>
      </c>
      <c r="CI42" s="172">
        <f t="shared" si="153"/>
        <v>17.922007709066534</v>
      </c>
      <c r="CJ42" s="172">
        <f t="shared" si="153"/>
        <v>18.792994302595485</v>
      </c>
      <c r="CK42" s="172">
        <f t="shared" si="153"/>
        <v>25.510728539843882</v>
      </c>
      <c r="CL42" s="172">
        <f t="shared" si="153"/>
        <v>15.360952726518764</v>
      </c>
      <c r="CM42" s="172">
        <f t="shared" si="153"/>
        <v>14.707772470690402</v>
      </c>
      <c r="CN42" s="172">
        <f t="shared" si="153"/>
        <v>16.860829017344063</v>
      </c>
      <c r="CO42" s="172">
        <f t="shared" si="153"/>
        <v>17.560613091714064</v>
      </c>
      <c r="CP42" s="172">
        <f t="shared" si="153"/>
        <v>17.189443765364036</v>
      </c>
      <c r="CQ42" s="131"/>
      <c r="CR42" s="172">
        <f t="shared" si="153"/>
        <v>24.161043496494138</v>
      </c>
      <c r="CS42" s="172">
        <f t="shared" si="153"/>
        <v>28.556248036137077</v>
      </c>
      <c r="CT42" s="172">
        <f t="shared" si="153"/>
        <v>21.562007226408006</v>
      </c>
      <c r="CU42" s="172">
        <f t="shared" si="153"/>
        <v>20.969262191573485</v>
      </c>
      <c r="CV42" s="172">
        <f t="shared" si="153"/>
        <v>20.50051949275964</v>
      </c>
      <c r="CW42" s="172">
        <f t="shared" si="153"/>
        <v>18.554276633848172</v>
      </c>
      <c r="CX42" s="172">
        <f t="shared" si="153"/>
        <v>18.842203819164158</v>
      </c>
      <c r="CY42" s="172">
        <f t="shared" si="153"/>
        <v>16.439159052976613</v>
      </c>
      <c r="CZ42" s="173">
        <f t="shared" si="153"/>
        <v>18.698313257725808</v>
      </c>
      <c r="DA42" s="172">
        <f>365/DA43</f>
        <v>20.774227598551924</v>
      </c>
      <c r="DB42" s="172">
        <f t="shared" si="153"/>
        <v>25.048365165948383</v>
      </c>
      <c r="DC42" s="172">
        <f t="shared" si="153"/>
        <v>15.363757576387659</v>
      </c>
      <c r="DD42" s="172">
        <f t="shared" si="153"/>
        <v>16.392927831000225</v>
      </c>
      <c r="DE42" s="172">
        <f t="shared" si="153"/>
        <v>16.337187922741141</v>
      </c>
      <c r="DF42" s="173">
        <f t="shared" si="153"/>
        <v>16.935783567413722</v>
      </c>
      <c r="DG42" s="100"/>
      <c r="DH42" s="100"/>
      <c r="DI42" s="100"/>
      <c r="DJ42" s="100"/>
      <c r="DK42"/>
      <c r="DL42"/>
      <c r="DM42"/>
      <c r="DN42"/>
      <c r="DO42"/>
      <c r="DP42"/>
    </row>
    <row r="43" spans="1:122" s="101" customFormat="1" ht="14.25">
      <c r="A43" s="109"/>
      <c r="B43" s="14" t="s">
        <v>139</v>
      </c>
      <c r="C43" s="24"/>
      <c r="D43" s="172">
        <f t="shared" ref="D43:O43" si="154">(D12/D50)*91</f>
        <v>46.194890295979974</v>
      </c>
      <c r="E43" s="172">
        <f t="shared" si="154"/>
        <v>55.098417603495129</v>
      </c>
      <c r="F43" s="172">
        <f t="shared" si="154"/>
        <v>60.474909956332809</v>
      </c>
      <c r="G43" s="172">
        <f t="shared" si="154"/>
        <v>60.219431171786098</v>
      </c>
      <c r="H43" s="172">
        <f t="shared" si="154"/>
        <v>53.323896153117296</v>
      </c>
      <c r="I43" s="172">
        <f t="shared" si="154"/>
        <v>59.158546559177481</v>
      </c>
      <c r="J43" s="172">
        <f t="shared" si="154"/>
        <v>64.031255815458806</v>
      </c>
      <c r="K43" s="172">
        <f t="shared" si="154"/>
        <v>55.526559157100472</v>
      </c>
      <c r="L43" s="172">
        <f t="shared" si="154"/>
        <v>54.592700221732855</v>
      </c>
      <c r="M43" s="172">
        <f t="shared" si="154"/>
        <v>62.203322986107572</v>
      </c>
      <c r="N43" s="172">
        <f t="shared" si="154"/>
        <v>65.00297383378205</v>
      </c>
      <c r="O43" s="172">
        <f t="shared" si="154"/>
        <v>58.260955878703676</v>
      </c>
      <c r="P43" s="172">
        <f t="shared" ref="P43:W43" si="155">(P12/P50)*91</f>
        <v>58.185312535395873</v>
      </c>
      <c r="Q43" s="172">
        <f t="shared" si="155"/>
        <v>72.904283593938771</v>
      </c>
      <c r="R43" s="172">
        <f t="shared" si="155"/>
        <v>75.001754088157085</v>
      </c>
      <c r="S43" s="172">
        <f t="shared" si="155"/>
        <v>50.172031594465558</v>
      </c>
      <c r="T43" s="172">
        <f t="shared" si="155"/>
        <v>53.80891197375616</v>
      </c>
      <c r="U43" s="172">
        <f t="shared" si="155"/>
        <v>62.174247587617039</v>
      </c>
      <c r="V43" s="172">
        <f t="shared" si="155"/>
        <v>71.644392865868554</v>
      </c>
      <c r="W43" s="172">
        <f t="shared" si="155"/>
        <v>64.569508896551127</v>
      </c>
      <c r="X43" s="172">
        <f t="shared" ref="X43:AG43" si="156">(X12/X50)*91</f>
        <v>60.985155427278762</v>
      </c>
      <c r="Y43" s="172">
        <f t="shared" si="156"/>
        <v>70.699532721833521</v>
      </c>
      <c r="Z43" s="172">
        <f t="shared" si="156"/>
        <v>67.922819469466361</v>
      </c>
      <c r="AA43" s="172">
        <f t="shared" si="156"/>
        <v>68.075860229779025</v>
      </c>
      <c r="AB43" s="393">
        <f t="shared" si="156"/>
        <v>70.972380718734428</v>
      </c>
      <c r="AC43" s="172">
        <f t="shared" si="156"/>
        <v>77.228164454516019</v>
      </c>
      <c r="AD43" s="172">
        <f t="shared" si="156"/>
        <v>71.07227186403297</v>
      </c>
      <c r="AE43" s="172">
        <f t="shared" si="156"/>
        <v>57.771291421492691</v>
      </c>
      <c r="AF43" s="393">
        <f t="shared" si="156"/>
        <v>62.507293946024795</v>
      </c>
      <c r="AG43" s="172">
        <f t="shared" si="156"/>
        <v>68.755687244942251</v>
      </c>
      <c r="AH43" s="172">
        <f t="shared" ref="AH43:AM43" si="157">(AH12/AH50)*91</f>
        <v>68.41855713412771</v>
      </c>
      <c r="AI43" s="173">
        <f t="shared" si="157"/>
        <v>64.250858155868229</v>
      </c>
      <c r="AJ43" s="393">
        <f t="shared" si="157"/>
        <v>69.482227653257013</v>
      </c>
      <c r="AK43" s="172">
        <f t="shared" si="157"/>
        <v>74.593553109580867</v>
      </c>
      <c r="AL43" s="172">
        <f t="shared" si="157"/>
        <v>85.966199649737305</v>
      </c>
      <c r="AM43" s="173">
        <f t="shared" si="157"/>
        <v>79.184096137972205</v>
      </c>
      <c r="AN43" s="393">
        <f t="shared" ref="AN43:AS43" si="158">(AN12/AN50)*91</f>
        <v>72.803280904952913</v>
      </c>
      <c r="AO43" s="172">
        <f t="shared" si="158"/>
        <v>84.205566383263189</v>
      </c>
      <c r="AP43" s="172">
        <f t="shared" si="158"/>
        <v>85.391608860442673</v>
      </c>
      <c r="AQ43" s="173">
        <f t="shared" si="158"/>
        <v>87.067532040749256</v>
      </c>
      <c r="AR43" s="393">
        <f t="shared" si="158"/>
        <v>79.980678363289655</v>
      </c>
      <c r="AS43" s="172">
        <f t="shared" si="158"/>
        <v>83.053521126760558</v>
      </c>
      <c r="AT43" s="172">
        <f t="shared" ref="AT43:BB43" si="159">(AT12/AT50)*91</f>
        <v>85.273497377974991</v>
      </c>
      <c r="AU43" s="173">
        <f t="shared" si="159"/>
        <v>77.956326987681976</v>
      </c>
      <c r="AV43" s="393">
        <f t="shared" si="159"/>
        <v>72.202330508474574</v>
      </c>
      <c r="AW43" s="172">
        <f t="shared" si="159"/>
        <v>73.38272524199553</v>
      </c>
      <c r="AX43" s="172">
        <f t="shared" si="159"/>
        <v>56.015179677819084</v>
      </c>
      <c r="AY43" s="173">
        <f t="shared" si="159"/>
        <v>62.513444951801119</v>
      </c>
      <c r="AZ43" s="393">
        <f t="shared" si="159"/>
        <v>57.608786127167633</v>
      </c>
      <c r="BA43" s="172">
        <f t="shared" si="159"/>
        <v>61.317882410343991</v>
      </c>
      <c r="BB43" s="172">
        <f t="shared" si="159"/>
        <v>59.524346366035026</v>
      </c>
      <c r="BC43" s="173">
        <f t="shared" ref="BC43:BH43" si="160">(BC12/BC50)*91</f>
        <v>54.833333333333329</v>
      </c>
      <c r="BD43" s="393">
        <f t="shared" si="160"/>
        <v>55.316472399384203</v>
      </c>
      <c r="BE43" s="172">
        <f t="shared" si="160"/>
        <v>78.936054068105022</v>
      </c>
      <c r="BF43" s="172">
        <f t="shared" si="160"/>
        <v>106.64595607927157</v>
      </c>
      <c r="BG43" s="173">
        <f t="shared" si="160"/>
        <v>93.87834549878346</v>
      </c>
      <c r="BH43" s="393">
        <f t="shared" si="160"/>
        <v>85.423623445825939</v>
      </c>
      <c r="BI43" s="172">
        <f>(BI12/BI50)*91</f>
        <v>94.885057471264361</v>
      </c>
      <c r="BJ43" s="172">
        <f>(BJ12/BJ50)*91</f>
        <v>98.183139534883722</v>
      </c>
      <c r="BK43" s="173">
        <f t="shared" ref="BK43:BL43" si="161">(BK12/BK50)*91</f>
        <v>92.461395923409512</v>
      </c>
      <c r="BL43" s="393">
        <f t="shared" si="161"/>
        <v>81.018443020772665</v>
      </c>
      <c r="BM43" s="174">
        <f>BL43</f>
        <v>81.018443020772665</v>
      </c>
      <c r="BN43" s="174">
        <f>BM43</f>
        <v>81.018443020772665</v>
      </c>
      <c r="BO43" s="175">
        <f>BN43</f>
        <v>81.018443020772665</v>
      </c>
      <c r="BP43" s="622">
        <f>BO43</f>
        <v>81.018443020772665</v>
      </c>
      <c r="BQ43" s="174">
        <f t="shared" ref="BP43:BS46" si="162">BP43</f>
        <v>81.018443020772665</v>
      </c>
      <c r="BR43" s="174">
        <f t="shared" si="162"/>
        <v>81.018443020772665</v>
      </c>
      <c r="BS43" s="175">
        <f t="shared" si="162"/>
        <v>81.018443020772665</v>
      </c>
      <c r="BT43" s="622">
        <f>BS43</f>
        <v>81.018443020772665</v>
      </c>
      <c r="BU43" s="869">
        <f t="shared" ref="BU43:BU46" si="163">BT43</f>
        <v>81.018443020772665</v>
      </c>
      <c r="BV43" s="869">
        <f t="shared" ref="BV43:BV46" si="164">BU43</f>
        <v>81.018443020772665</v>
      </c>
      <c r="BW43" s="870">
        <f t="shared" ref="BW43:BW46" si="165">BV43</f>
        <v>81.018443020772665</v>
      </c>
      <c r="BX43" s="475"/>
      <c r="BY43" s="393">
        <f>(BY12/BY50)*91</f>
        <v>14.269930446972555</v>
      </c>
      <c r="BZ43" s="172">
        <f>(BZ12/BZ50)*91</f>
        <v>15.38008568266827</v>
      </c>
      <c r="CA43" s="172">
        <f>(CA12/CA50)*91</f>
        <v>14.534491404233195</v>
      </c>
      <c r="CB43" s="172">
        <f>(CB12/CB50)*91</f>
        <v>14.516845995957508</v>
      </c>
      <c r="CC43" s="172">
        <f>(CB12/CB50)*91</f>
        <v>14.516845995957508</v>
      </c>
      <c r="CD43" s="172">
        <f t="shared" ref="CD43:CJ43" si="166">(CD12/CD50)*91</f>
        <v>18.266914094079148</v>
      </c>
      <c r="CE43" s="172">
        <f t="shared" si="166"/>
        <v>16.175727820595135</v>
      </c>
      <c r="CF43" s="172">
        <f t="shared" si="166"/>
        <v>18.504183630994969</v>
      </c>
      <c r="CG43" s="172">
        <f t="shared" si="166"/>
        <v>22.582327220273022</v>
      </c>
      <c r="CH43" s="172">
        <f t="shared" si="166"/>
        <v>23.512031272878946</v>
      </c>
      <c r="CI43" s="172">
        <f t="shared" si="166"/>
        <v>20.366021816593168</v>
      </c>
      <c r="CJ43" s="172">
        <f t="shared" si="166"/>
        <v>19.422131147540984</v>
      </c>
      <c r="CK43" s="172">
        <f>(CK12/CK50)*91</f>
        <v>14.307705851282352</v>
      </c>
      <c r="CL43" s="172">
        <f>(CL12/CL50)*91</f>
        <v>23.761546988545387</v>
      </c>
      <c r="CM43" s="172">
        <f t="shared" ref="CM43:CP43" si="167">(CM12/CM50)*91</f>
        <v>24.816810344827587</v>
      </c>
      <c r="CN43" s="172">
        <f t="shared" si="167"/>
        <v>21.647808635301327</v>
      </c>
      <c r="CO43" s="172">
        <f t="shared" si="167"/>
        <v>20.785151298175599</v>
      </c>
      <c r="CP43" s="172">
        <f t="shared" si="167"/>
        <v>21.233962249288062</v>
      </c>
      <c r="CQ43" s="131"/>
      <c r="CR43" s="172">
        <f>(CR12/CR50)*91</f>
        <v>15.106963407973788</v>
      </c>
      <c r="CS43" s="172">
        <f>(CS12/CS50)*91</f>
        <v>12.781791205136733</v>
      </c>
      <c r="CT43" s="172">
        <f>(CT12/CT50)*91</f>
        <v>16.927923090247706</v>
      </c>
      <c r="CU43" s="172">
        <f t="shared" ref="CU43:CZ43" si="168">(CU12/CU50)*91</f>
        <v>17.406430262800356</v>
      </c>
      <c r="CV43" s="172">
        <f t="shared" si="168"/>
        <v>17.804426864836788</v>
      </c>
      <c r="CW43" s="172">
        <f t="shared" si="168"/>
        <v>19.672014555077737</v>
      </c>
      <c r="CX43" s="172">
        <f t="shared" si="168"/>
        <v>19.371407055302271</v>
      </c>
      <c r="CY43" s="172">
        <f t="shared" si="168"/>
        <v>22.203082215079</v>
      </c>
      <c r="CZ43" s="173">
        <f t="shared" si="168"/>
        <v>19.520477326968972</v>
      </c>
      <c r="DA43" s="172">
        <f t="shared" ref="DA43:DF43" si="169">(DA12/DA50)*91</f>
        <v>17.569846978351315</v>
      </c>
      <c r="DB43" s="172">
        <f t="shared" si="169"/>
        <v>14.571809281038176</v>
      </c>
      <c r="DC43" s="172">
        <f t="shared" si="169"/>
        <v>23.757209015128129</v>
      </c>
      <c r="DD43" s="172">
        <f t="shared" si="169"/>
        <v>22.265699194365897</v>
      </c>
      <c r="DE43" s="172">
        <f t="shared" si="169"/>
        <v>22.34166624795477</v>
      </c>
      <c r="DF43" s="173">
        <f t="shared" si="169"/>
        <v>21.551999560404131</v>
      </c>
      <c r="DG43" s="100"/>
      <c r="DH43" s="100"/>
      <c r="DI43" s="100"/>
      <c r="DJ43" s="100"/>
      <c r="DK43"/>
      <c r="DL43"/>
      <c r="DM43"/>
      <c r="DN43"/>
      <c r="DO43"/>
      <c r="DP43"/>
    </row>
    <row r="44" spans="1:122" s="101" customFormat="1" ht="14.25">
      <c r="A44" s="109"/>
      <c r="B44" s="14" t="s">
        <v>140</v>
      </c>
      <c r="C44" s="24"/>
      <c r="D44" s="172">
        <f t="shared" ref="D44:O44" si="170">(D25/D50)*91</f>
        <v>43.767560005890147</v>
      </c>
      <c r="E44" s="172">
        <f t="shared" si="170"/>
        <v>67.230134796739293</v>
      </c>
      <c r="F44" s="172">
        <f t="shared" si="170"/>
        <v>73.937197862326158</v>
      </c>
      <c r="G44" s="172">
        <f t="shared" si="170"/>
        <v>52.145381114903287</v>
      </c>
      <c r="H44" s="172">
        <f t="shared" si="170"/>
        <v>55.521726359674055</v>
      </c>
      <c r="I44" s="172">
        <f t="shared" si="170"/>
        <v>57.27584998247459</v>
      </c>
      <c r="J44" s="172">
        <f t="shared" si="170"/>
        <v>65.176919404820666</v>
      </c>
      <c r="K44" s="172">
        <f t="shared" si="170"/>
        <v>51.223132193823957</v>
      </c>
      <c r="L44" s="172">
        <f t="shared" si="170"/>
        <v>51.311931951476083</v>
      </c>
      <c r="M44" s="172">
        <f t="shared" si="170"/>
        <v>51.355656200702256</v>
      </c>
      <c r="N44" s="172">
        <f t="shared" si="170"/>
        <v>49.737827517640646</v>
      </c>
      <c r="O44" s="172">
        <f t="shared" si="170"/>
        <v>54.403990272470104</v>
      </c>
      <c r="P44" s="172">
        <f t="shared" ref="P44:W44" si="171">(P25/P50)*91</f>
        <v>53.226776265756229</v>
      </c>
      <c r="Q44" s="172">
        <f t="shared" si="171"/>
        <v>58.68465016740879</v>
      </c>
      <c r="R44" s="172">
        <f t="shared" si="171"/>
        <v>55.760312340858938</v>
      </c>
      <c r="S44" s="172">
        <f t="shared" si="171"/>
        <v>44.967073319177139</v>
      </c>
      <c r="T44" s="172">
        <f t="shared" si="171"/>
        <v>42.266746193482113</v>
      </c>
      <c r="U44" s="172">
        <f t="shared" si="171"/>
        <v>49.534723965993479</v>
      </c>
      <c r="V44" s="172">
        <f t="shared" si="171"/>
        <v>49.319814317126806</v>
      </c>
      <c r="W44" s="172">
        <f t="shared" si="171"/>
        <v>44.365635721013838</v>
      </c>
      <c r="X44" s="172">
        <f t="shared" ref="X44:AG44" si="172">(X25/X50)*91</f>
        <v>49.141206755333677</v>
      </c>
      <c r="Y44" s="172">
        <f t="shared" si="172"/>
        <v>57.514615834713744</v>
      </c>
      <c r="Z44" s="172">
        <f t="shared" si="172"/>
        <v>48.927975709759586</v>
      </c>
      <c r="AA44" s="172">
        <f t="shared" si="172"/>
        <v>38.387489008375269</v>
      </c>
      <c r="AB44" s="393">
        <f t="shared" si="172"/>
        <v>37.864515158949359</v>
      </c>
      <c r="AC44" s="172">
        <f t="shared" si="172"/>
        <v>40.483910650696018</v>
      </c>
      <c r="AD44" s="172">
        <f t="shared" si="172"/>
        <v>39.473976702869692</v>
      </c>
      <c r="AE44" s="172">
        <f t="shared" si="172"/>
        <v>46.364922060493427</v>
      </c>
      <c r="AF44" s="393">
        <f t="shared" si="172"/>
        <v>49.108497447118886</v>
      </c>
      <c r="AG44" s="172">
        <f t="shared" si="172"/>
        <v>50.435059766721643</v>
      </c>
      <c r="AH44" s="172">
        <f t="shared" ref="AH44:AM44" si="173">(AH25/AH50)*91</f>
        <v>59.422471738466228</v>
      </c>
      <c r="AI44" s="173">
        <f t="shared" si="173"/>
        <v>57.524655043924056</v>
      </c>
      <c r="AJ44" s="393">
        <f t="shared" si="173"/>
        <v>58.787476819843285</v>
      </c>
      <c r="AK44" s="172">
        <f t="shared" si="173"/>
        <v>55.236995065878652</v>
      </c>
      <c r="AL44" s="172">
        <f t="shared" si="173"/>
        <v>53.114676007005251</v>
      </c>
      <c r="AM44" s="173">
        <f t="shared" si="173"/>
        <v>46.064165159205466</v>
      </c>
      <c r="AN44" s="393">
        <f t="shared" ref="AN44:AS44" si="174">(AN25/AN50)*91</f>
        <v>39.383162828428503</v>
      </c>
      <c r="AO44" s="172">
        <f t="shared" si="174"/>
        <v>58.552509674321378</v>
      </c>
      <c r="AP44" s="172">
        <f t="shared" si="174"/>
        <v>55.15128097400509</v>
      </c>
      <c r="AQ44" s="173">
        <f t="shared" si="174"/>
        <v>52.551154288531059</v>
      </c>
      <c r="AR44" s="393">
        <f t="shared" si="174"/>
        <v>38.803873517181167</v>
      </c>
      <c r="AS44" s="172">
        <f t="shared" si="174"/>
        <v>40.83098591549296</v>
      </c>
      <c r="AT44" s="172">
        <f t="shared" ref="AT44:BB44" si="175">(AT25/AT50)*91</f>
        <v>42.288019362646232</v>
      </c>
      <c r="AU44" s="173">
        <f t="shared" si="175"/>
        <v>42.969391564016426</v>
      </c>
      <c r="AV44" s="393">
        <f t="shared" si="175"/>
        <v>34.478460451977405</v>
      </c>
      <c r="AW44" s="172">
        <f t="shared" si="175"/>
        <v>42.620253164556956</v>
      </c>
      <c r="AX44" s="172">
        <f t="shared" si="175"/>
        <v>46.232961586121434</v>
      </c>
      <c r="AY44" s="173">
        <f t="shared" si="175"/>
        <v>46.307965499746324</v>
      </c>
      <c r="AZ44" s="393">
        <f t="shared" si="175"/>
        <v>44.395375722543349</v>
      </c>
      <c r="BA44" s="172">
        <f t="shared" si="175"/>
        <v>51.283239814588924</v>
      </c>
      <c r="BB44" s="172">
        <f t="shared" si="175"/>
        <v>49.810985847925167</v>
      </c>
      <c r="BC44" s="173">
        <f t="shared" ref="BC44:BH44" si="176">(BC25/BC50)*91</f>
        <v>59.581871345029242</v>
      </c>
      <c r="BD44" s="393">
        <f t="shared" si="176"/>
        <v>38.385308994941724</v>
      </c>
      <c r="BE44" s="172">
        <f t="shared" si="176"/>
        <v>42.744216272420068</v>
      </c>
      <c r="BF44" s="172">
        <f t="shared" si="176"/>
        <v>44.281467595072307</v>
      </c>
      <c r="BG44" s="173">
        <f t="shared" si="176"/>
        <v>24.443795620437957</v>
      </c>
      <c r="BH44" s="393">
        <f t="shared" si="176"/>
        <v>32.629884547069274</v>
      </c>
      <c r="BI44" s="172">
        <f>(BI25/BI50)*91</f>
        <v>34.96551724137931</v>
      </c>
      <c r="BJ44" s="172">
        <f>(BJ25/BJ50)*91</f>
        <v>36.363372093023251</v>
      </c>
      <c r="BK44" s="173">
        <f t="shared" ref="BK44:BL44" si="177">(BK25/BK50)*91</f>
        <v>48.413423924233058</v>
      </c>
      <c r="BL44" s="393">
        <f t="shared" si="177"/>
        <v>28.549019607843135</v>
      </c>
      <c r="BM44" s="174">
        <v>30</v>
      </c>
      <c r="BN44" s="174">
        <f t="shared" ref="BM44:BO46" si="178">BM44</f>
        <v>30</v>
      </c>
      <c r="BO44" s="175">
        <f t="shared" si="178"/>
        <v>30</v>
      </c>
      <c r="BP44" s="622">
        <v>36</v>
      </c>
      <c r="BQ44" s="174">
        <f t="shared" si="162"/>
        <v>36</v>
      </c>
      <c r="BR44" s="174">
        <f t="shared" si="162"/>
        <v>36</v>
      </c>
      <c r="BS44" s="175">
        <f t="shared" si="162"/>
        <v>36</v>
      </c>
      <c r="BT44" s="622">
        <f t="shared" ref="BT44:BT46" si="179">BS44</f>
        <v>36</v>
      </c>
      <c r="BU44" s="869">
        <f t="shared" si="163"/>
        <v>36</v>
      </c>
      <c r="BV44" s="869">
        <f t="shared" si="164"/>
        <v>36</v>
      </c>
      <c r="BW44" s="870">
        <f t="shared" si="165"/>
        <v>36</v>
      </c>
      <c r="BX44" s="475"/>
      <c r="BY44" s="393">
        <f>(BY25/BY50)*91</f>
        <v>12.356658758828921</v>
      </c>
      <c r="BZ44" s="172">
        <f>(BZ25/BZ50)*91</f>
        <v>14.188096183786563</v>
      </c>
      <c r="CA44" s="172">
        <f>(CA25/CA50)*91</f>
        <v>13.572285539177754</v>
      </c>
      <c r="CB44" s="172">
        <f>(CB25/CB50)*91</f>
        <v>13.010836067787059</v>
      </c>
      <c r="CC44" s="172">
        <f>(CB25/CB50)*91</f>
        <v>13.010836067787059</v>
      </c>
      <c r="CD44" s="172">
        <f t="shared" ref="CD44:CJ44" si="180">(CD25/CD50)*91</f>
        <v>10.300581757417989</v>
      </c>
      <c r="CE44" s="172">
        <f t="shared" si="180"/>
        <v>12.981990556552292</v>
      </c>
      <c r="CF44" s="172">
        <f t="shared" si="180"/>
        <v>16.567043784226755</v>
      </c>
      <c r="CG44" s="172">
        <f t="shared" si="180"/>
        <v>13.136931549251333</v>
      </c>
      <c r="CH44" s="172">
        <f t="shared" si="180"/>
        <v>14.191103779989442</v>
      </c>
      <c r="CI44" s="172">
        <f t="shared" si="180"/>
        <v>11.225715728971835</v>
      </c>
      <c r="CJ44" s="172">
        <f t="shared" si="180"/>
        <v>14.387295081967212</v>
      </c>
      <c r="CK44" s="172">
        <f>(CK25/CK50)*91</f>
        <v>15.546745701038793</v>
      </c>
      <c r="CL44" s="172">
        <f>(CL25/CL50)*91</f>
        <v>6.186968838526913</v>
      </c>
      <c r="CM44" s="172">
        <f t="shared" ref="CM44:CP44" si="181">(CM25/CM50)*91</f>
        <v>12.994252873563216</v>
      </c>
      <c r="CN44" s="172">
        <f t="shared" si="181"/>
        <v>8.0379034060729992</v>
      </c>
      <c r="CO44" s="172">
        <f t="shared" si="181"/>
        <v>9.2611150382902157</v>
      </c>
      <c r="CP44" s="172">
        <f t="shared" si="181"/>
        <v>9.4610890384343396</v>
      </c>
      <c r="CQ44" s="131"/>
      <c r="CR44" s="172">
        <f>(CR25/CR50)*91</f>
        <v>13.819552157291101</v>
      </c>
      <c r="CS44" s="172">
        <f>(CS25/CS50)*91</f>
        <v>10.040060371952624</v>
      </c>
      <c r="CT44" s="172">
        <f>(CT25/CT50)*91</f>
        <v>13.640345141174434</v>
      </c>
      <c r="CU44" s="172">
        <f t="shared" ref="CU44:CZ44" si="182">(CU25/CU50)*91</f>
        <v>9.2865144986607664</v>
      </c>
      <c r="CV44" s="172">
        <f t="shared" si="182"/>
        <v>13.987945982660111</v>
      </c>
      <c r="CW44" s="172">
        <f t="shared" si="182"/>
        <v>16.644084951154301</v>
      </c>
      <c r="CX44" s="172">
        <f t="shared" si="182"/>
        <v>10.479023318615802</v>
      </c>
      <c r="CY44" s="172">
        <f t="shared" si="182"/>
        <v>10.772171624402604</v>
      </c>
      <c r="CZ44" s="173">
        <f t="shared" si="182"/>
        <v>9.3215274463007152</v>
      </c>
      <c r="DA44" s="172">
        <f t="shared" ref="DA44:DF44" si="183">(DA25/DA50)*91</f>
        <v>13.53994781750229</v>
      </c>
      <c r="DB44" s="172">
        <f t="shared" si="183"/>
        <v>10.111696888940386</v>
      </c>
      <c r="DC44" s="172">
        <f t="shared" si="183"/>
        <v>9.0747144180302559</v>
      </c>
      <c r="DD44" s="172">
        <f t="shared" si="183"/>
        <v>7.845915808568531</v>
      </c>
      <c r="DE44" s="172">
        <f t="shared" si="183"/>
        <v>9.9546420567819549</v>
      </c>
      <c r="DF44" s="173">
        <f t="shared" si="183"/>
        <v>9.6027950131689526</v>
      </c>
      <c r="DG44" s="100"/>
      <c r="DH44" s="100"/>
      <c r="DI44" s="100"/>
      <c r="DJ44" s="100"/>
      <c r="DK44"/>
      <c r="DL44"/>
      <c r="DM44"/>
      <c r="DN44"/>
      <c r="DO44"/>
      <c r="DP44"/>
    </row>
    <row r="45" spans="1:122" s="101" customFormat="1" ht="14.25">
      <c r="A45" s="109"/>
      <c r="B45" s="14" t="s">
        <v>141</v>
      </c>
      <c r="C45" s="24"/>
      <c r="D45" s="177">
        <f t="shared" ref="D45:O45" si="184">D26/D49/4</f>
        <v>3.1585140517122995E-2</v>
      </c>
      <c r="E45" s="177">
        <f t="shared" si="184"/>
        <v>2.9136270049058232E-2</v>
      </c>
      <c r="F45" s="177">
        <f t="shared" si="184"/>
        <v>2.9670636954973066E-2</v>
      </c>
      <c r="G45" s="177">
        <f t="shared" si="184"/>
        <v>2.826563666417831E-2</v>
      </c>
      <c r="H45" s="177">
        <f t="shared" si="184"/>
        <v>3.8770358864243779E-2</v>
      </c>
      <c r="I45" s="177">
        <f t="shared" si="184"/>
        <v>2.9334336216622788E-2</v>
      </c>
      <c r="J45" s="177">
        <f t="shared" si="184"/>
        <v>3.9615048920564958E-2</v>
      </c>
      <c r="K45" s="177">
        <f t="shared" si="184"/>
        <v>4.1993974328990644E-2</v>
      </c>
      <c r="L45" s="177">
        <f t="shared" si="184"/>
        <v>3.104560319767442E-2</v>
      </c>
      <c r="M45" s="177">
        <f t="shared" si="184"/>
        <v>5.6942273997253399E-2</v>
      </c>
      <c r="N45" s="177">
        <f t="shared" si="184"/>
        <v>3.8272977883591248E-2</v>
      </c>
      <c r="O45" s="177">
        <f t="shared" si="184"/>
        <v>1.7883886962274716E-2</v>
      </c>
      <c r="P45" s="177">
        <f t="shared" ref="P45:W45" si="185">P26/P49/4</f>
        <v>3.4483801840413469E-2</v>
      </c>
      <c r="Q45" s="177">
        <f t="shared" si="185"/>
        <v>3.0566742606648885E-2</v>
      </c>
      <c r="R45" s="177">
        <f t="shared" si="185"/>
        <v>3.4185366744816252E-2</v>
      </c>
      <c r="S45" s="177">
        <f t="shared" si="185"/>
        <v>3.2745569115583566E-2</v>
      </c>
      <c r="T45" s="177">
        <f t="shared" si="185"/>
        <v>4.0722083354588587E-2</v>
      </c>
      <c r="U45" s="177">
        <f t="shared" si="185"/>
        <v>4.0656733810554346E-2</v>
      </c>
      <c r="V45" s="177">
        <f t="shared" si="185"/>
        <v>4.2462153670379886E-2</v>
      </c>
      <c r="W45" s="177">
        <f t="shared" si="185"/>
        <v>3.7268841820072056E-2</v>
      </c>
      <c r="X45" s="177">
        <f t="shared" ref="X45:AG45" si="186">X26/X49/4</f>
        <v>3.5565683289555561E-2</v>
      </c>
      <c r="Y45" s="177">
        <f t="shared" si="186"/>
        <v>3.5902145675927574E-2</v>
      </c>
      <c r="Z45" s="177">
        <f t="shared" si="186"/>
        <v>3.3883183866920678E-2</v>
      </c>
      <c r="AA45" s="177">
        <f t="shared" si="186"/>
        <v>3.4517083322583686E-2</v>
      </c>
      <c r="AB45" s="179">
        <f t="shared" si="186"/>
        <v>2.7661634035428199E-2</v>
      </c>
      <c r="AC45" s="177">
        <f t="shared" si="186"/>
        <v>3.039482050985606E-2</v>
      </c>
      <c r="AD45" s="177">
        <f t="shared" si="186"/>
        <v>3.059546160564397E-2</v>
      </c>
      <c r="AE45" s="177">
        <f t="shared" si="186"/>
        <v>3.2269906112752357E-2</v>
      </c>
      <c r="AF45" s="179">
        <f t="shared" si="186"/>
        <v>2.5745702420677332E-2</v>
      </c>
      <c r="AG45" s="177">
        <f t="shared" si="186"/>
        <v>3.056818086348705E-2</v>
      </c>
      <c r="AH45" s="177">
        <f t="shared" ref="AH45:AM45" si="187">AH26/AH49/4</f>
        <v>2.6226531575698153E-2</v>
      </c>
      <c r="AI45" s="178">
        <f t="shared" si="187"/>
        <v>2.8484628913793608E-2</v>
      </c>
      <c r="AJ45" s="179">
        <f t="shared" si="187"/>
        <v>2.1972726187634281E-2</v>
      </c>
      <c r="AK45" s="177">
        <f t="shared" si="187"/>
        <v>2.5269582159177167E-2</v>
      </c>
      <c r="AL45" s="177">
        <f t="shared" si="187"/>
        <v>7.1583935968545953E-2</v>
      </c>
      <c r="AM45" s="178">
        <f t="shared" si="187"/>
        <v>6.5692763897036169E-2</v>
      </c>
      <c r="AN45" s="179">
        <f t="shared" ref="AN45:AS45" si="188">AN26/AN49/4</f>
        <v>6.3080332198912986E-2</v>
      </c>
      <c r="AO45" s="177">
        <f t="shared" si="188"/>
        <v>2.1490855246922045E-2</v>
      </c>
      <c r="AP45" s="177">
        <f t="shared" si="188"/>
        <v>2.1034577599103425E-2</v>
      </c>
      <c r="AQ45" s="178">
        <f t="shared" si="188"/>
        <v>1.8604863777655876E-2</v>
      </c>
      <c r="AR45" s="179">
        <f t="shared" si="188"/>
        <v>1.6974563775695742E-2</v>
      </c>
      <c r="AS45" s="177">
        <f t="shared" si="188"/>
        <v>2.0872530573847602E-2</v>
      </c>
      <c r="AT45" s="177">
        <f t="shared" ref="AT45:BB45" si="189">AT26/AT49/4</f>
        <v>1.9834900252235724E-2</v>
      </c>
      <c r="AU45" s="178">
        <f t="shared" si="189"/>
        <v>2.159329140461216E-2</v>
      </c>
      <c r="AV45" s="179">
        <f t="shared" si="189"/>
        <v>1.9200316706254949E-2</v>
      </c>
      <c r="AW45" s="177">
        <f t="shared" si="189"/>
        <v>2.5259875259875261E-2</v>
      </c>
      <c r="AX45" s="177">
        <f t="shared" si="189"/>
        <v>2.6320272572402045E-2</v>
      </c>
      <c r="AY45" s="178">
        <f t="shared" si="189"/>
        <v>2.4610136452241714E-2</v>
      </c>
      <c r="AZ45" s="179">
        <f t="shared" si="189"/>
        <v>1.6945996275605214E-2</v>
      </c>
      <c r="BA45" s="177">
        <f t="shared" si="189"/>
        <v>1.8960766303634691E-2</v>
      </c>
      <c r="BB45" s="177">
        <f t="shared" si="189"/>
        <v>2.3858024691358025E-2</v>
      </c>
      <c r="BC45" s="178">
        <f t="shared" ref="BC45:BH45" si="190">BC26/BC49/4</f>
        <v>2.313237965485922E-2</v>
      </c>
      <c r="BD45" s="179">
        <f t="shared" si="190"/>
        <v>1.5483383685800605E-2</v>
      </c>
      <c r="BE45" s="177">
        <f t="shared" si="190"/>
        <v>1.7610630886337245E-2</v>
      </c>
      <c r="BF45" s="177">
        <f t="shared" si="190"/>
        <v>1.8158839962751097E-2</v>
      </c>
      <c r="BG45" s="178">
        <f t="shared" si="190"/>
        <v>1.6339478094326072E-2</v>
      </c>
      <c r="BH45" s="179">
        <f t="shared" si="190"/>
        <v>1.5613037296292247E-2</v>
      </c>
      <c r="BI45" s="177">
        <f>BI26/BI49/4</f>
        <v>1.4940706821650815E-2</v>
      </c>
      <c r="BJ45" s="177">
        <f>BJ26/BJ49/4</f>
        <v>1.8788854351687392E-2</v>
      </c>
      <c r="BK45" s="178">
        <f t="shared" ref="BK45:BL45" si="191">BK26/BK49/4</f>
        <v>1.7291285801340643E-2</v>
      </c>
      <c r="BL45" s="179">
        <f t="shared" si="191"/>
        <v>2.341001996387489E-2</v>
      </c>
      <c r="BM45" s="180">
        <f t="shared" si="178"/>
        <v>2.341001996387489E-2</v>
      </c>
      <c r="BN45" s="180">
        <f t="shared" si="178"/>
        <v>2.341001996387489E-2</v>
      </c>
      <c r="BO45" s="181">
        <f t="shared" si="178"/>
        <v>2.341001996387489E-2</v>
      </c>
      <c r="BP45" s="623">
        <f t="shared" si="162"/>
        <v>2.341001996387489E-2</v>
      </c>
      <c r="BQ45" s="180">
        <f t="shared" si="162"/>
        <v>2.341001996387489E-2</v>
      </c>
      <c r="BR45" s="180">
        <f t="shared" si="162"/>
        <v>2.341001996387489E-2</v>
      </c>
      <c r="BS45" s="181">
        <f t="shared" si="162"/>
        <v>2.341001996387489E-2</v>
      </c>
      <c r="BT45" s="623">
        <f t="shared" si="179"/>
        <v>2.341001996387489E-2</v>
      </c>
      <c r="BU45" s="180">
        <f t="shared" si="163"/>
        <v>2.341001996387489E-2</v>
      </c>
      <c r="BV45" s="180">
        <f t="shared" si="164"/>
        <v>2.341001996387489E-2</v>
      </c>
      <c r="BW45" s="181">
        <f t="shared" si="165"/>
        <v>2.341001996387489E-2</v>
      </c>
      <c r="BX45" s="477"/>
      <c r="BY45" s="179">
        <f>BY26/BY49/4</f>
        <v>6.8643986862828577E-3</v>
      </c>
      <c r="BZ45" s="177">
        <f>BZ26/BZ49/4</f>
        <v>1.1680142036649438E-2</v>
      </c>
      <c r="CA45" s="177">
        <f>CA26/CA49/4</f>
        <v>6.2088970949214445E-3</v>
      </c>
      <c r="CB45" s="177">
        <f>CB26/CB49/4</f>
        <v>8.1735056542810991E-3</v>
      </c>
      <c r="CC45" s="177">
        <f>CB26/CB49/4</f>
        <v>8.1735056542810991E-3</v>
      </c>
      <c r="CD45" s="177">
        <f t="shared" ref="CD45:CJ45" si="192">CD26/CD49/4</f>
        <v>9.3341178139501879E-3</v>
      </c>
      <c r="CE45" s="177">
        <f t="shared" si="192"/>
        <v>9.173263126154874E-3</v>
      </c>
      <c r="CF45" s="177">
        <f t="shared" si="192"/>
        <v>8.3255663810853954E-3</v>
      </c>
      <c r="CG45" s="177">
        <f t="shared" si="192"/>
        <v>1.8626288125774354E-2</v>
      </c>
      <c r="CH45" s="177">
        <f t="shared" si="192"/>
        <v>4.9948010335456056E-3</v>
      </c>
      <c r="CI45" s="177">
        <f t="shared" si="192"/>
        <v>5.7476940865156308E-3</v>
      </c>
      <c r="CJ45" s="177">
        <f t="shared" si="192"/>
        <v>7.7136248581653136E-3</v>
      </c>
      <c r="CK45" s="177">
        <f>CK26/CK49/4</f>
        <v>6.2530689909157874E-3</v>
      </c>
      <c r="CL45" s="177">
        <f>CL26/CL49/4</f>
        <v>4.1501976284584975E-3</v>
      </c>
      <c r="CM45" s="177">
        <f t="shared" ref="CM45:CP45" si="193">CM26/CM49/4</f>
        <v>4.6625951689762829E-3</v>
      </c>
      <c r="CN45" s="177">
        <f t="shared" si="193"/>
        <v>6.3888645226228878E-3</v>
      </c>
      <c r="CO45" s="177">
        <f t="shared" si="193"/>
        <v>6.0314791833337112E-3</v>
      </c>
      <c r="CP45" s="177">
        <f t="shared" si="193"/>
        <v>5.6994601481484899E-3</v>
      </c>
      <c r="CQ45" s="131"/>
      <c r="CR45" s="177">
        <f>CR26/CR49/4</f>
        <v>8.8756398143629879E-3</v>
      </c>
      <c r="CS45" s="177">
        <f>CS26/CS49/4</f>
        <v>1.0347654756272241E-2</v>
      </c>
      <c r="CT45" s="177">
        <f>CT26/CT49/4</f>
        <v>9.9011963022663241E-3</v>
      </c>
      <c r="CU45" s="177">
        <f t="shared" ref="CU45:CZ45" si="194">CU26/CU49/4</f>
        <v>6.7641838196977593E-3</v>
      </c>
      <c r="CV45" s="177">
        <f t="shared" si="194"/>
        <v>7.5359378712744202E-3</v>
      </c>
      <c r="CW45" s="177">
        <f t="shared" si="194"/>
        <v>6.3378408735866067E-3</v>
      </c>
      <c r="CX45" s="177">
        <f t="shared" si="194"/>
        <v>1.6809843645730547E-2</v>
      </c>
      <c r="CY45" s="177">
        <f t="shared" si="194"/>
        <v>4.7291663084778977E-3</v>
      </c>
      <c r="CZ45" s="178">
        <f t="shared" si="194"/>
        <v>5.2617304041225922E-3</v>
      </c>
      <c r="DA45" s="177">
        <f t="shared" ref="DA45:DF45" si="195">DA26/DA49/4</f>
        <v>5.266813288575067E-3</v>
      </c>
      <c r="DB45" s="177">
        <f t="shared" si="195"/>
        <v>4.2459389886676333E-3</v>
      </c>
      <c r="DC45" s="177">
        <f t="shared" si="195"/>
        <v>4.3567831527544639E-3</v>
      </c>
      <c r="DD45" s="177">
        <f t="shared" si="195"/>
        <v>6.4990762734230666E-3</v>
      </c>
      <c r="DE45" s="177">
        <f t="shared" si="195"/>
        <v>6.3522578350216474E-3</v>
      </c>
      <c r="DF45" s="178">
        <f t="shared" si="195"/>
        <v>5.9982819373470553E-3</v>
      </c>
      <c r="DG45" s="100"/>
      <c r="DH45" s="100"/>
      <c r="DI45" s="100"/>
      <c r="DJ45" s="100"/>
      <c r="DK45"/>
      <c r="DL45"/>
      <c r="DM45"/>
      <c r="DN45"/>
      <c r="DO45"/>
      <c r="DP45"/>
    </row>
    <row r="46" spans="1:122" s="101" customFormat="1" ht="14.25">
      <c r="A46" s="109"/>
      <c r="B46" s="14" t="s">
        <v>142</v>
      </c>
      <c r="C46" s="24"/>
      <c r="D46" s="177">
        <f t="shared" ref="D46:O46" si="196">D13/D51</f>
        <v>1.2258373926381584E-2</v>
      </c>
      <c r="E46" s="177">
        <f t="shared" si="196"/>
        <v>1.4262672308837218E-2</v>
      </c>
      <c r="F46" s="177">
        <f t="shared" si="196"/>
        <v>9.1734773253442856E-3</v>
      </c>
      <c r="G46" s="177">
        <f t="shared" si="196"/>
        <v>1.4699491796004811E-2</v>
      </c>
      <c r="H46" s="177">
        <f t="shared" si="196"/>
        <v>1.4162492292597743E-2</v>
      </c>
      <c r="I46" s="177">
        <f t="shared" si="196"/>
        <v>1.332281099188036E-2</v>
      </c>
      <c r="J46" s="177">
        <f t="shared" si="196"/>
        <v>1.092740710087484E-2</v>
      </c>
      <c r="K46" s="177">
        <f t="shared" si="196"/>
        <v>1.2943443812605582E-2</v>
      </c>
      <c r="L46" s="177">
        <f t="shared" si="196"/>
        <v>1.1676648635415839E-2</v>
      </c>
      <c r="M46" s="177">
        <f t="shared" si="196"/>
        <v>1.2306907646647098E-2</v>
      </c>
      <c r="N46" s="177">
        <f t="shared" si="196"/>
        <v>9.6033858370784073E-3</v>
      </c>
      <c r="O46" s="177">
        <f t="shared" si="196"/>
        <v>1.2244724977261194E-2</v>
      </c>
      <c r="P46" s="177">
        <f t="shared" ref="P46:W46" si="197">P13/P51</f>
        <v>1.1354244409805682E-2</v>
      </c>
      <c r="Q46" s="177">
        <f t="shared" si="197"/>
        <v>1.325975898694548E-2</v>
      </c>
      <c r="R46" s="177">
        <f t="shared" si="197"/>
        <v>1.0168374152082712E-2</v>
      </c>
      <c r="S46" s="177">
        <f t="shared" si="197"/>
        <v>1.0350736052341498E-2</v>
      </c>
      <c r="T46" s="177">
        <f t="shared" si="197"/>
        <v>9.1145716263722424E-3</v>
      </c>
      <c r="U46" s="177">
        <f t="shared" si="197"/>
        <v>8.9502970013597642E-3</v>
      </c>
      <c r="V46" s="177">
        <f t="shared" si="197"/>
        <v>9.3774891717580931E-3</v>
      </c>
      <c r="W46" s="177">
        <f t="shared" si="197"/>
        <v>1.1528569156608005E-2</v>
      </c>
      <c r="X46" s="177">
        <f t="shared" ref="X46:AG46" si="198">X13/X51</f>
        <v>9.8139476469849465E-3</v>
      </c>
      <c r="Y46" s="177">
        <f t="shared" si="198"/>
        <v>9.3291888852424058E-3</v>
      </c>
      <c r="Z46" s="177">
        <f t="shared" si="198"/>
        <v>1.0680400291680256E-2</v>
      </c>
      <c r="AA46" s="177">
        <f t="shared" si="198"/>
        <v>1.3349720032229442E-2</v>
      </c>
      <c r="AB46" s="179">
        <f t="shared" si="198"/>
        <v>1.3166216293911343E-2</v>
      </c>
      <c r="AC46" s="177">
        <f t="shared" si="198"/>
        <v>1.6098269094317757E-2</v>
      </c>
      <c r="AD46" s="177">
        <f t="shared" si="198"/>
        <v>1.7586762479697801E-2</v>
      </c>
      <c r="AE46" s="177">
        <f t="shared" si="198"/>
        <v>1.9829490705450491E-2</v>
      </c>
      <c r="AF46" s="179">
        <f t="shared" si="198"/>
        <v>1.6850889499506066E-2</v>
      </c>
      <c r="AG46" s="177">
        <f t="shared" si="198"/>
        <v>2.1171113178397594E-2</v>
      </c>
      <c r="AH46" s="177">
        <f t="shared" ref="AH46:AM46" si="199">AH13/AH51</f>
        <v>2.0279813665504434E-2</v>
      </c>
      <c r="AI46" s="178">
        <f t="shared" si="199"/>
        <v>2.8391291794842378E-2</v>
      </c>
      <c r="AJ46" s="179">
        <f t="shared" si="199"/>
        <v>2.3550045734279393E-2</v>
      </c>
      <c r="AK46" s="177">
        <f t="shared" si="199"/>
        <v>2.9584595137689976E-2</v>
      </c>
      <c r="AL46" s="177">
        <f t="shared" si="199"/>
        <v>1.9225660944743768E-2</v>
      </c>
      <c r="AM46" s="178">
        <f t="shared" si="199"/>
        <v>2.1354250993039465E-2</v>
      </c>
      <c r="AN46" s="179">
        <f t="shared" ref="AN46:AS46" si="200">AN13/AN51</f>
        <v>2.4474820630141777E-2</v>
      </c>
      <c r="AO46" s="177">
        <f t="shared" si="200"/>
        <v>2.3471076900013849E-2</v>
      </c>
      <c r="AP46" s="177">
        <f t="shared" si="200"/>
        <v>2.6262966657292768E-2</v>
      </c>
      <c r="AQ46" s="178">
        <f t="shared" si="200"/>
        <v>2.5850552341943406E-2</v>
      </c>
      <c r="AR46" s="179">
        <f t="shared" si="200"/>
        <v>2.2989221275399992E-2</v>
      </c>
      <c r="AS46" s="177">
        <f t="shared" si="200"/>
        <v>2.5570185751234421E-2</v>
      </c>
      <c r="AT46" s="177">
        <f t="shared" ref="AT46:BB46" si="201">AT13/AT51</f>
        <v>2.4466394187102634E-2</v>
      </c>
      <c r="AU46" s="178">
        <f t="shared" si="201"/>
        <v>2.2596316800361539E-2</v>
      </c>
      <c r="AV46" s="179">
        <f t="shared" si="201"/>
        <v>2.2891079974629535E-2</v>
      </c>
      <c r="AW46" s="177">
        <f t="shared" si="201"/>
        <v>2.2651802656546489E-2</v>
      </c>
      <c r="AX46" s="177">
        <f t="shared" si="201"/>
        <v>2.5237137108364473E-2</v>
      </c>
      <c r="AY46" s="178">
        <f t="shared" si="201"/>
        <v>1.650087218895856E-2</v>
      </c>
      <c r="AZ46" s="179">
        <f t="shared" si="201"/>
        <v>1.1606888022072116E-2</v>
      </c>
      <c r="BA46" s="177">
        <f t="shared" si="201"/>
        <v>3.2859312439596861E-2</v>
      </c>
      <c r="BB46" s="177">
        <f t="shared" si="201"/>
        <v>2.4663389613165207E-2</v>
      </c>
      <c r="BC46" s="178">
        <f t="shared" ref="BC46:BH46" si="202">BC13/BC51</f>
        <v>2.5170829633633169E-2</v>
      </c>
      <c r="BD46" s="179">
        <f t="shared" si="202"/>
        <v>2.9813425658780542E-2</v>
      </c>
      <c r="BE46" s="177">
        <f t="shared" si="202"/>
        <v>2.9057965566498759E-2</v>
      </c>
      <c r="BF46" s="177">
        <f t="shared" si="202"/>
        <v>3.3614612633260411E-2</v>
      </c>
      <c r="BG46" s="178">
        <f t="shared" si="202"/>
        <v>2.8901949114715077E-2</v>
      </c>
      <c r="BH46" s="179">
        <f t="shared" si="202"/>
        <v>2.1826006762988008E-2</v>
      </c>
      <c r="BI46" s="177">
        <f>BI13/BI51</f>
        <v>3.3593212565925248E-2</v>
      </c>
      <c r="BJ46" s="177">
        <f>BJ13/BJ51</f>
        <v>3.2252159906282024E-2</v>
      </c>
      <c r="BK46" s="178">
        <f t="shared" ref="BK46:BL46" si="203">BK13/BK51</f>
        <v>2.4123885104291032E-2</v>
      </c>
      <c r="BL46" s="179">
        <f t="shared" si="203"/>
        <v>3.127451679623422E-2</v>
      </c>
      <c r="BM46" s="180">
        <f t="shared" si="178"/>
        <v>3.127451679623422E-2</v>
      </c>
      <c r="BN46" s="180">
        <f t="shared" si="178"/>
        <v>3.127451679623422E-2</v>
      </c>
      <c r="BO46" s="181">
        <f t="shared" si="178"/>
        <v>3.127451679623422E-2</v>
      </c>
      <c r="BP46" s="623">
        <f t="shared" si="162"/>
        <v>3.127451679623422E-2</v>
      </c>
      <c r="BQ46" s="180">
        <f t="shared" si="162"/>
        <v>3.127451679623422E-2</v>
      </c>
      <c r="BR46" s="180">
        <f t="shared" si="162"/>
        <v>3.127451679623422E-2</v>
      </c>
      <c r="BS46" s="181">
        <f t="shared" si="162"/>
        <v>3.127451679623422E-2</v>
      </c>
      <c r="BT46" s="623">
        <f t="shared" si="179"/>
        <v>3.127451679623422E-2</v>
      </c>
      <c r="BU46" s="180">
        <f t="shared" si="163"/>
        <v>3.127451679623422E-2</v>
      </c>
      <c r="BV46" s="180">
        <f t="shared" si="164"/>
        <v>3.127451679623422E-2</v>
      </c>
      <c r="BW46" s="181">
        <f t="shared" si="165"/>
        <v>3.127451679623422E-2</v>
      </c>
      <c r="BX46" s="477"/>
      <c r="BY46" s="179">
        <f>BY13/BY51</f>
        <v>1.4699491796004811E-2</v>
      </c>
      <c r="BZ46" s="177">
        <f>BZ13/BZ51</f>
        <v>1.2943443812605582E-2</v>
      </c>
      <c r="CA46" s="177">
        <f>CA13/CA51</f>
        <v>1.2244724977261194E-2</v>
      </c>
      <c r="CB46" s="177">
        <f>CB13/CB51</f>
        <v>1.0350736052341498E-2</v>
      </c>
      <c r="CC46" s="177">
        <f>CB13/CB51</f>
        <v>1.0350736052341498E-2</v>
      </c>
      <c r="CD46" s="177">
        <f t="shared" ref="CD46:CJ46" si="204">CD13/CD51</f>
        <v>1.3349720032229442E-2</v>
      </c>
      <c r="CE46" s="177">
        <f t="shared" si="204"/>
        <v>1.9829490705450491E-2</v>
      </c>
      <c r="CF46" s="177">
        <f t="shared" si="204"/>
        <v>2.8391291794842378E-2</v>
      </c>
      <c r="CG46" s="177">
        <f t="shared" si="204"/>
        <v>2.1354250993039465E-2</v>
      </c>
      <c r="CH46" s="177">
        <f t="shared" si="204"/>
        <v>2.5850552341943406E-2</v>
      </c>
      <c r="CI46" s="177">
        <f t="shared" si="204"/>
        <v>2.2596316800361539E-2</v>
      </c>
      <c r="CJ46" s="177">
        <f t="shared" si="204"/>
        <v>1.650087218895856E-2</v>
      </c>
      <c r="CK46" s="177">
        <f>CK13/CK51</f>
        <v>2.5170829633633169E-2</v>
      </c>
      <c r="CL46" s="177">
        <f>CL13/CL51</f>
        <v>2.8901949114715077E-2</v>
      </c>
      <c r="CM46" s="177">
        <f t="shared" ref="CM46:CP46" si="205">CM13/CM51</f>
        <v>2.4123885104291032E-2</v>
      </c>
      <c r="CN46" s="177">
        <f t="shared" si="205"/>
        <v>3.127451679623422E-2</v>
      </c>
      <c r="CO46" s="177">
        <f t="shared" si="205"/>
        <v>3.127451679623422E-2</v>
      </c>
      <c r="CP46" s="177">
        <f t="shared" si="205"/>
        <v>3.127451679623422E-2</v>
      </c>
      <c r="CQ46" s="131"/>
      <c r="CR46" s="177">
        <f>CR13/CR51</f>
        <v>1.1354244409805682E-2</v>
      </c>
      <c r="CS46" s="177">
        <f>CS13/CS51</f>
        <v>9.1145716263722424E-3</v>
      </c>
      <c r="CT46" s="177">
        <f>CT13/CT51</f>
        <v>9.8139476469849465E-3</v>
      </c>
      <c r="CU46" s="177">
        <f t="shared" ref="CU46:CZ46" si="206">CU13/CU51</f>
        <v>1.3166216293911343E-2</v>
      </c>
      <c r="CV46" s="177">
        <f t="shared" si="206"/>
        <v>1.6850889499506066E-2</v>
      </c>
      <c r="CW46" s="177">
        <f t="shared" si="206"/>
        <v>2.3550045734279393E-2</v>
      </c>
      <c r="CX46" s="177">
        <f t="shared" si="206"/>
        <v>2.4474820630141777E-2</v>
      </c>
      <c r="CY46" s="177">
        <f t="shared" si="206"/>
        <v>2.2989221275399992E-2</v>
      </c>
      <c r="CZ46" s="178">
        <f t="shared" si="206"/>
        <v>2.2891079974629535E-2</v>
      </c>
      <c r="DA46" s="177">
        <f t="shared" ref="DA46:DF46" si="207">DA13/DA51</f>
        <v>1.1606888022072116E-2</v>
      </c>
      <c r="DB46" s="177">
        <f t="shared" si="207"/>
        <v>2.9813425658780542E-2</v>
      </c>
      <c r="DC46" s="177">
        <f t="shared" si="207"/>
        <v>2.1826006762988008E-2</v>
      </c>
      <c r="DD46" s="177">
        <f t="shared" si="207"/>
        <v>3.127451679623422E-2</v>
      </c>
      <c r="DE46" s="177">
        <f t="shared" si="207"/>
        <v>3.127451679623422E-2</v>
      </c>
      <c r="DF46" s="178">
        <f t="shared" si="207"/>
        <v>3.127451679623422E-2</v>
      </c>
      <c r="DG46" s="100"/>
      <c r="DH46" s="100"/>
      <c r="DI46" s="100"/>
      <c r="DJ46" s="100"/>
      <c r="DK46"/>
      <c r="DL46"/>
      <c r="DM46"/>
      <c r="DN46"/>
      <c r="DO46"/>
      <c r="DP46"/>
    </row>
    <row r="47" spans="1:122" s="101" customFormat="1" ht="14.25">
      <c r="A47" s="109"/>
      <c r="B47" s="14" t="s">
        <v>143</v>
      </c>
      <c r="C47" s="24"/>
      <c r="D47" s="177">
        <f t="shared" ref="D47:O47" si="208">D20/D51</f>
        <v>2.4106919909156126E-2</v>
      </c>
      <c r="E47" s="177">
        <f t="shared" si="208"/>
        <v>2.6305219007762656E-2</v>
      </c>
      <c r="F47" s="177">
        <f t="shared" si="208"/>
        <v>2.8056238912843874E-2</v>
      </c>
      <c r="G47" s="177">
        <f t="shared" si="208"/>
        <v>3.7230173868891603E-2</v>
      </c>
      <c r="H47" s="177">
        <f t="shared" si="208"/>
        <v>3.6923520066249903E-2</v>
      </c>
      <c r="I47" s="177">
        <f t="shared" si="208"/>
        <v>2.0699301641328105E-2</v>
      </c>
      <c r="J47" s="177">
        <f t="shared" si="208"/>
        <v>2.3047776692939861E-2</v>
      </c>
      <c r="K47" s="177">
        <f t="shared" si="208"/>
        <v>1.9086388402812779E-2</v>
      </c>
      <c r="L47" s="177">
        <f t="shared" si="208"/>
        <v>1.8720217835262083E-2</v>
      </c>
      <c r="M47" s="177">
        <f t="shared" si="208"/>
        <v>2.0384909632507338E-2</v>
      </c>
      <c r="N47" s="177">
        <f t="shared" si="208"/>
        <v>2.1815960556743317E-2</v>
      </c>
      <c r="O47" s="177">
        <f t="shared" si="208"/>
        <v>2.2257406548124224E-2</v>
      </c>
      <c r="P47" s="177">
        <f t="shared" ref="P47:W47" si="209">P20/P51</f>
        <v>2.3618388199904892E-2</v>
      </c>
      <c r="Q47" s="177">
        <f t="shared" si="209"/>
        <v>2.3970505038474463E-2</v>
      </c>
      <c r="R47" s="177">
        <f t="shared" si="209"/>
        <v>2.2846185482002776E-2</v>
      </c>
      <c r="S47" s="177">
        <f t="shared" si="209"/>
        <v>1.1160793656437792E-2</v>
      </c>
      <c r="T47" s="177">
        <f t="shared" si="209"/>
        <v>1.2570466540194026E-2</v>
      </c>
      <c r="U47" s="177">
        <f t="shared" si="209"/>
        <v>1.7600908895727473E-2</v>
      </c>
      <c r="V47" s="177">
        <f t="shared" si="209"/>
        <v>1.6574987919587478E-2</v>
      </c>
      <c r="W47" s="177">
        <f t="shared" si="209"/>
        <v>1.5227012234914749E-2</v>
      </c>
      <c r="X47" s="177">
        <f t="shared" ref="X47:AG47" si="210">X20/X51</f>
        <v>1.4221200617606426E-2</v>
      </c>
      <c r="Y47" s="177">
        <f t="shared" si="210"/>
        <v>1.4761983398517113E-2</v>
      </c>
      <c r="Z47" s="177">
        <f t="shared" si="210"/>
        <v>1.4595439068118972E-2</v>
      </c>
      <c r="AA47" s="177">
        <f t="shared" si="210"/>
        <v>1.1702550817465095E-2</v>
      </c>
      <c r="AB47" s="179">
        <f t="shared" si="210"/>
        <v>1.1119841741356145E-2</v>
      </c>
      <c r="AC47" s="177">
        <f t="shared" si="210"/>
        <v>1.0674677828480418E-2</v>
      </c>
      <c r="AD47" s="177">
        <f t="shared" si="210"/>
        <v>1.1338933367670783E-2</v>
      </c>
      <c r="AE47" s="177">
        <f t="shared" si="210"/>
        <v>1.0342538933934204E-2</v>
      </c>
      <c r="AF47" s="179">
        <f t="shared" si="210"/>
        <v>1.0400669096222014E-2</v>
      </c>
      <c r="AG47" s="177">
        <f t="shared" si="210"/>
        <v>8.7099440171437108E-3</v>
      </c>
      <c r="AH47" s="177">
        <f t="shared" ref="AH47:AM47" si="211">AH20/AH51</f>
        <v>1.1286708119820996E-2</v>
      </c>
      <c r="AI47" s="178">
        <f t="shared" si="211"/>
        <v>1.0494498828667598E-2</v>
      </c>
      <c r="AJ47" s="179">
        <f t="shared" si="211"/>
        <v>9.5651247258163336E-3</v>
      </c>
      <c r="AK47" s="177">
        <f t="shared" si="211"/>
        <v>9.0460759063764728E-3</v>
      </c>
      <c r="AL47" s="177">
        <f t="shared" si="211"/>
        <v>5.1346949003884229E-2</v>
      </c>
      <c r="AM47" s="178">
        <f t="shared" si="211"/>
        <v>5.2885386800761172E-2</v>
      </c>
      <c r="AN47" s="179">
        <f t="shared" ref="AN47:AS47" si="212">AN20/AN51</f>
        <v>5.4120988514157843E-2</v>
      </c>
      <c r="AO47" s="177">
        <f t="shared" si="212"/>
        <v>5.6382671929608365E-2</v>
      </c>
      <c r="AP47" s="177">
        <f t="shared" si="212"/>
        <v>8.179950696026738E-3</v>
      </c>
      <c r="AQ47" s="178">
        <f t="shared" si="212"/>
        <v>8.044955909844052E-3</v>
      </c>
      <c r="AR47" s="179">
        <f t="shared" si="212"/>
        <v>8.3707178466520329E-3</v>
      </c>
      <c r="AS47" s="177">
        <f t="shared" si="212"/>
        <v>7.8767928521043962E-3</v>
      </c>
      <c r="AT47" s="177">
        <f t="shared" ref="AT47:BB47" si="213">AT20/AT51</f>
        <v>7.3228882833787463E-3</v>
      </c>
      <c r="AU47" s="178">
        <f t="shared" si="213"/>
        <v>6.6659134561066549E-3</v>
      </c>
      <c r="AV47" s="179">
        <f t="shared" si="213"/>
        <v>7.380499336908263E-3</v>
      </c>
      <c r="AW47" s="177">
        <f t="shared" si="213"/>
        <v>7.2343453510436426E-3</v>
      </c>
      <c r="AX47" s="177">
        <f t="shared" si="213"/>
        <v>7.0135096292037935E-3</v>
      </c>
      <c r="AY47" s="178">
        <f t="shared" si="213"/>
        <v>5.6102965442459104E-3</v>
      </c>
      <c r="AZ47" s="179">
        <f t="shared" si="213"/>
        <v>6.8975359147559704E-3</v>
      </c>
      <c r="BA47" s="177">
        <f t="shared" si="213"/>
        <v>6.7651525610934703E-3</v>
      </c>
      <c r="BB47" s="177">
        <f t="shared" si="213"/>
        <v>6.4543705920068386E-3</v>
      </c>
      <c r="BC47" s="178">
        <f t="shared" ref="BC47:BH47" si="214">BC20/BC51</f>
        <v>7.8369300853183034E-3</v>
      </c>
      <c r="BD47" s="179">
        <f t="shared" si="214"/>
        <v>7.8091940757838065E-3</v>
      </c>
      <c r="BE47" s="177">
        <f t="shared" si="214"/>
        <v>1.6239380497706943E-2</v>
      </c>
      <c r="BF47" s="177">
        <f t="shared" si="214"/>
        <v>1.9099211723443391E-3</v>
      </c>
      <c r="BG47" s="178">
        <f t="shared" si="214"/>
        <v>2.0458265139116178E-3</v>
      </c>
      <c r="BH47" s="179">
        <f t="shared" si="214"/>
        <v>2.1518598217030432E-2</v>
      </c>
      <c r="BI47" s="177">
        <f>BI20/BI51</f>
        <v>2.1172513949399986E-2</v>
      </c>
      <c r="BJ47" s="177">
        <f>BJ20/BJ51</f>
        <v>1.7022990188900276E-2</v>
      </c>
      <c r="BK47" s="178">
        <f t="shared" ref="BK47:BL47" si="215">BK20/BK51</f>
        <v>1.4151274668164897E-2</v>
      </c>
      <c r="BL47" s="179">
        <f t="shared" si="215"/>
        <v>7.453106055202911E-3</v>
      </c>
      <c r="BM47" s="180">
        <v>0.01</v>
      </c>
      <c r="BN47" s="180">
        <v>0.01</v>
      </c>
      <c r="BO47" s="181">
        <v>0.01</v>
      </c>
      <c r="BP47" s="623">
        <v>0.01</v>
      </c>
      <c r="BQ47" s="180">
        <v>0.01</v>
      </c>
      <c r="BR47" s="180">
        <v>0.01</v>
      </c>
      <c r="BS47" s="181">
        <v>0.01</v>
      </c>
      <c r="BT47" s="623">
        <v>0.01</v>
      </c>
      <c r="BU47" s="180">
        <v>0.01</v>
      </c>
      <c r="BV47" s="180">
        <v>0.01</v>
      </c>
      <c r="BW47" s="181">
        <v>0.01</v>
      </c>
      <c r="BX47" s="477"/>
      <c r="BY47" s="179">
        <f>BY20/BY51</f>
        <v>3.7230173868891603E-2</v>
      </c>
      <c r="BZ47" s="177">
        <f>BZ20/BZ51</f>
        <v>1.9086388402812779E-2</v>
      </c>
      <c r="CA47" s="177">
        <f>CA20/CA51</f>
        <v>2.2257406548124224E-2</v>
      </c>
      <c r="CB47" s="177">
        <f>CB20/CB51</f>
        <v>1.1160793656437792E-2</v>
      </c>
      <c r="CC47" s="177">
        <f>CB20/CB51</f>
        <v>1.1160793656437792E-2</v>
      </c>
      <c r="CD47" s="177">
        <f t="shared" ref="CD47:CJ47" si="216">CD20/CD51</f>
        <v>1.1702550817465095E-2</v>
      </c>
      <c r="CE47" s="177">
        <f t="shared" si="216"/>
        <v>1.0342538933934204E-2</v>
      </c>
      <c r="CF47" s="177">
        <f t="shared" si="216"/>
        <v>1.0494498828667598E-2</v>
      </c>
      <c r="CG47" s="177">
        <f t="shared" si="216"/>
        <v>5.2885386800761172E-2</v>
      </c>
      <c r="CH47" s="177">
        <f t="shared" si="216"/>
        <v>8.044955909844052E-3</v>
      </c>
      <c r="CI47" s="177">
        <f t="shared" si="216"/>
        <v>6.6659134561066549E-3</v>
      </c>
      <c r="CJ47" s="177">
        <f t="shared" si="216"/>
        <v>5.6102965442459104E-3</v>
      </c>
      <c r="CK47" s="177">
        <f>CK20/CK51</f>
        <v>7.8369300853183034E-3</v>
      </c>
      <c r="CL47" s="177">
        <f>CL20/CL51</f>
        <v>2.0458265139116178E-3</v>
      </c>
      <c r="CM47" s="177">
        <f t="shared" ref="CM47:CP47" si="217">CM20/CM51</f>
        <v>1.4151274668164897E-2</v>
      </c>
      <c r="CN47" s="177">
        <f t="shared" si="217"/>
        <v>0.01</v>
      </c>
      <c r="CO47" s="177">
        <f t="shared" si="217"/>
        <v>0.01</v>
      </c>
      <c r="CP47" s="177">
        <f t="shared" si="217"/>
        <v>0.01</v>
      </c>
      <c r="CQ47" s="131"/>
      <c r="CR47" s="177">
        <f>CR20/CR51</f>
        <v>2.3618388199904892E-2</v>
      </c>
      <c r="CS47" s="177">
        <f>CS20/CS51</f>
        <v>1.2570466540194026E-2</v>
      </c>
      <c r="CT47" s="177">
        <f>CT20/CT51</f>
        <v>1.4221200617606426E-2</v>
      </c>
      <c r="CU47" s="177">
        <f t="shared" ref="CU47:CZ47" si="218">CU20/CU51</f>
        <v>1.1119841741356145E-2</v>
      </c>
      <c r="CV47" s="177">
        <f t="shared" si="218"/>
        <v>1.0400669096222014E-2</v>
      </c>
      <c r="CW47" s="177">
        <f t="shared" si="218"/>
        <v>9.5651247258163336E-3</v>
      </c>
      <c r="CX47" s="177">
        <f t="shared" si="218"/>
        <v>5.4120988514157843E-2</v>
      </c>
      <c r="CY47" s="177">
        <f t="shared" si="218"/>
        <v>8.3707178466520329E-3</v>
      </c>
      <c r="CZ47" s="178">
        <f t="shared" si="218"/>
        <v>7.380499336908263E-3</v>
      </c>
      <c r="DA47" s="177">
        <f t="shared" ref="DA47:DF47" si="219">DA20/DA51</f>
        <v>6.8975359147559704E-3</v>
      </c>
      <c r="DB47" s="177">
        <f t="shared" si="219"/>
        <v>7.8091940757838065E-3</v>
      </c>
      <c r="DC47" s="177">
        <f t="shared" si="219"/>
        <v>2.1518598217030432E-2</v>
      </c>
      <c r="DD47" s="177">
        <f t="shared" si="219"/>
        <v>7.453106055202911E-3</v>
      </c>
      <c r="DE47" s="177">
        <f t="shared" si="219"/>
        <v>0.01</v>
      </c>
      <c r="DF47" s="178">
        <f t="shared" si="219"/>
        <v>0.01</v>
      </c>
      <c r="DG47" s="100"/>
      <c r="DH47" s="100"/>
      <c r="DI47" s="100"/>
      <c r="DJ47" s="100"/>
      <c r="DK47"/>
      <c r="DL47"/>
      <c r="DM47"/>
      <c r="DN47"/>
      <c r="DO47"/>
      <c r="DP47"/>
    </row>
    <row r="48" spans="1:122" s="101" customFormat="1" ht="14.25" customHeight="1">
      <c r="A48" s="109"/>
      <c r="B48" s="14"/>
      <c r="C48" s="24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130"/>
      <c r="AC48" s="99"/>
      <c r="AD48" s="99"/>
      <c r="AE48" s="99"/>
      <c r="AF48" s="130"/>
      <c r="AG48" s="99"/>
      <c r="AH48" s="99"/>
      <c r="AI48" s="129"/>
      <c r="AJ48" s="130"/>
      <c r="AK48" s="99"/>
      <c r="AL48" s="99"/>
      <c r="AM48" s="129"/>
      <c r="AN48" s="130"/>
      <c r="AO48" s="99"/>
      <c r="AP48" s="99"/>
      <c r="AQ48" s="129"/>
      <c r="AR48" s="130"/>
      <c r="AS48" s="99"/>
      <c r="AT48" s="99"/>
      <c r="AU48" s="129"/>
      <c r="AV48" s="130"/>
      <c r="AW48" s="99"/>
      <c r="AX48" s="99"/>
      <c r="AY48" s="129"/>
      <c r="AZ48" s="130"/>
      <c r="BA48" s="99"/>
      <c r="BB48" s="99"/>
      <c r="BC48" s="129"/>
      <c r="BD48" s="130"/>
      <c r="BE48" s="99"/>
      <c r="BF48" s="99"/>
      <c r="BG48" s="129"/>
      <c r="BH48" s="130"/>
      <c r="BI48" s="99"/>
      <c r="BJ48" s="99"/>
      <c r="BK48" s="129"/>
      <c r="BL48" s="130"/>
      <c r="BM48" s="99"/>
      <c r="BN48" s="99"/>
      <c r="BO48" s="129"/>
      <c r="BP48" s="130"/>
      <c r="BQ48" s="99"/>
      <c r="BR48" s="99"/>
      <c r="BS48" s="129"/>
      <c r="BT48" s="130"/>
      <c r="BU48" s="99"/>
      <c r="BV48" s="99"/>
      <c r="BW48" s="129"/>
      <c r="BX48" s="103"/>
      <c r="BY48" s="130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131"/>
      <c r="CR48" s="99"/>
      <c r="CS48" s="99"/>
      <c r="CT48" s="99"/>
      <c r="CU48" s="99"/>
      <c r="CV48" s="99"/>
      <c r="CW48" s="99"/>
      <c r="CX48" s="99"/>
      <c r="CY48" s="99"/>
      <c r="CZ48" s="129"/>
      <c r="DA48" s="99"/>
      <c r="DB48" s="99"/>
      <c r="DC48" s="99"/>
      <c r="DD48" s="99"/>
      <c r="DE48" s="99"/>
      <c r="DF48" s="129"/>
      <c r="DG48" s="100"/>
      <c r="DH48" s="100"/>
      <c r="DI48" s="100"/>
      <c r="DJ48" s="100"/>
      <c r="DK48"/>
      <c r="DL48"/>
      <c r="DM48"/>
      <c r="DN48"/>
      <c r="DO48"/>
      <c r="DP48"/>
    </row>
    <row r="49" spans="1:122" s="101" customFormat="1" ht="14.25" customHeight="1">
      <c r="A49" s="109"/>
      <c r="B49" s="14" t="s">
        <v>144</v>
      </c>
      <c r="C49" s="24"/>
      <c r="D49" s="182">
        <f>IS!D8</f>
        <v>160.19399999999999</v>
      </c>
      <c r="E49" s="182">
        <f>IS!E8</f>
        <v>157.364</v>
      </c>
      <c r="F49" s="182">
        <f>IS!F8</f>
        <v>150.19900000000001</v>
      </c>
      <c r="G49" s="182">
        <f>IS!G8</f>
        <v>150.03200000000001</v>
      </c>
      <c r="H49" s="182">
        <f>IS!H8</f>
        <v>175.108</v>
      </c>
      <c r="I49" s="182">
        <f>IS!I8</f>
        <v>183.471</v>
      </c>
      <c r="J49" s="182">
        <f>IS!J8</f>
        <v>207.37700000000001</v>
      </c>
      <c r="K49" s="182">
        <f>IS!K8</f>
        <v>218.06699999999995</v>
      </c>
      <c r="L49" s="182">
        <f>IS!L8</f>
        <v>220.16</v>
      </c>
      <c r="M49" s="182">
        <f>IS!M8</f>
        <v>105.58499999999999</v>
      </c>
      <c r="N49" s="182">
        <f>IS!N8</f>
        <v>191.53200000000001</v>
      </c>
      <c r="O49" s="182">
        <f>IS!O8</f>
        <v>275.09399999999994</v>
      </c>
      <c r="P49" s="182">
        <f>IS!P8</f>
        <v>198.32499999999999</v>
      </c>
      <c r="Q49" s="182">
        <f>IS!Q8</f>
        <v>185.23400000000001</v>
      </c>
      <c r="R49" s="182">
        <f>IS!R8</f>
        <v>197.05799999999999</v>
      </c>
      <c r="S49" s="182">
        <f>IS!S8</f>
        <v>193.13299999999998</v>
      </c>
      <c r="T49" s="182">
        <f>IS!T8</f>
        <v>196.03</v>
      </c>
      <c r="U49" s="182">
        <f>IS!U8</f>
        <v>180.21</v>
      </c>
      <c r="V49" s="182">
        <f>IS!V8</f>
        <v>175.05</v>
      </c>
      <c r="W49" s="182">
        <f>IS!W8</f>
        <v>190.45399999999992</v>
      </c>
      <c r="X49" s="182">
        <f>IS!X8</f>
        <v>210.53299999999999</v>
      </c>
      <c r="Y49" s="182">
        <f>IS!Y8</f>
        <v>201.708</v>
      </c>
      <c r="Z49" s="182">
        <f>IS!Z8</f>
        <v>215.21</v>
      </c>
      <c r="AA49" s="182">
        <f>IS!AA8</f>
        <v>232.56600000000006</v>
      </c>
      <c r="AB49" s="184">
        <f>IS!AB8</f>
        <v>210.22800000000001</v>
      </c>
      <c r="AC49" s="182">
        <f>IS!AC8</f>
        <v>172.99</v>
      </c>
      <c r="AD49" s="182">
        <f>IS!AD8</f>
        <v>191.21299999999999</v>
      </c>
      <c r="AE49" s="182">
        <f>IS!AE8</f>
        <v>228.14600000000002</v>
      </c>
      <c r="AF49" s="184">
        <f>IS!AF8</f>
        <v>245.13800000000001</v>
      </c>
      <c r="AG49" s="182">
        <f>IS!AG8</f>
        <v>238.05799999999999</v>
      </c>
      <c r="AH49" s="182">
        <f>IS!AH8</f>
        <v>275.37</v>
      </c>
      <c r="AI49" s="183">
        <f>IS!AI8</f>
        <v>313.2829999999999</v>
      </c>
      <c r="AJ49" s="184">
        <f>IS!AJ8</f>
        <v>335.12</v>
      </c>
      <c r="AK49" s="182">
        <f>IS!AK8</f>
        <v>325.411</v>
      </c>
      <c r="AL49" s="182">
        <f>IS!AL8</f>
        <v>356.07499999999999</v>
      </c>
      <c r="AM49" s="183">
        <f>IS!AM8</f>
        <v>402.31599999999997</v>
      </c>
      <c r="AN49" s="184">
        <f>IS!AN8</f>
        <v>393.74</v>
      </c>
      <c r="AO49" s="182">
        <f>IS!AO8</f>
        <v>364.69</v>
      </c>
      <c r="AP49" s="182">
        <f>IS!AP8</f>
        <v>389.03800000000001</v>
      </c>
      <c r="AQ49" s="183">
        <f>IS!AQ8</f>
        <v>421.113</v>
      </c>
      <c r="AR49" s="184">
        <f>IS!AR8</f>
        <v>453.72300000000001</v>
      </c>
      <c r="AS49" s="182">
        <f>IS!AS8</f>
        <v>425.2</v>
      </c>
      <c r="AT49" s="182">
        <f>IS!AT8</f>
        <v>436.1</v>
      </c>
      <c r="AU49" s="183">
        <f>IS!AU8</f>
        <v>477</v>
      </c>
      <c r="AV49" s="184">
        <f>IS!AV8</f>
        <v>505.2</v>
      </c>
      <c r="AW49" s="182">
        <f>IS!AW8</f>
        <v>481</v>
      </c>
      <c r="AX49" s="182">
        <f>IS!AX8</f>
        <v>587</v>
      </c>
      <c r="AY49" s="183">
        <f>IS!AY8</f>
        <v>718.2</v>
      </c>
      <c r="AZ49" s="184">
        <f>IS!AZ8</f>
        <v>805.5</v>
      </c>
      <c r="BA49" s="182">
        <f>IS!BA8</f>
        <v>762.1</v>
      </c>
      <c r="BB49" s="182">
        <f>IS!BB8</f>
        <v>810</v>
      </c>
      <c r="BC49" s="183">
        <f>IS!BC8</f>
        <v>880.8</v>
      </c>
      <c r="BD49" s="184">
        <f>IS!BD8</f>
        <v>926.8</v>
      </c>
      <c r="BE49" s="182">
        <f>IS!BE8</f>
        <v>775.1</v>
      </c>
      <c r="BF49" s="182">
        <f>IS!BF8</f>
        <v>751.7</v>
      </c>
      <c r="BG49" s="183">
        <f>IS!BG8</f>
        <v>835.4</v>
      </c>
      <c r="BH49" s="184">
        <f>IS!BH8</f>
        <v>914.3</v>
      </c>
      <c r="BI49" s="182">
        <f>IS!BI8</f>
        <v>851.7</v>
      </c>
      <c r="BJ49" s="182">
        <f>IS!BJ8</f>
        <v>900.8</v>
      </c>
      <c r="BK49" s="183">
        <f>IS!BK8</f>
        <v>984.6</v>
      </c>
      <c r="BL49" s="184">
        <f>IS!BL8</f>
        <v>1051.9000000000001</v>
      </c>
      <c r="BM49" s="182">
        <f>IS!BM8</f>
        <v>902.71428250000008</v>
      </c>
      <c r="BN49" s="182">
        <f>IS!BN8</f>
        <v>868.11900083750015</v>
      </c>
      <c r="BO49" s="183">
        <f>IS!BO8</f>
        <v>1031.6292427112503</v>
      </c>
      <c r="BP49" s="184">
        <f>IS!BP8</f>
        <v>1074.111857351744</v>
      </c>
      <c r="BQ49" s="182">
        <f>IS!BQ8</f>
        <v>978.01908972602337</v>
      </c>
      <c r="BR49" s="182">
        <f>IS!BR8</f>
        <v>978.30933771510013</v>
      </c>
      <c r="BS49" s="183">
        <f>IS!BS8</f>
        <v>1052.3061280678833</v>
      </c>
      <c r="BT49" s="184">
        <f>IS!BT8</f>
        <v>1096.7076503445662</v>
      </c>
      <c r="BU49" s="182">
        <f>IS!BU8</f>
        <v>1037.134618439238</v>
      </c>
      <c r="BV49" s="182">
        <f>IS!BV8</f>
        <v>1050.6310512325501</v>
      </c>
      <c r="BW49" s="183">
        <f>IS!BW8</f>
        <v>1136.1113248292809</v>
      </c>
      <c r="BX49" s="478"/>
      <c r="BY49" s="184">
        <f>IS!BY8</f>
        <v>617.78899999999999</v>
      </c>
      <c r="BZ49" s="182">
        <f>IS!BZ8</f>
        <v>784.02299999999991</v>
      </c>
      <c r="CA49" s="182">
        <f>IS!CA8</f>
        <v>792.37099999999998</v>
      </c>
      <c r="CB49" s="182">
        <f>IS!CB8</f>
        <v>773.75</v>
      </c>
      <c r="CC49" s="182">
        <f>IS!CC8</f>
        <v>741.74399999999991</v>
      </c>
      <c r="CD49" s="182">
        <f>IS!CD8</f>
        <v>860.01700000000005</v>
      </c>
      <c r="CE49" s="182">
        <f>IS!CE8</f>
        <v>802.577</v>
      </c>
      <c r="CF49" s="182">
        <f>IS!CF8</f>
        <v>1071.8489999999999</v>
      </c>
      <c r="CG49" s="182">
        <f>IS!CG8</f>
        <v>1418.922</v>
      </c>
      <c r="CH49" s="182">
        <f>IS!CH8</f>
        <v>1568.5810000000001</v>
      </c>
      <c r="CI49" s="182">
        <f>IS!CI8</f>
        <v>1792.0230000000001</v>
      </c>
      <c r="CJ49" s="182">
        <f>IS!CJ8</f>
        <v>2291.4</v>
      </c>
      <c r="CK49" s="182">
        <f>IS!CK8</f>
        <v>3258.3999999999996</v>
      </c>
      <c r="CL49" s="182">
        <f>IS!CL8</f>
        <v>3289.0000000000005</v>
      </c>
      <c r="CM49" s="182">
        <f>IS!CM8</f>
        <v>3651.4</v>
      </c>
      <c r="CN49" s="182">
        <f>IS!CN8</f>
        <v>3854.3625260487506</v>
      </c>
      <c r="CO49" s="182">
        <f>IS!CO8</f>
        <v>4082.7464128607508</v>
      </c>
      <c r="CP49" s="182">
        <f>IS!CP8</f>
        <v>4320.5846448456359</v>
      </c>
      <c r="CQ49" s="131"/>
      <c r="CR49" s="182">
        <f>IS!CR8</f>
        <v>770.53600000000006</v>
      </c>
      <c r="CS49" s="182">
        <f>IS!CS8</f>
        <v>771.45499999999993</v>
      </c>
      <c r="CT49" s="182">
        <f>IS!CT8</f>
        <v>756.24699999999996</v>
      </c>
      <c r="CU49" s="182">
        <f>IS!CU8</f>
        <v>859.71199999999999</v>
      </c>
      <c r="CV49" s="182">
        <f>IS!CV8</f>
        <v>837.48699999999997</v>
      </c>
      <c r="CW49" s="182">
        <f>IS!CW8</f>
        <v>1161.8309999999999</v>
      </c>
      <c r="CX49" s="182">
        <f>IS!CX8</f>
        <v>1477.5419999999999</v>
      </c>
      <c r="CY49" s="182">
        <f>IS!CY8</f>
        <v>1628.5640000000001</v>
      </c>
      <c r="CZ49" s="183">
        <f>IS!CZ8</f>
        <v>1843.5</v>
      </c>
      <c r="DA49" s="182">
        <f>IS!DA8</f>
        <v>2591.6999999999998</v>
      </c>
      <c r="DB49" s="182">
        <f>IS!DB8</f>
        <v>3379.7</v>
      </c>
      <c r="DC49" s="182">
        <f>IS!DC8</f>
        <v>3276.5</v>
      </c>
      <c r="DD49" s="182">
        <f>IS!DD8</f>
        <v>3789</v>
      </c>
      <c r="DE49" s="182">
        <f>IS!DE8</f>
        <v>3876.5743834004943</v>
      </c>
      <c r="DF49" s="183">
        <f>IS!DF8</f>
        <v>4105.3422058535725</v>
      </c>
      <c r="DG49" s="100"/>
      <c r="DH49" s="100"/>
      <c r="DI49" s="100"/>
      <c r="DJ49" s="100"/>
      <c r="DK49"/>
      <c r="DL49"/>
      <c r="DM49"/>
      <c r="DN49"/>
      <c r="DO49"/>
      <c r="DP49"/>
    </row>
    <row r="50" spans="1:122" s="101" customFormat="1" ht="14.25">
      <c r="A50" s="109"/>
      <c r="B50" s="14" t="s">
        <v>145</v>
      </c>
      <c r="C50" s="24"/>
      <c r="D50" s="182">
        <f>IS!D14</f>
        <v>95.073999999999998</v>
      </c>
      <c r="E50" s="182">
        <f>IS!E14</f>
        <v>93.844999999999999</v>
      </c>
      <c r="F50" s="182">
        <f>IS!F14</f>
        <v>94.120999999999995</v>
      </c>
      <c r="G50" s="182">
        <f>IS!G14</f>
        <v>87.90000000000002</v>
      </c>
      <c r="H50" s="182">
        <f>IS!H14</f>
        <v>105.54</v>
      </c>
      <c r="I50" s="182">
        <f>IS!I14</f>
        <v>111.267</v>
      </c>
      <c r="J50" s="182">
        <f>IS!J14</f>
        <v>123.593</v>
      </c>
      <c r="K50" s="182">
        <f>IS!K14</f>
        <v>130.40699999999998</v>
      </c>
      <c r="L50" s="182">
        <f>IS!L14</f>
        <v>132.14099999999999</v>
      </c>
      <c r="M50" s="182">
        <f>IS!M14</f>
        <v>117.90600000000001</v>
      </c>
      <c r="N50" s="182">
        <f>IS!N14</f>
        <v>113.658</v>
      </c>
      <c r="O50" s="182">
        <f>IS!O14</f>
        <v>120.89399999999998</v>
      </c>
      <c r="P50" s="182">
        <f>IS!P14</f>
        <v>123.602</v>
      </c>
      <c r="Q50" s="182">
        <f>IS!Q14</f>
        <v>115.884</v>
      </c>
      <c r="R50" s="182">
        <f>IS!R14</f>
        <v>123.711</v>
      </c>
      <c r="S50" s="182">
        <f>IS!S14</f>
        <v>147.874</v>
      </c>
      <c r="T50" s="182">
        <f>IS!T14</f>
        <v>120.714</v>
      </c>
      <c r="U50" s="182">
        <f>IS!U14</f>
        <v>111.508</v>
      </c>
      <c r="V50" s="182">
        <f>IS!V14</f>
        <v>106.41800000000001</v>
      </c>
      <c r="W50" s="182">
        <f>IS!W14</f>
        <v>115.71899999999999</v>
      </c>
      <c r="X50" s="182">
        <f>IS!X14</f>
        <v>128.19499999999999</v>
      </c>
      <c r="Y50" s="182">
        <f>IS!Y14</f>
        <v>121.34099999999999</v>
      </c>
      <c r="Z50" s="182">
        <f>IS!Z14</f>
        <v>128.77600000000001</v>
      </c>
      <c r="AA50" s="182">
        <f>IS!AA14</f>
        <v>138.74199999999996</v>
      </c>
      <c r="AB50" s="184">
        <f>IS!AB14</f>
        <v>126.361</v>
      </c>
      <c r="AC50" s="182">
        <f>IS!AC14</f>
        <v>108.11499999999999</v>
      </c>
      <c r="AD50" s="182">
        <f>IS!AD14</f>
        <v>114.26300000000001</v>
      </c>
      <c r="AE50" s="182">
        <f>IS!AE14</f>
        <v>135.61800000000005</v>
      </c>
      <c r="AF50" s="184">
        <f>IS!AF14</f>
        <v>142.584</v>
      </c>
      <c r="AG50" s="182">
        <f>IS!AG14</f>
        <v>138.20400000000001</v>
      </c>
      <c r="AH50" s="182">
        <f>IS!AH14</f>
        <v>157.10400000000001</v>
      </c>
      <c r="AI50" s="183">
        <f>IS!AI14</f>
        <v>177.12399999999991</v>
      </c>
      <c r="AJ50" s="184">
        <f>IS!AJ14</f>
        <v>186.58199999999999</v>
      </c>
      <c r="AK50" s="182">
        <f>IS!AK14</f>
        <v>184.43</v>
      </c>
      <c r="AL50" s="182">
        <f>IS!AL14</f>
        <v>199.85</v>
      </c>
      <c r="AM50" s="183">
        <f>IS!AM14</f>
        <v>227.756</v>
      </c>
      <c r="AN50" s="184">
        <f>IS!AN14</f>
        <v>221.89</v>
      </c>
      <c r="AO50" s="182">
        <f>IS!AO14</f>
        <v>212.41800000000001</v>
      </c>
      <c r="AP50" s="182">
        <f>IS!AP14</f>
        <v>223.73599999999999</v>
      </c>
      <c r="AQ50" s="183">
        <f>IS!AQ14</f>
        <v>243.44</v>
      </c>
      <c r="AR50" s="184">
        <f>IS!AR14</f>
        <v>261.15800000000002</v>
      </c>
      <c r="AS50" s="182">
        <f>IS!AS14</f>
        <v>248.5</v>
      </c>
      <c r="AT50" s="182">
        <f>IS!AT14</f>
        <v>247.9</v>
      </c>
      <c r="AU50" s="183">
        <f>IS!AU14</f>
        <v>267.89999999999998</v>
      </c>
      <c r="AV50" s="184">
        <f>IS!AV14</f>
        <v>283.2</v>
      </c>
      <c r="AW50" s="182">
        <f>IS!AW14</f>
        <v>268.60000000000002</v>
      </c>
      <c r="AX50" s="182">
        <f>IS!AX14</f>
        <v>322.8</v>
      </c>
      <c r="AY50" s="183">
        <f>IS!AY14</f>
        <v>394.2</v>
      </c>
      <c r="AZ50" s="184">
        <f>IS!AZ14</f>
        <v>432.5</v>
      </c>
      <c r="BA50" s="182">
        <f>IS!BA14</f>
        <v>409.9</v>
      </c>
      <c r="BB50" s="182">
        <f>IS!BB14</f>
        <v>416.9</v>
      </c>
      <c r="BC50" s="183">
        <f>IS!BC14</f>
        <v>444.6</v>
      </c>
      <c r="BD50" s="184">
        <f>IS!BD14</f>
        <v>454.7</v>
      </c>
      <c r="BE50" s="182">
        <f>IS!BE14</f>
        <v>384.7</v>
      </c>
      <c r="BF50" s="182">
        <f>IS!BF14</f>
        <v>373.4</v>
      </c>
      <c r="BG50" s="183">
        <f>IS!BG14</f>
        <v>411</v>
      </c>
      <c r="BH50" s="184">
        <f>IS!BH14</f>
        <v>450.4</v>
      </c>
      <c r="BI50" s="182">
        <f>IS!BI14</f>
        <v>426.3</v>
      </c>
      <c r="BJ50" s="182">
        <f>IS!BJ14</f>
        <v>447.2</v>
      </c>
      <c r="BK50" s="183">
        <f>IS!BK14</f>
        <v>485.7</v>
      </c>
      <c r="BL50" s="184">
        <f>IS!BL14</f>
        <v>515.1</v>
      </c>
      <c r="BM50" s="182">
        <f>IS!BM14</f>
        <v>448.541512985</v>
      </c>
      <c r="BN50" s="182">
        <f>IS!BN14</f>
        <v>430.16675653290008</v>
      </c>
      <c r="BO50" s="183">
        <f>IS!BO14</f>
        <v>510.11961399298275</v>
      </c>
      <c r="BP50" s="184">
        <f>IS!BP14</f>
        <v>530.81568273969037</v>
      </c>
      <c r="BQ50" s="182">
        <f>IS!BQ14</f>
        <v>484.8846055929971</v>
      </c>
      <c r="BR50" s="182">
        <f>IS!BR14</f>
        <v>484.50486066939754</v>
      </c>
      <c r="BS50" s="183">
        <f>IS!BS14</f>
        <v>519.60178914862331</v>
      </c>
      <c r="BT50" s="184">
        <f>IS!BT14</f>
        <v>541.66635479954323</v>
      </c>
      <c r="BU50" s="182">
        <f>IS!BU14</f>
        <v>512.33948579473679</v>
      </c>
      <c r="BV50" s="182">
        <f>IS!BV14</f>
        <v>518.4667440276985</v>
      </c>
      <c r="BW50" s="183">
        <f>IS!BW14</f>
        <v>560.5845377435121</v>
      </c>
      <c r="BX50" s="478"/>
      <c r="BY50" s="184">
        <f>IS!BY14</f>
        <v>370.94</v>
      </c>
      <c r="BZ50" s="182">
        <f>IS!BZ14</f>
        <v>470.80700000000002</v>
      </c>
      <c r="CA50" s="182">
        <f>IS!CA14</f>
        <v>484.59899999999993</v>
      </c>
      <c r="CB50" s="182">
        <f>IS!CB14</f>
        <v>511.07100000000003</v>
      </c>
      <c r="CC50" s="182">
        <f>IS!CC14</f>
        <v>454.35899999999998</v>
      </c>
      <c r="CD50" s="182">
        <f>IS!CD14</f>
        <v>517.05399999999997</v>
      </c>
      <c r="CE50" s="182">
        <f>IS!CE14</f>
        <v>484.35700000000008</v>
      </c>
      <c r="CF50" s="182">
        <f>IS!CF14</f>
        <v>615.01599999999996</v>
      </c>
      <c r="CG50" s="182">
        <f>IS!CG14</f>
        <v>798.61799999999994</v>
      </c>
      <c r="CH50" s="182">
        <f>IS!CH14</f>
        <v>901.48399999999992</v>
      </c>
      <c r="CI50" s="182">
        <f>IS!CI14</f>
        <v>1025.4580000000001</v>
      </c>
      <c r="CJ50" s="182">
        <f>IS!CJ14</f>
        <v>1268.8</v>
      </c>
      <c r="CK50" s="182">
        <f>IS!CK14</f>
        <v>1703.9</v>
      </c>
      <c r="CL50" s="182">
        <f>IS!CL14</f>
        <v>1623.8</v>
      </c>
      <c r="CM50" s="182">
        <f>IS!CM14</f>
        <v>1809.6000000000001</v>
      </c>
      <c r="CN50" s="182">
        <f>IS!CN14</f>
        <v>1903.9278835108828</v>
      </c>
      <c r="CO50" s="182">
        <f>IS!CO14</f>
        <v>2019.8069381507082</v>
      </c>
      <c r="CP50" s="182">
        <f>IS!CP14</f>
        <v>2133.0571223654906</v>
      </c>
      <c r="CQ50" s="131"/>
      <c r="CR50" s="182">
        <f>IS!CR14</f>
        <v>476.05999999999995</v>
      </c>
      <c r="CS50" s="182">
        <f>IS!CS14</f>
        <v>508.18299999999999</v>
      </c>
      <c r="CT50" s="182">
        <f>IS!CT14</f>
        <v>461.84</v>
      </c>
      <c r="CU50" s="182">
        <f>IS!CU14</f>
        <v>515.22</v>
      </c>
      <c r="CV50" s="182">
        <f>IS!CV14</f>
        <v>500.58000000000004</v>
      </c>
      <c r="CW50" s="182">
        <f>IS!CW14</f>
        <v>659.0139999999999</v>
      </c>
      <c r="CX50" s="182">
        <f>IS!CX14</f>
        <v>833.92599999999993</v>
      </c>
      <c r="CY50" s="182">
        <f>IS!CY14</f>
        <v>940.75200000000007</v>
      </c>
      <c r="CZ50" s="183">
        <f>IS!CZ14</f>
        <v>1047.5</v>
      </c>
      <c r="DA50" s="182">
        <f>IS!DA14</f>
        <v>1418.1000000000001</v>
      </c>
      <c r="DB50" s="182">
        <f>IS!DB14</f>
        <v>1726.1000000000001</v>
      </c>
      <c r="DC50" s="182">
        <f>IS!DC14</f>
        <v>1619.5</v>
      </c>
      <c r="DD50" s="182">
        <f>IS!DD14</f>
        <v>1874.3000000000002</v>
      </c>
      <c r="DE50" s="182">
        <f>IS!DE14</f>
        <v>1919.6435662505733</v>
      </c>
      <c r="DF50" s="183">
        <f>IS!DF14</f>
        <v>2030.657610210561</v>
      </c>
      <c r="DG50" s="100"/>
      <c r="DH50" s="100"/>
      <c r="DI50" s="100"/>
      <c r="DJ50" s="100"/>
      <c r="DK50"/>
      <c r="DL50"/>
      <c r="DM50"/>
      <c r="DN50"/>
      <c r="DO50"/>
      <c r="DP50"/>
    </row>
    <row r="51" spans="1:122" s="101" customFormat="1" ht="14.25">
      <c r="A51" s="109"/>
      <c r="B51" s="185" t="s">
        <v>146</v>
      </c>
      <c r="C51" s="186"/>
      <c r="D51" s="187">
        <f t="shared" ref="D51:O51" si="220">D11+D12+D19+D16+D17+D18</f>
        <v>1261.5050000000001</v>
      </c>
      <c r="E51" s="187">
        <f t="shared" si="220"/>
        <v>1284.6120000000001</v>
      </c>
      <c r="F51" s="187">
        <f t="shared" si="220"/>
        <v>1297.1089999999999</v>
      </c>
      <c r="G51" s="187">
        <f t="shared" si="220"/>
        <v>874.452</v>
      </c>
      <c r="H51" s="187">
        <f t="shared" si="220"/>
        <v>888.75599999999997</v>
      </c>
      <c r="I51" s="187">
        <f t="shared" si="220"/>
        <v>890.803</v>
      </c>
      <c r="J51" s="187">
        <f t="shared" si="220"/>
        <v>927.94200000000001</v>
      </c>
      <c r="K51" s="187">
        <f t="shared" si="220"/>
        <v>924.63799999999992</v>
      </c>
      <c r="L51" s="187">
        <f t="shared" si="220"/>
        <v>931.346</v>
      </c>
      <c r="M51" s="187">
        <f t="shared" si="220"/>
        <v>921.51499999999999</v>
      </c>
      <c r="N51" s="187">
        <f t="shared" si="220"/>
        <v>916.75999999999988</v>
      </c>
      <c r="O51" s="187">
        <f t="shared" si="220"/>
        <v>920.23300000000006</v>
      </c>
      <c r="P51" s="187">
        <f t="shared" ref="P51:W51" si="221">P11+P12+P19+P16+P17+P18</f>
        <v>923.17899999999997</v>
      </c>
      <c r="Q51" s="187">
        <f t="shared" si="221"/>
        <v>940.36400000000003</v>
      </c>
      <c r="R51" s="187">
        <f t="shared" si="221"/>
        <v>979.90099999999995</v>
      </c>
      <c r="S51" s="187">
        <f t="shared" si="221"/>
        <v>899.93600000000004</v>
      </c>
      <c r="T51" s="187">
        <f t="shared" si="221"/>
        <v>889.78399999999999</v>
      </c>
      <c r="U51" s="187">
        <f t="shared" si="221"/>
        <v>894.27200000000005</v>
      </c>
      <c r="V51" s="187">
        <f t="shared" si="221"/>
        <v>906.42599999999993</v>
      </c>
      <c r="W51" s="187">
        <f t="shared" si="221"/>
        <v>911.73500000000001</v>
      </c>
      <c r="X51" s="187">
        <f t="shared" ref="X51:AG51" si="222">X11+X12+X19+X16+X17+X18</f>
        <v>947.529</v>
      </c>
      <c r="Y51" s="187">
        <f t="shared" si="222"/>
        <v>956.78200000000004</v>
      </c>
      <c r="Z51" s="187">
        <f t="shared" si="222"/>
        <v>962.69800000000009</v>
      </c>
      <c r="AA51" s="187">
        <f t="shared" si="222"/>
        <v>980.46999999999991</v>
      </c>
      <c r="AB51" s="189">
        <f t="shared" si="222"/>
        <v>939.22199999999998</v>
      </c>
      <c r="AC51" s="187">
        <f t="shared" si="222"/>
        <v>921.71400000000006</v>
      </c>
      <c r="AD51" s="187">
        <f t="shared" si="222"/>
        <v>924.16100000000006</v>
      </c>
      <c r="AE51" s="187">
        <f t="shared" si="222"/>
        <v>953.73099999999988</v>
      </c>
      <c r="AF51" s="189">
        <f t="shared" si="222"/>
        <v>963.68799999999999</v>
      </c>
      <c r="AG51" s="187">
        <f t="shared" si="222"/>
        <v>963.15199999999993</v>
      </c>
      <c r="AH51" s="187">
        <f>AH11+AH12+AH19+AH16+AH17+AH18</f>
        <v>1025.8969999999999</v>
      </c>
      <c r="AI51" s="188">
        <f>AI11+AI12+AI19+AI16+AI17+AI18</f>
        <v>1063.319</v>
      </c>
      <c r="AJ51" s="189">
        <f>AJ11+AJ12+AJ19+AJ16+AJ17+AJ18</f>
        <v>1126.0700000000002</v>
      </c>
      <c r="AK51" s="187">
        <f>AK11+AK12+AK19+AK16+AK17+AK18</f>
        <v>1130.6560000000002</v>
      </c>
      <c r="AL51" s="187">
        <f t="shared" ref="AL51:AQ51" si="223">AL11+AL12+AL19+AL16+AL17+AL18</f>
        <v>1396.675</v>
      </c>
      <c r="AM51" s="188">
        <f t="shared" si="223"/>
        <v>1377.337</v>
      </c>
      <c r="AN51" s="189">
        <f t="shared" si="223"/>
        <v>1361.154</v>
      </c>
      <c r="AO51" s="187">
        <f t="shared" si="223"/>
        <v>1574.278</v>
      </c>
      <c r="AP51" s="187">
        <f t="shared" si="223"/>
        <v>1703.3109999999999</v>
      </c>
      <c r="AQ51" s="188">
        <f t="shared" si="223"/>
        <v>1769.5559999999998</v>
      </c>
      <c r="AR51" s="189">
        <f>AR11+AR12+AR19+AR16+AR17+AR18</f>
        <v>1718.8489999999999</v>
      </c>
      <c r="AS51" s="187">
        <f>AS11+AS12+AS19+AS16+AS17+AS18</f>
        <v>1701.2</v>
      </c>
      <c r="AT51" s="187">
        <f>AT11+AT12+AT19+AT16+AT17+AT18</f>
        <v>1761.6000000000001</v>
      </c>
      <c r="AU51" s="188">
        <f>AU11+AU12+AU19+AU16+AU17+AU18</f>
        <v>1770.2</v>
      </c>
      <c r="AV51" s="189">
        <f t="shared" ref="AV51:BB51" si="224">AV11+AV12+AV19+AV16+AV17+AV18</f>
        <v>1734.3</v>
      </c>
      <c r="AW51" s="187">
        <f t="shared" si="224"/>
        <v>1686.4</v>
      </c>
      <c r="AX51" s="187">
        <f t="shared" si="224"/>
        <v>1739.5</v>
      </c>
      <c r="AY51" s="188">
        <f t="shared" si="224"/>
        <v>2121.1</v>
      </c>
      <c r="AZ51" s="189">
        <f t="shared" si="224"/>
        <v>2102.1999999999998</v>
      </c>
      <c r="BA51" s="187">
        <f t="shared" si="224"/>
        <v>2172.8999999999996</v>
      </c>
      <c r="BB51" s="187">
        <f t="shared" si="224"/>
        <v>2339.5</v>
      </c>
      <c r="BC51" s="188">
        <f t="shared" ref="BC51:BG51" si="225">BC11+BC12+BC19+BC16+BC17+BC18</f>
        <v>2590.3000000000002</v>
      </c>
      <c r="BD51" s="189">
        <f t="shared" si="225"/>
        <v>2599.4999999999995</v>
      </c>
      <c r="BE51" s="187">
        <f t="shared" si="225"/>
        <v>2660.2</v>
      </c>
      <c r="BF51" s="187">
        <f t="shared" si="225"/>
        <v>2879.7</v>
      </c>
      <c r="BG51" s="188">
        <f t="shared" si="225"/>
        <v>2688.3999999999996</v>
      </c>
      <c r="BH51" s="189">
        <f>BH11+BH12+BH19+BH16+BH17+BH18</f>
        <v>2602.4</v>
      </c>
      <c r="BI51" s="187">
        <f>BI11+BI12+BI19+BI16+BI17+BI18</f>
        <v>2616.6</v>
      </c>
      <c r="BJ51" s="187">
        <f>BJ11+BJ12+BJ19+BJ16+BJ17+BJ18</f>
        <v>2731.6000000000004</v>
      </c>
      <c r="BK51" s="188">
        <f t="shared" ref="BK51" si="226">BK11+BK12+BK19+BK16+BK17+BK18</f>
        <v>2847.8</v>
      </c>
      <c r="BL51" s="189">
        <f>BL11+BL12+BL19+BL16+BL17+BL18</f>
        <v>2804.2000000000003</v>
      </c>
      <c r="BM51" s="187">
        <f t="shared" ref="BM51:BS51" si="227">BM11+BM12+BM19+BM16+BM17+BM18</f>
        <v>2713.2438309562867</v>
      </c>
      <c r="BN51" s="187">
        <f t="shared" si="227"/>
        <v>2702.375450920661</v>
      </c>
      <c r="BO51" s="188">
        <f t="shared" si="227"/>
        <v>2880.6031052014</v>
      </c>
      <c r="BP51" s="189">
        <f t="shared" si="227"/>
        <v>2902.8596044536366</v>
      </c>
      <c r="BQ51" s="187">
        <f t="shared" si="227"/>
        <v>2820.7514157880651</v>
      </c>
      <c r="BR51" s="187">
        <f t="shared" si="227"/>
        <v>2817.6033176618021</v>
      </c>
      <c r="BS51" s="188">
        <f t="shared" si="227"/>
        <v>2880.4231157074605</v>
      </c>
      <c r="BT51" s="189">
        <f t="shared" ref="BT51:BW51" si="228">BT11+BT12+BT19+BT16+BT17+BT18</f>
        <v>2895.7671905436246</v>
      </c>
      <c r="BU51" s="187">
        <f t="shared" si="228"/>
        <v>2840.3413695693534</v>
      </c>
      <c r="BV51" s="187">
        <f t="shared" si="228"/>
        <v>2844.3007886996929</v>
      </c>
      <c r="BW51" s="188">
        <f t="shared" si="228"/>
        <v>2913.0558820475744</v>
      </c>
      <c r="BX51" s="478"/>
      <c r="BY51" s="189">
        <f>BY11+BY12+BY19+BY16+BY17+BY18</f>
        <v>874.452</v>
      </c>
      <c r="BZ51" s="187">
        <f>BZ11+BZ12+BZ19+BZ16+BZ17+BZ18</f>
        <v>924.63799999999992</v>
      </c>
      <c r="CA51" s="187">
        <f>CA11+CA12+CA19+CA16+CA17+CA18</f>
        <v>920.23300000000006</v>
      </c>
      <c r="CB51" s="187">
        <f>CB11+CB12+CB19+CB16+CB17+CB18</f>
        <v>899.93600000000004</v>
      </c>
      <c r="CC51" s="187">
        <f>CB11+CB12+CB19+CB16+CB17+CB18</f>
        <v>899.93600000000004</v>
      </c>
      <c r="CD51" s="187">
        <f t="shared" ref="CD51:CJ51" si="229">CD11+CD12+CD19+CD16+CD17+CD18</f>
        <v>980.46999999999991</v>
      </c>
      <c r="CE51" s="187">
        <f t="shared" si="229"/>
        <v>953.73099999999988</v>
      </c>
      <c r="CF51" s="187">
        <f t="shared" si="229"/>
        <v>1063.319</v>
      </c>
      <c r="CG51" s="187">
        <f t="shared" si="229"/>
        <v>1377.337</v>
      </c>
      <c r="CH51" s="187">
        <f t="shared" si="229"/>
        <v>1769.5559999999998</v>
      </c>
      <c r="CI51" s="187">
        <f t="shared" si="229"/>
        <v>1770.2</v>
      </c>
      <c r="CJ51" s="187">
        <f t="shared" si="229"/>
        <v>2121.1</v>
      </c>
      <c r="CK51" s="187">
        <f t="shared" ref="CK51" si="230">CK11+CK12+CK19+CK16+CK17+CK18</f>
        <v>2590.3000000000002</v>
      </c>
      <c r="CL51" s="187">
        <f t="shared" ref="CL51:CP51" si="231">CL11+CL12+CL19+CL16+CL17+CL18</f>
        <v>2688.3999999999996</v>
      </c>
      <c r="CM51" s="187">
        <f t="shared" si="231"/>
        <v>2847.8</v>
      </c>
      <c r="CN51" s="187">
        <f t="shared" si="231"/>
        <v>2880.6031052014</v>
      </c>
      <c r="CO51" s="187">
        <f t="shared" si="231"/>
        <v>2880.4231157074605</v>
      </c>
      <c r="CP51" s="187">
        <f t="shared" si="231"/>
        <v>2913.0558820475744</v>
      </c>
      <c r="CQ51" s="131"/>
      <c r="CR51" s="187">
        <f>CR11+CR12+CR19+CR16+CR17+CR18</f>
        <v>923.17899999999997</v>
      </c>
      <c r="CS51" s="187">
        <f>CS11+CS12+CS19+CS16+CS17+CS18</f>
        <v>889.78399999999999</v>
      </c>
      <c r="CT51" s="187">
        <f>CT11+CT12+CT19+CT16+CT17+CT18</f>
        <v>947.529</v>
      </c>
      <c r="CU51" s="187">
        <f t="shared" ref="CU51:CZ51" si="232">CU11+CU12+CU19+CU16+CU17+CU18</f>
        <v>939.22199999999998</v>
      </c>
      <c r="CV51" s="187">
        <f t="shared" si="232"/>
        <v>963.68799999999999</v>
      </c>
      <c r="CW51" s="187">
        <f t="shared" si="232"/>
        <v>1126.0700000000002</v>
      </c>
      <c r="CX51" s="187">
        <f t="shared" si="232"/>
        <v>1361.154</v>
      </c>
      <c r="CY51" s="187">
        <f t="shared" si="232"/>
        <v>1718.8489999999999</v>
      </c>
      <c r="CZ51" s="188">
        <f t="shared" si="232"/>
        <v>1734.3</v>
      </c>
      <c r="DA51" s="187">
        <f t="shared" ref="DA51:DF51" si="233">DA11+DA12+DA19+DA16+DA17+DA18</f>
        <v>2102.1999999999998</v>
      </c>
      <c r="DB51" s="187">
        <f t="shared" si="233"/>
        <v>2599.4999999999995</v>
      </c>
      <c r="DC51" s="187">
        <f t="shared" si="233"/>
        <v>2602.4</v>
      </c>
      <c r="DD51" s="187">
        <f t="shared" si="233"/>
        <v>2804.2000000000003</v>
      </c>
      <c r="DE51" s="187">
        <f t="shared" si="233"/>
        <v>2902.8596044536366</v>
      </c>
      <c r="DF51" s="188">
        <f t="shared" si="233"/>
        <v>2895.7671905436246</v>
      </c>
      <c r="DG51" s="100"/>
      <c r="DH51" s="100"/>
      <c r="DI51" s="100"/>
      <c r="DJ51" s="100"/>
      <c r="DK51"/>
      <c r="DL51"/>
      <c r="DM51"/>
      <c r="DN51"/>
      <c r="DO51"/>
      <c r="DP51"/>
    </row>
    <row r="52" spans="1:122" s="3" customFormat="1" ht="14.2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110"/>
      <c r="DH52" s="110"/>
      <c r="DI52" s="110"/>
      <c r="DJ52" s="110"/>
      <c r="DK52"/>
      <c r="DL52"/>
      <c r="DM52"/>
      <c r="DN52"/>
      <c r="DO52"/>
      <c r="DP52"/>
      <c r="DQ52" s="109"/>
      <c r="DR52" s="109"/>
    </row>
    <row r="53" spans="1:122" s="3" customFormat="1" ht="14.2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390"/>
      <c r="AC53" s="390"/>
      <c r="AD53" s="390"/>
      <c r="AE53" s="390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110"/>
      <c r="DH53" s="110"/>
      <c r="DI53" s="110"/>
      <c r="DJ53" s="110"/>
      <c r="DK53"/>
      <c r="DL53"/>
      <c r="DM53"/>
      <c r="DN53"/>
      <c r="DO53"/>
      <c r="DP53"/>
      <c r="DQ53" s="109"/>
      <c r="DR53" s="109"/>
    </row>
    <row r="54" spans="1:122" s="228" customFormat="1" ht="15">
      <c r="A54" s="121"/>
      <c r="B54" s="170" t="s">
        <v>147</v>
      </c>
      <c r="C54" s="171"/>
      <c r="D54" s="11" t="str">
        <f t="shared" ref="D54:X54" si="234">D40</f>
        <v>F1Q03A</v>
      </c>
      <c r="E54" s="12" t="str">
        <f t="shared" si="234"/>
        <v>F2Q03A</v>
      </c>
      <c r="F54" s="12" t="str">
        <f t="shared" si="234"/>
        <v>F3Q03A</v>
      </c>
      <c r="G54" s="13" t="str">
        <f t="shared" si="234"/>
        <v>F4Q03A</v>
      </c>
      <c r="H54" s="11" t="str">
        <f t="shared" si="234"/>
        <v>F1Q04A</v>
      </c>
      <c r="I54" s="12" t="str">
        <f t="shared" si="234"/>
        <v>F2Q04A</v>
      </c>
      <c r="J54" s="12" t="str">
        <f t="shared" si="234"/>
        <v>F3Q04A</v>
      </c>
      <c r="K54" s="13" t="str">
        <f t="shared" si="234"/>
        <v>F4Q04A</v>
      </c>
      <c r="L54" s="11" t="str">
        <f t="shared" si="234"/>
        <v>F1Q05A</v>
      </c>
      <c r="M54" s="12" t="str">
        <f t="shared" si="234"/>
        <v>F2Q05A</v>
      </c>
      <c r="N54" s="12" t="str">
        <f t="shared" si="234"/>
        <v>F3Q05A</v>
      </c>
      <c r="O54" s="13" t="str">
        <f t="shared" si="234"/>
        <v>F4Q05A</v>
      </c>
      <c r="P54" s="11" t="str">
        <f t="shared" si="234"/>
        <v>F1Q06A</v>
      </c>
      <c r="Q54" s="12" t="str">
        <f t="shared" si="234"/>
        <v>F2Q06A</v>
      </c>
      <c r="R54" s="12" t="str">
        <f t="shared" si="234"/>
        <v>F3Q06A</v>
      </c>
      <c r="S54" s="13" t="str">
        <f t="shared" si="234"/>
        <v>F4Q06A</v>
      </c>
      <c r="T54" s="11" t="str">
        <f t="shared" si="234"/>
        <v>F1Q07A</v>
      </c>
      <c r="U54" s="12" t="str">
        <f t="shared" si="234"/>
        <v>F2Q07A</v>
      </c>
      <c r="V54" s="12" t="str">
        <f t="shared" si="234"/>
        <v>F3Q07A</v>
      </c>
      <c r="W54" s="13" t="str">
        <f t="shared" si="234"/>
        <v>F4Q07A</v>
      </c>
      <c r="X54" s="11" t="str">
        <f t="shared" si="234"/>
        <v>F1Q08A</v>
      </c>
      <c r="Y54" s="12" t="str">
        <f t="shared" ref="Y54:AW54" si="235">Y40</f>
        <v>F2Q08A</v>
      </c>
      <c r="Z54" s="12" t="str">
        <f t="shared" si="235"/>
        <v>F3Q08A</v>
      </c>
      <c r="AA54" s="13" t="str">
        <f t="shared" si="235"/>
        <v>F4Q08A</v>
      </c>
      <c r="AB54" s="12" t="str">
        <f t="shared" si="235"/>
        <v>F1Q09A</v>
      </c>
      <c r="AC54" s="12" t="str">
        <f t="shared" si="235"/>
        <v>F2Q09A</v>
      </c>
      <c r="AD54" s="12" t="str">
        <f t="shared" si="235"/>
        <v>F3Q09A</v>
      </c>
      <c r="AE54" s="12" t="str">
        <f t="shared" si="235"/>
        <v>F4Q09A</v>
      </c>
      <c r="AF54" s="11" t="str">
        <f t="shared" si="235"/>
        <v>F1Q10A</v>
      </c>
      <c r="AG54" s="12" t="str">
        <f t="shared" si="235"/>
        <v>F2Q10A</v>
      </c>
      <c r="AH54" s="12" t="str">
        <f t="shared" si="235"/>
        <v>F3Q10A</v>
      </c>
      <c r="AI54" s="12" t="str">
        <f t="shared" si="235"/>
        <v>F4Q10A</v>
      </c>
      <c r="AJ54" s="11" t="str">
        <f t="shared" si="235"/>
        <v>F1Q11A</v>
      </c>
      <c r="AK54" s="241" t="str">
        <f t="shared" si="235"/>
        <v>F2Q11A</v>
      </c>
      <c r="AL54" s="241" t="str">
        <f t="shared" si="235"/>
        <v>F3Q11A</v>
      </c>
      <c r="AM54" s="241" t="str">
        <f t="shared" si="235"/>
        <v>F4Q11A</v>
      </c>
      <c r="AN54" s="11" t="str">
        <f t="shared" si="235"/>
        <v>F1Q12A</v>
      </c>
      <c r="AO54" s="12" t="str">
        <f t="shared" si="235"/>
        <v>F2Q12A</v>
      </c>
      <c r="AP54" s="12" t="str">
        <f t="shared" si="235"/>
        <v>F3Q12A</v>
      </c>
      <c r="AQ54" s="12" t="str">
        <f t="shared" si="235"/>
        <v>F4Q12A</v>
      </c>
      <c r="AR54" s="11" t="str">
        <f t="shared" si="235"/>
        <v>F1Q13A</v>
      </c>
      <c r="AS54" s="12" t="str">
        <f t="shared" si="235"/>
        <v>F2Q13A</v>
      </c>
      <c r="AT54" s="12" t="str">
        <f>AT40</f>
        <v>F3Q13A</v>
      </c>
      <c r="AU54" s="12" t="str">
        <f t="shared" si="235"/>
        <v>F4Q13A</v>
      </c>
      <c r="AV54" s="11" t="str">
        <f t="shared" si="235"/>
        <v>F1Q14A</v>
      </c>
      <c r="AW54" s="12" t="str">
        <f t="shared" si="235"/>
        <v>F2Q14A</v>
      </c>
      <c r="AX54" s="12" t="str">
        <f t="shared" ref="AX54:BO54" si="236">AX40</f>
        <v>F3Q14A</v>
      </c>
      <c r="AY54" s="12" t="str">
        <f t="shared" si="236"/>
        <v>F4Q14A</v>
      </c>
      <c r="AZ54" s="11" t="str">
        <f t="shared" si="236"/>
        <v>F1Q15A</v>
      </c>
      <c r="BA54" s="12" t="str">
        <f t="shared" si="236"/>
        <v>F2Q15A</v>
      </c>
      <c r="BB54" s="12" t="str">
        <f t="shared" si="236"/>
        <v>F3Q15A</v>
      </c>
      <c r="BC54" s="12" t="str">
        <f t="shared" ref="BC54:BJ54" si="237">BC40</f>
        <v>F4Q15A</v>
      </c>
      <c r="BD54" s="11" t="str">
        <f t="shared" si="237"/>
        <v>F1Q16A</v>
      </c>
      <c r="BE54" s="12" t="str">
        <f t="shared" si="237"/>
        <v>F2Q16A</v>
      </c>
      <c r="BF54" s="12" t="str">
        <f t="shared" si="237"/>
        <v>F3Q16A</v>
      </c>
      <c r="BG54" s="12" t="str">
        <f t="shared" si="237"/>
        <v>F4Q16A</v>
      </c>
      <c r="BH54" s="11" t="str">
        <f>BH40</f>
        <v>F1Q17A</v>
      </c>
      <c r="BI54" s="858" t="str">
        <f>BI40</f>
        <v>F2Q17A</v>
      </c>
      <c r="BJ54" s="12" t="str">
        <f t="shared" si="237"/>
        <v>F3Q17A</v>
      </c>
      <c r="BK54" s="878" t="str">
        <f t="shared" ref="BK54" si="238">BK40</f>
        <v>F4Q17A</v>
      </c>
      <c r="BL54" s="11" t="str">
        <f t="shared" si="236"/>
        <v>F1Q18A</v>
      </c>
      <c r="BM54" s="12" t="str">
        <f t="shared" si="236"/>
        <v>F2Q18E</v>
      </c>
      <c r="BN54" s="12" t="str">
        <f t="shared" si="236"/>
        <v>F3Q18E</v>
      </c>
      <c r="BO54" s="12" t="str">
        <f t="shared" si="236"/>
        <v>F4Q18E</v>
      </c>
      <c r="BP54" s="11" t="str">
        <f t="shared" ref="BP54:BW54" si="239">BP40</f>
        <v>F1Q19E</v>
      </c>
      <c r="BQ54" s="12" t="str">
        <f t="shared" si="239"/>
        <v>F2Q19E</v>
      </c>
      <c r="BR54" s="12" t="str">
        <f t="shared" si="239"/>
        <v>F3Q19E</v>
      </c>
      <c r="BS54" s="12" t="str">
        <f t="shared" si="239"/>
        <v>F4Q19E</v>
      </c>
      <c r="BT54" s="877" t="str">
        <f t="shared" si="239"/>
        <v>F1Q20E</v>
      </c>
      <c r="BU54" s="878" t="str">
        <f t="shared" si="239"/>
        <v>F2Q20E</v>
      </c>
      <c r="BV54" s="878" t="str">
        <f t="shared" si="239"/>
        <v>F3Q20E</v>
      </c>
      <c r="BW54" s="878" t="str">
        <f t="shared" si="239"/>
        <v>F4Q20E</v>
      </c>
      <c r="BX54" s="123"/>
      <c r="BY54" s="11" t="e">
        <f>BY40</f>
        <v>#NAME?</v>
      </c>
      <c r="BZ54" s="12" t="e">
        <f>BZ40</f>
        <v>#NAME?</v>
      </c>
      <c r="CA54" s="12" t="e">
        <f>CA40</f>
        <v>#NAME?</v>
      </c>
      <c r="CB54" s="12" t="e">
        <f>CB40</f>
        <v>#NAME?</v>
      </c>
      <c r="CC54" s="12" t="e">
        <f>CB40</f>
        <v>#NAME?</v>
      </c>
      <c r="CD54" s="12" t="e">
        <f>CD40</f>
        <v>#NAME?</v>
      </c>
      <c r="CE54" s="12" t="e">
        <f t="shared" ref="CE54:CN54" si="240">CE40</f>
        <v>#NAME?</v>
      </c>
      <c r="CF54" s="12" t="e">
        <f t="shared" si="240"/>
        <v>#NAME?</v>
      </c>
      <c r="CG54" s="241" t="e">
        <f t="shared" si="240"/>
        <v>#NAME?</v>
      </c>
      <c r="CH54" s="12" t="e">
        <f t="shared" si="240"/>
        <v>#NAME?</v>
      </c>
      <c r="CI54" s="13" t="str">
        <f t="shared" si="240"/>
        <v>FY2013A</v>
      </c>
      <c r="CJ54" s="714" t="str">
        <f t="shared" si="240"/>
        <v>FY2014A</v>
      </c>
      <c r="CK54" s="12" t="str">
        <f t="shared" si="240"/>
        <v>FY2015A</v>
      </c>
      <c r="CL54" s="12" t="str">
        <f t="shared" si="240"/>
        <v>FY2016A</v>
      </c>
      <c r="CM54" s="12" t="str">
        <f t="shared" si="240"/>
        <v>FY2017A</v>
      </c>
      <c r="CN54" s="12" t="str">
        <f t="shared" si="240"/>
        <v>FY2018E</v>
      </c>
      <c r="CO54" s="878" t="str">
        <f>CO40</f>
        <v>FY2019E</v>
      </c>
      <c r="CP54" s="879" t="str">
        <f>CP40</f>
        <v>FY2020E</v>
      </c>
      <c r="CQ54" s="122"/>
      <c r="CR54" s="11" t="str">
        <f>CR40</f>
        <v>CY2005</v>
      </c>
      <c r="CS54" s="12" t="str">
        <f>CS40</f>
        <v>CY2006</v>
      </c>
      <c r="CT54" s="12" t="str">
        <f>CT40</f>
        <v>CY2007</v>
      </c>
      <c r="CU54" s="12" t="str">
        <f t="shared" ref="CU54:CZ54" si="241">CU40</f>
        <v>CY2008</v>
      </c>
      <c r="CV54" s="12" t="str">
        <f t="shared" si="241"/>
        <v>CY2009</v>
      </c>
      <c r="CW54" s="12" t="str">
        <f t="shared" si="241"/>
        <v>CY2010</v>
      </c>
      <c r="CX54" s="12" t="str">
        <f t="shared" si="241"/>
        <v>CY2011</v>
      </c>
      <c r="CY54" s="12" t="str">
        <f t="shared" si="241"/>
        <v>CY2012</v>
      </c>
      <c r="CZ54" s="13" t="str">
        <f t="shared" si="241"/>
        <v>CY2013</v>
      </c>
      <c r="DA54" s="12" t="str">
        <f t="shared" ref="DA54:DF54" si="242">DA40</f>
        <v>CY2014</v>
      </c>
      <c r="DB54" s="12" t="str">
        <f t="shared" si="242"/>
        <v>CY2015</v>
      </c>
      <c r="DC54" s="12" t="str">
        <f t="shared" si="242"/>
        <v>CY2016</v>
      </c>
      <c r="DD54" s="878" t="str">
        <f t="shared" si="242"/>
        <v>CY2017</v>
      </c>
      <c r="DE54" s="878" t="str">
        <f t="shared" si="242"/>
        <v>CY2018</v>
      </c>
      <c r="DF54" s="879" t="str">
        <f t="shared" si="242"/>
        <v>CY2019</v>
      </c>
      <c r="DG54" s="124"/>
      <c r="DH54" s="124"/>
      <c r="DI54" s="124"/>
      <c r="DJ54" s="124"/>
      <c r="DK54"/>
      <c r="DL54"/>
      <c r="DM54"/>
      <c r="DN54"/>
      <c r="DO54"/>
      <c r="DP54"/>
      <c r="DQ54" s="227"/>
      <c r="DR54" s="227"/>
    </row>
    <row r="55" spans="1:122" s="3" customFormat="1" ht="14.25">
      <c r="B55" s="190" t="s">
        <v>148</v>
      </c>
      <c r="C55" s="191"/>
      <c r="D55" s="63">
        <v>0</v>
      </c>
      <c r="E55" s="64">
        <v>0</v>
      </c>
      <c r="F55" s="64">
        <v>0</v>
      </c>
      <c r="G55" s="192">
        <v>0</v>
      </c>
      <c r="H55" s="63">
        <v>0</v>
      </c>
      <c r="I55" s="64">
        <v>0</v>
      </c>
      <c r="J55" s="64">
        <v>0</v>
      </c>
      <c r="K55" s="192">
        <v>0</v>
      </c>
      <c r="L55" s="63">
        <v>0</v>
      </c>
      <c r="M55" s="64">
        <v>0</v>
      </c>
      <c r="N55" s="64">
        <v>0</v>
      </c>
      <c r="O55" s="192">
        <v>0</v>
      </c>
      <c r="P55" s="63">
        <v>0</v>
      </c>
      <c r="Q55" s="64">
        <v>0</v>
      </c>
      <c r="R55" s="64">
        <v>0</v>
      </c>
      <c r="S55" s="192">
        <v>0</v>
      </c>
      <c r="T55" s="63">
        <v>0</v>
      </c>
      <c r="U55" s="64">
        <v>0</v>
      </c>
      <c r="V55" s="64">
        <v>0</v>
      </c>
      <c r="W55" s="192">
        <v>0</v>
      </c>
      <c r="X55" s="63">
        <v>0</v>
      </c>
      <c r="Y55" s="64">
        <v>0</v>
      </c>
      <c r="Z55" s="64">
        <v>0</v>
      </c>
      <c r="AA55" s="192">
        <v>0</v>
      </c>
      <c r="AB55" s="64">
        <v>0</v>
      </c>
      <c r="AC55" s="64">
        <v>0</v>
      </c>
      <c r="AD55" s="64">
        <v>0</v>
      </c>
      <c r="AE55" s="192">
        <v>0</v>
      </c>
      <c r="AF55" s="64">
        <v>0</v>
      </c>
      <c r="AG55" s="64">
        <v>0</v>
      </c>
      <c r="AH55" s="64">
        <v>0</v>
      </c>
      <c r="AI55" s="192">
        <v>0</v>
      </c>
      <c r="AJ55" s="64">
        <v>0</v>
      </c>
      <c r="AK55" s="64">
        <v>0</v>
      </c>
      <c r="AL55" s="243">
        <f>AK55</f>
        <v>0</v>
      </c>
      <c r="AM55" s="195">
        <f>AL55</f>
        <v>0</v>
      </c>
      <c r="AN55" s="242">
        <f>AM55</f>
        <v>0</v>
      </c>
      <c r="AO55" s="64">
        <v>0</v>
      </c>
      <c r="AP55" s="64">
        <v>0</v>
      </c>
      <c r="AQ55" s="195">
        <f>AP55</f>
        <v>0</v>
      </c>
      <c r="AR55" s="242">
        <f>AQ55</f>
        <v>0</v>
      </c>
      <c r="AS55" s="64">
        <f>AR55</f>
        <v>0</v>
      </c>
      <c r="AT55" s="64">
        <v>0</v>
      </c>
      <c r="AU55" s="195">
        <f>AT55</f>
        <v>0</v>
      </c>
      <c r="AV55" s="242">
        <f>AU55</f>
        <v>0</v>
      </c>
      <c r="AW55" s="64">
        <f>AV55</f>
        <v>0</v>
      </c>
      <c r="AX55" s="64">
        <v>0</v>
      </c>
      <c r="AY55" s="195">
        <f>AX55</f>
        <v>0</v>
      </c>
      <c r="AZ55" s="242">
        <f>AY55</f>
        <v>0</v>
      </c>
      <c r="BA55" s="64">
        <f>AZ55</f>
        <v>0</v>
      </c>
      <c r="BB55" s="64">
        <v>0</v>
      </c>
      <c r="BC55" s="195">
        <f>BB55</f>
        <v>0</v>
      </c>
      <c r="BD55" s="242">
        <f>BC55</f>
        <v>0</v>
      </c>
      <c r="BE55" s="64">
        <f>BD55</f>
        <v>0</v>
      </c>
      <c r="BF55" s="64">
        <v>0</v>
      </c>
      <c r="BG55" s="195">
        <f>BF55</f>
        <v>0</v>
      </c>
      <c r="BH55" s="242">
        <f>BG55</f>
        <v>0</v>
      </c>
      <c r="BI55" s="64">
        <f>BH55</f>
        <v>0</v>
      </c>
      <c r="BJ55" s="64">
        <f>BI55</f>
        <v>0</v>
      </c>
      <c r="BK55" s="930">
        <v>0</v>
      </c>
      <c r="BL55" s="242">
        <f>BG55</f>
        <v>0</v>
      </c>
      <c r="BM55" s="243">
        <f>BL55</f>
        <v>0</v>
      </c>
      <c r="BN55" s="243">
        <f>BM55</f>
        <v>0</v>
      </c>
      <c r="BO55" s="195">
        <f>BN55</f>
        <v>0</v>
      </c>
      <c r="BP55" s="242">
        <f>BK55</f>
        <v>0</v>
      </c>
      <c r="BQ55" s="243">
        <f>BP55</f>
        <v>0</v>
      </c>
      <c r="BR55" s="243">
        <f>BQ55</f>
        <v>0</v>
      </c>
      <c r="BS55" s="195">
        <f>BR55</f>
        <v>0</v>
      </c>
      <c r="BT55" s="242">
        <f>BO55</f>
        <v>0</v>
      </c>
      <c r="BU55" s="243">
        <f>BT55</f>
        <v>0</v>
      </c>
      <c r="BV55" s="243">
        <f>BU55</f>
        <v>0</v>
      </c>
      <c r="BW55" s="195">
        <f>BV55</f>
        <v>0</v>
      </c>
      <c r="BX55" s="479"/>
      <c r="BY55" s="362">
        <f>G55</f>
        <v>0</v>
      </c>
      <c r="BZ55" s="363">
        <f>K55</f>
        <v>0</v>
      </c>
      <c r="CA55" s="363">
        <f>O55</f>
        <v>0</v>
      </c>
      <c r="CB55" s="137">
        <f>S55</f>
        <v>0</v>
      </c>
      <c r="CC55" s="137">
        <f>W55</f>
        <v>0</v>
      </c>
      <c r="CD55" s="137">
        <f>AA55</f>
        <v>0</v>
      </c>
      <c r="CE55" s="137">
        <f>AE55</f>
        <v>0</v>
      </c>
      <c r="CF55" s="363">
        <f>AI55</f>
        <v>0</v>
      </c>
      <c r="CG55" s="363">
        <f>AM55</f>
        <v>0</v>
      </c>
      <c r="CH55" s="137">
        <f>AQ55</f>
        <v>0</v>
      </c>
      <c r="CI55" s="137">
        <f>AU55</f>
        <v>0</v>
      </c>
      <c r="CJ55" s="363">
        <f>AY55</f>
        <v>0</v>
      </c>
      <c r="CK55" s="363">
        <f>BC55</f>
        <v>0</v>
      </c>
      <c r="CL55" s="243">
        <f>BG55</f>
        <v>0</v>
      </c>
      <c r="CM55" s="243">
        <f>BK55</f>
        <v>0</v>
      </c>
      <c r="CN55" s="243">
        <f>BO55</f>
        <v>0</v>
      </c>
      <c r="CO55" s="243">
        <f>BS55</f>
        <v>0</v>
      </c>
      <c r="CP55" s="243">
        <f>BW55</f>
        <v>0</v>
      </c>
      <c r="CQ55" s="131"/>
      <c r="CR55" s="138">
        <f>P55</f>
        <v>0</v>
      </c>
      <c r="CS55" s="137">
        <f>T55</f>
        <v>0</v>
      </c>
      <c r="CT55" s="137">
        <f>X55</f>
        <v>0</v>
      </c>
      <c r="CU55" s="137">
        <f>AB55</f>
        <v>0</v>
      </c>
      <c r="CV55" s="137">
        <f>AF55</f>
        <v>0</v>
      </c>
      <c r="CW55" s="137">
        <f>AJ55</f>
        <v>0</v>
      </c>
      <c r="CX55" s="137">
        <f>AN55</f>
        <v>0</v>
      </c>
      <c r="CY55" s="137">
        <f>AR55</f>
        <v>0</v>
      </c>
      <c r="CZ55" s="139">
        <f>AV55</f>
        <v>0</v>
      </c>
      <c r="DA55" s="137">
        <f>AZ55</f>
        <v>0</v>
      </c>
      <c r="DB55" s="137">
        <f>BD55</f>
        <v>0</v>
      </c>
      <c r="DC55" s="137">
        <f>BH55</f>
        <v>0</v>
      </c>
      <c r="DD55" s="137">
        <f>BL55</f>
        <v>0</v>
      </c>
      <c r="DE55" s="137">
        <f>BP55</f>
        <v>0</v>
      </c>
      <c r="DF55" s="139">
        <f>BT55</f>
        <v>0</v>
      </c>
      <c r="DG55" s="110"/>
      <c r="DH55" s="110"/>
      <c r="DI55" s="110"/>
      <c r="DJ55" s="110"/>
      <c r="DK55"/>
      <c r="DL55"/>
      <c r="DM55"/>
      <c r="DN55"/>
      <c r="DO55"/>
      <c r="DP55"/>
      <c r="DQ55" s="109"/>
      <c r="DR55" s="109"/>
    </row>
    <row r="56" spans="1:122" s="3" customFormat="1" ht="14.25">
      <c r="B56" s="83" t="s">
        <v>149</v>
      </c>
      <c r="C56" s="191"/>
      <c r="D56" s="67">
        <v>34.503</v>
      </c>
      <c r="E56" s="68">
        <v>34.555</v>
      </c>
      <c r="F56" s="68">
        <v>34.703000000000003</v>
      </c>
      <c r="G56" s="74">
        <v>37.151000000000003</v>
      </c>
      <c r="H56" s="67">
        <v>37.225000000000001</v>
      </c>
      <c r="I56" s="68">
        <v>37.398000000000003</v>
      </c>
      <c r="J56" s="68">
        <v>38.878</v>
      </c>
      <c r="K56" s="74">
        <v>39.003</v>
      </c>
      <c r="L56" s="67">
        <v>39.201000000000001</v>
      </c>
      <c r="M56" s="68">
        <v>39.347999999999999</v>
      </c>
      <c r="N56" s="68">
        <v>39.573</v>
      </c>
      <c r="O56" s="74">
        <v>39.655999999999999</v>
      </c>
      <c r="P56" s="67">
        <v>39.822000000000003</v>
      </c>
      <c r="Q56" s="68">
        <v>40.061999999999998</v>
      </c>
      <c r="R56" s="68">
        <v>40.133000000000003</v>
      </c>
      <c r="S56" s="74">
        <v>40.414000000000001</v>
      </c>
      <c r="T56" s="67">
        <v>40.755000000000003</v>
      </c>
      <c r="U56" s="68">
        <v>39.89</v>
      </c>
      <c r="V56" s="68">
        <v>40.039000000000001</v>
      </c>
      <c r="W56" s="74">
        <v>40.274999999999999</v>
      </c>
      <c r="X56" s="67">
        <v>40.505000000000003</v>
      </c>
      <c r="Y56" s="68">
        <v>40.72</v>
      </c>
      <c r="Z56" s="68">
        <v>41.22</v>
      </c>
      <c r="AA56" s="74">
        <v>41.398000000000003</v>
      </c>
      <c r="AB56" s="68">
        <v>41.456000000000003</v>
      </c>
      <c r="AC56" s="68">
        <v>41.73</v>
      </c>
      <c r="AD56" s="68">
        <v>42.225000000000001</v>
      </c>
      <c r="AE56" s="74">
        <v>43.204000000000001</v>
      </c>
      <c r="AF56" s="68">
        <v>43.771999999999998</v>
      </c>
      <c r="AG56" s="68">
        <v>44.152999999999999</v>
      </c>
      <c r="AH56" s="68">
        <v>44.418999999999997</v>
      </c>
      <c r="AI56" s="74">
        <v>45.066000000000003</v>
      </c>
      <c r="AJ56" s="68">
        <v>46.241</v>
      </c>
      <c r="AK56" s="68">
        <v>46.485999999999997</v>
      </c>
      <c r="AL56" s="68">
        <v>46.537999999999997</v>
      </c>
      <c r="AM56" s="74">
        <v>46.597000000000001</v>
      </c>
      <c r="AN56" s="68">
        <v>46.978999999999999</v>
      </c>
      <c r="AO56" s="68">
        <v>47.381999999999998</v>
      </c>
      <c r="AP56" s="68">
        <v>47.597999999999999</v>
      </c>
      <c r="AQ56" s="74">
        <v>48.073999999999998</v>
      </c>
      <c r="AR56" s="68">
        <v>47.981000000000002</v>
      </c>
      <c r="AS56" s="68">
        <v>47.8</v>
      </c>
      <c r="AT56" s="68">
        <v>46.9</v>
      </c>
      <c r="AU56" s="74">
        <v>47</v>
      </c>
      <c r="AV56" s="68">
        <v>47.2</v>
      </c>
      <c r="AW56" s="68">
        <v>47.3</v>
      </c>
      <c r="AX56" s="68">
        <v>47.3</v>
      </c>
      <c r="AY56" s="74">
        <v>47.3</v>
      </c>
      <c r="AZ56" s="68">
        <v>47.7</v>
      </c>
      <c r="BA56" s="68">
        <v>47.8</v>
      </c>
      <c r="BB56" s="68">
        <v>47.8</v>
      </c>
      <c r="BC56" s="74">
        <v>47.6</v>
      </c>
      <c r="BD56" s="68">
        <v>47.9</v>
      </c>
      <c r="BE56" s="68">
        <v>47.5</v>
      </c>
      <c r="BF56" s="68">
        <v>47.8</v>
      </c>
      <c r="BG56" s="74">
        <v>46.2</v>
      </c>
      <c r="BH56" s="68">
        <v>46.2</v>
      </c>
      <c r="BI56" s="68">
        <v>46.1</v>
      </c>
      <c r="BJ56" s="68">
        <v>45.9</v>
      </c>
      <c r="BK56" s="928">
        <v>45.8</v>
      </c>
      <c r="BL56" s="193">
        <f t="shared" ref="BL56:BO56" si="243">+BK56</f>
        <v>45.8</v>
      </c>
      <c r="BM56" s="75">
        <f t="shared" si="243"/>
        <v>45.8</v>
      </c>
      <c r="BN56" s="75">
        <f t="shared" si="243"/>
        <v>45.8</v>
      </c>
      <c r="BO56" s="76">
        <f t="shared" si="243"/>
        <v>45.8</v>
      </c>
      <c r="BP56" s="193">
        <f t="shared" ref="BP56:BW56" si="244">+BO56</f>
        <v>45.8</v>
      </c>
      <c r="BQ56" s="75">
        <f t="shared" si="244"/>
        <v>45.8</v>
      </c>
      <c r="BR56" s="75">
        <f t="shared" si="244"/>
        <v>45.8</v>
      </c>
      <c r="BS56" s="76">
        <f t="shared" si="244"/>
        <v>45.8</v>
      </c>
      <c r="BT56" s="193">
        <f t="shared" si="244"/>
        <v>45.8</v>
      </c>
      <c r="BU56" s="75">
        <f t="shared" si="244"/>
        <v>45.8</v>
      </c>
      <c r="BV56" s="75">
        <f t="shared" si="244"/>
        <v>45.8</v>
      </c>
      <c r="BW56" s="76">
        <f t="shared" si="244"/>
        <v>45.8</v>
      </c>
      <c r="BX56" s="479"/>
      <c r="BY56" s="138">
        <f>G56</f>
        <v>37.151000000000003</v>
      </c>
      <c r="BZ56" s="137">
        <f>K56</f>
        <v>39.003</v>
      </c>
      <c r="CA56" s="137">
        <f>O56</f>
        <v>39.655999999999999</v>
      </c>
      <c r="CB56" s="137">
        <f>S56</f>
        <v>40.414000000000001</v>
      </c>
      <c r="CC56" s="137">
        <f>W56</f>
        <v>40.274999999999999</v>
      </c>
      <c r="CD56" s="137">
        <f>AA56</f>
        <v>41.398000000000003</v>
      </c>
      <c r="CE56" s="137">
        <f>AE56</f>
        <v>43.204000000000001</v>
      </c>
      <c r="CF56" s="137">
        <f>AI56</f>
        <v>45.066000000000003</v>
      </c>
      <c r="CG56" s="137">
        <f>AM56</f>
        <v>46.597000000000001</v>
      </c>
      <c r="CH56" s="137">
        <f>AQ56</f>
        <v>48.073999999999998</v>
      </c>
      <c r="CI56" s="137">
        <f>AU56</f>
        <v>47</v>
      </c>
      <c r="CJ56" s="137">
        <f>AY56</f>
        <v>47.3</v>
      </c>
      <c r="CK56" s="137">
        <f>BC56</f>
        <v>47.6</v>
      </c>
      <c r="CL56" s="75">
        <f>BG56</f>
        <v>46.2</v>
      </c>
      <c r="CM56" s="75">
        <f>BK56</f>
        <v>45.8</v>
      </c>
      <c r="CN56" s="75">
        <f>BO56</f>
        <v>45.8</v>
      </c>
      <c r="CO56" s="75">
        <f>BS56</f>
        <v>45.8</v>
      </c>
      <c r="CP56" s="76">
        <f>BW56</f>
        <v>45.8</v>
      </c>
      <c r="CQ56" s="131"/>
      <c r="CR56" s="137">
        <f>P56</f>
        <v>39.822000000000003</v>
      </c>
      <c r="CS56" s="137">
        <f>T56</f>
        <v>40.755000000000003</v>
      </c>
      <c r="CT56" s="137">
        <f>X56</f>
        <v>40.505000000000003</v>
      </c>
      <c r="CU56" s="137">
        <f>AB56</f>
        <v>41.456000000000003</v>
      </c>
      <c r="CV56" s="137">
        <f>AF56</f>
        <v>43.771999999999998</v>
      </c>
      <c r="CW56" s="137">
        <f>AJ56</f>
        <v>46.241</v>
      </c>
      <c r="CX56" s="137">
        <f>AN56</f>
        <v>46.978999999999999</v>
      </c>
      <c r="CY56" s="137">
        <f>AR56</f>
        <v>47.981000000000002</v>
      </c>
      <c r="CZ56" s="139">
        <f>AV56</f>
        <v>47.2</v>
      </c>
      <c r="DA56" s="137">
        <f>AZ56</f>
        <v>47.7</v>
      </c>
      <c r="DB56" s="137">
        <f>BD56</f>
        <v>47.9</v>
      </c>
      <c r="DC56" s="137">
        <f>BH56</f>
        <v>46.2</v>
      </c>
      <c r="DD56" s="137">
        <f>BL56</f>
        <v>45.8</v>
      </c>
      <c r="DE56" s="137">
        <f>BP56</f>
        <v>45.8</v>
      </c>
      <c r="DF56" s="139">
        <f>BT56</f>
        <v>45.8</v>
      </c>
      <c r="DG56" s="110"/>
      <c r="DH56" s="110"/>
      <c r="DI56" s="110"/>
      <c r="DJ56" s="110"/>
      <c r="DK56"/>
      <c r="DL56"/>
      <c r="DM56"/>
      <c r="DN56"/>
      <c r="DO56"/>
      <c r="DP56"/>
      <c r="DQ56" s="109"/>
      <c r="DR56" s="109"/>
    </row>
    <row r="57" spans="1:122" s="3" customFormat="1" ht="14.25">
      <c r="B57" s="83" t="s">
        <v>262</v>
      </c>
      <c r="C57" s="191"/>
      <c r="D57" s="67"/>
      <c r="E57" s="68"/>
      <c r="F57" s="68"/>
      <c r="G57" s="74"/>
      <c r="H57" s="67"/>
      <c r="I57" s="68"/>
      <c r="J57" s="68"/>
      <c r="K57" s="74"/>
      <c r="L57" s="67"/>
      <c r="M57" s="68"/>
      <c r="N57" s="68"/>
      <c r="O57" s="74"/>
      <c r="P57" s="67"/>
      <c r="Q57" s="68"/>
      <c r="R57" s="68"/>
      <c r="S57" s="74"/>
      <c r="T57" s="67"/>
      <c r="U57" s="68"/>
      <c r="V57" s="68"/>
      <c r="W57" s="74"/>
      <c r="X57" s="67"/>
      <c r="Y57" s="68"/>
      <c r="Z57" s="68"/>
      <c r="AA57" s="74"/>
      <c r="AB57" s="68"/>
      <c r="AC57" s="68"/>
      <c r="AD57" s="68"/>
      <c r="AE57" s="74"/>
      <c r="AF57" s="68"/>
      <c r="AG57" s="68"/>
      <c r="AH57" s="68"/>
      <c r="AI57" s="74"/>
      <c r="AJ57" s="68"/>
      <c r="AK57" s="68"/>
      <c r="AL57" s="68"/>
      <c r="AM57" s="74"/>
      <c r="AN57" s="68"/>
      <c r="AO57" s="68"/>
      <c r="AP57" s="68"/>
      <c r="AQ57" s="74"/>
      <c r="AR57" s="68"/>
      <c r="AS57" s="68"/>
      <c r="AT57" s="68"/>
      <c r="AU57" s="74"/>
      <c r="AV57" s="68"/>
      <c r="AW57" s="68">
        <f>AV57</f>
        <v>0</v>
      </c>
      <c r="AX57" s="68"/>
      <c r="AY57" s="74"/>
      <c r="AZ57" s="68"/>
      <c r="BA57" s="68">
        <f>AZ57</f>
        <v>0</v>
      </c>
      <c r="BB57" s="68"/>
      <c r="BC57" s="74"/>
      <c r="BD57" s="68">
        <v>0</v>
      </c>
      <c r="BE57" s="68">
        <v>0</v>
      </c>
      <c r="BF57" s="68">
        <v>0</v>
      </c>
      <c r="BG57" s="74"/>
      <c r="BH57" s="68">
        <v>0</v>
      </c>
      <c r="BI57" s="68">
        <v>0</v>
      </c>
      <c r="BJ57" s="68">
        <v>0</v>
      </c>
      <c r="BK57" s="928">
        <v>0</v>
      </c>
      <c r="BL57" s="945">
        <v>0.5</v>
      </c>
      <c r="BM57" s="436">
        <f t="shared" ref="BM57:BS57" si="245">BL57</f>
        <v>0.5</v>
      </c>
      <c r="BN57" s="436">
        <f t="shared" si="245"/>
        <v>0.5</v>
      </c>
      <c r="BO57" s="437">
        <f t="shared" si="245"/>
        <v>0.5</v>
      </c>
      <c r="BP57" s="435">
        <f t="shared" si="245"/>
        <v>0.5</v>
      </c>
      <c r="BQ57" s="436">
        <f t="shared" si="245"/>
        <v>0.5</v>
      </c>
      <c r="BR57" s="436">
        <f t="shared" si="245"/>
        <v>0.5</v>
      </c>
      <c r="BS57" s="437">
        <f t="shared" si="245"/>
        <v>0.5</v>
      </c>
      <c r="BT57" s="435">
        <f t="shared" ref="BT57" si="246">BS57</f>
        <v>0.5</v>
      </c>
      <c r="BU57" s="436">
        <f t="shared" ref="BU57" si="247">BT57</f>
        <v>0.5</v>
      </c>
      <c r="BV57" s="436">
        <f t="shared" ref="BV57" si="248">BU57</f>
        <v>0.5</v>
      </c>
      <c r="BW57" s="437">
        <f t="shared" ref="BW57" si="249">BV57</f>
        <v>0.5</v>
      </c>
      <c r="BX57" s="479"/>
      <c r="BY57" s="138">
        <f>G57</f>
        <v>0</v>
      </c>
      <c r="BZ57" s="137">
        <f>K57</f>
        <v>0</v>
      </c>
      <c r="CA57" s="137">
        <f>O57</f>
        <v>0</v>
      </c>
      <c r="CB57" s="137">
        <f>S57</f>
        <v>0</v>
      </c>
      <c r="CC57" s="137">
        <f>W57</f>
        <v>0</v>
      </c>
      <c r="CD57" s="137">
        <f>AA57</f>
        <v>0</v>
      </c>
      <c r="CE57" s="137">
        <f>AE57</f>
        <v>0</v>
      </c>
      <c r="CF57" s="137">
        <f>AI57</f>
        <v>0</v>
      </c>
      <c r="CG57" s="137">
        <f>AM57</f>
        <v>0</v>
      </c>
      <c r="CH57" s="137">
        <f>AQ57</f>
        <v>0</v>
      </c>
      <c r="CI57" s="137">
        <f>AU57</f>
        <v>0</v>
      </c>
      <c r="CJ57" s="137">
        <f>AY57</f>
        <v>0</v>
      </c>
      <c r="CK57" s="137">
        <f>BC57</f>
        <v>0</v>
      </c>
      <c r="CL57" s="75">
        <f>+BG57</f>
        <v>0</v>
      </c>
      <c r="CM57" s="75">
        <f>BK57</f>
        <v>0</v>
      </c>
      <c r="CN57" s="75">
        <f>BO57</f>
        <v>0.5</v>
      </c>
      <c r="CO57" s="75">
        <f>BS57</f>
        <v>0.5</v>
      </c>
      <c r="CP57" s="76">
        <f>BW57</f>
        <v>0.5</v>
      </c>
      <c r="CQ57" s="131"/>
      <c r="CR57" s="137">
        <f>P57</f>
        <v>0</v>
      </c>
      <c r="CS57" s="137">
        <f>T57</f>
        <v>0</v>
      </c>
      <c r="CT57" s="137">
        <f>X57</f>
        <v>0</v>
      </c>
      <c r="CU57" s="137">
        <f>AB57</f>
        <v>0</v>
      </c>
      <c r="CV57" s="137">
        <f>AF57</f>
        <v>0</v>
      </c>
      <c r="CW57" s="137">
        <f>AJ57</f>
        <v>0</v>
      </c>
      <c r="CX57" s="137">
        <f>AN57</f>
        <v>0</v>
      </c>
      <c r="CY57" s="137">
        <f>AR57</f>
        <v>0</v>
      </c>
      <c r="CZ57" s="139">
        <f>AV57</f>
        <v>0</v>
      </c>
      <c r="DA57" s="137">
        <f>AZ57</f>
        <v>0</v>
      </c>
      <c r="DB57" s="137">
        <f>BD57</f>
        <v>0</v>
      </c>
      <c r="DC57" s="137">
        <f>BH57</f>
        <v>0</v>
      </c>
      <c r="DD57" s="137">
        <f>BL57</f>
        <v>0.5</v>
      </c>
      <c r="DE57" s="137">
        <f>BP57</f>
        <v>0.5</v>
      </c>
      <c r="DF57" s="139">
        <f>BT57</f>
        <v>0.5</v>
      </c>
      <c r="DG57" s="110"/>
      <c r="DH57" s="110"/>
      <c r="DI57" s="110"/>
      <c r="DJ57" s="110"/>
      <c r="DK57"/>
      <c r="DL57"/>
      <c r="DM57"/>
      <c r="DN57"/>
      <c r="DO57"/>
      <c r="DP57"/>
      <c r="DQ57" s="109"/>
      <c r="DR57" s="109"/>
    </row>
    <row r="58" spans="1:122" s="3" customFormat="1" ht="14.25">
      <c r="B58" s="83" t="s">
        <v>150</v>
      </c>
      <c r="C58" s="191"/>
      <c r="D58" s="67">
        <v>1153.269</v>
      </c>
      <c r="E58" s="68">
        <v>1154.143</v>
      </c>
      <c r="F58" s="68">
        <v>1156.7170000000001</v>
      </c>
      <c r="G58" s="74">
        <v>1258.2650000000001</v>
      </c>
      <c r="H58" s="67">
        <v>1260.0740000000001</v>
      </c>
      <c r="I58" s="68">
        <v>1264.7360000000001</v>
      </c>
      <c r="J58" s="68">
        <v>1309.0730000000001</v>
      </c>
      <c r="K58" s="74">
        <v>1312.6030000000001</v>
      </c>
      <c r="L58" s="67">
        <v>1317.73</v>
      </c>
      <c r="M58" s="68">
        <v>1321.3420000000001</v>
      </c>
      <c r="N58" s="68">
        <v>1325.5920000000001</v>
      </c>
      <c r="O58" s="74">
        <v>1327.6310000000001</v>
      </c>
      <c r="P58" s="67">
        <v>1331.7270000000001</v>
      </c>
      <c r="Q58" s="68">
        <v>1339.8140000000001</v>
      </c>
      <c r="R58" s="68">
        <v>1344.904</v>
      </c>
      <c r="S58" s="74">
        <v>1351.19</v>
      </c>
      <c r="T58" s="67">
        <v>1357.1510000000001</v>
      </c>
      <c r="U58" s="68">
        <v>1366.04</v>
      </c>
      <c r="V58" s="68">
        <v>1372.9559999999999</v>
      </c>
      <c r="W58" s="74">
        <v>1382.23</v>
      </c>
      <c r="X58" s="67">
        <v>1389.7429999999999</v>
      </c>
      <c r="Y58" s="68">
        <v>1400.2570000000001</v>
      </c>
      <c r="Z58" s="68">
        <v>1420.336</v>
      </c>
      <c r="AA58" s="74">
        <v>1430.999</v>
      </c>
      <c r="AB58" s="68">
        <v>1440.7639999999999</v>
      </c>
      <c r="AC58" s="68">
        <v>1449.798</v>
      </c>
      <c r="AD58" s="68">
        <v>1465.4880000000001</v>
      </c>
      <c r="AE58" s="74">
        <v>1568.4159999999999</v>
      </c>
      <c r="AF58" s="68">
        <v>1581.42</v>
      </c>
      <c r="AG58" s="68">
        <v>1589.5540000000001</v>
      </c>
      <c r="AH58" s="68">
        <v>1592.963</v>
      </c>
      <c r="AI58" s="74">
        <v>1641.4059999999999</v>
      </c>
      <c r="AJ58" s="68">
        <v>1710.8219999999999</v>
      </c>
      <c r="AK58" s="68">
        <v>1749.299</v>
      </c>
      <c r="AL58" s="68">
        <v>1773.2639999999999</v>
      </c>
      <c r="AM58" s="74">
        <v>1795.9580000000001</v>
      </c>
      <c r="AN58" s="68">
        <v>1820.78</v>
      </c>
      <c r="AO58" s="68">
        <v>1843.0830000000001</v>
      </c>
      <c r="AP58" s="68">
        <v>1876.297</v>
      </c>
      <c r="AQ58" s="74">
        <v>1920.03</v>
      </c>
      <c r="AR58" s="68">
        <v>1949</v>
      </c>
      <c r="AS58" s="68">
        <v>1975.1</v>
      </c>
      <c r="AT58" s="68">
        <v>2003.8</v>
      </c>
      <c r="AU58" s="74">
        <v>2041.4</v>
      </c>
      <c r="AV58" s="68">
        <v>2092.9</v>
      </c>
      <c r="AW58" s="68">
        <v>2157.1999999999998</v>
      </c>
      <c r="AX58" s="68">
        <v>2206.6999999999998</v>
      </c>
      <c r="AY58" s="74">
        <v>2248.1999999999998</v>
      </c>
      <c r="AZ58" s="68">
        <v>2339.6</v>
      </c>
      <c r="BA58" s="68">
        <v>2399</v>
      </c>
      <c r="BB58" s="68">
        <v>2445.3000000000002</v>
      </c>
      <c r="BC58" s="74">
        <v>2495.1999999999998</v>
      </c>
      <c r="BD58" s="68">
        <v>2584.6999999999998</v>
      </c>
      <c r="BE58" s="68">
        <v>2622.9</v>
      </c>
      <c r="BF58" s="68">
        <f>2445.3+472.3</f>
        <v>2917.6000000000004</v>
      </c>
      <c r="BG58" s="74">
        <v>2686</v>
      </c>
      <c r="BH58" s="68">
        <v>2748</v>
      </c>
      <c r="BI58" s="68">
        <v>2802.2</v>
      </c>
      <c r="BJ58" s="68">
        <v>2846.1</v>
      </c>
      <c r="BK58" s="928">
        <v>2893.8</v>
      </c>
      <c r="BL58" s="193">
        <f>BK58+CFS!BL10+CFS!BL17+CFS!BL41+CFS!BL45</f>
        <v>2934.0000000000005</v>
      </c>
      <c r="BM58" s="75">
        <f>BL58+CFS!BM10+CFS!BM17+CFS!BM41+CFS!BM45</f>
        <v>2973.9000000000005</v>
      </c>
      <c r="BN58" s="75">
        <f>BM58+CFS!BN10+CFS!BN17+CFS!BN41+CFS!BN45</f>
        <v>3013.8000000000006</v>
      </c>
      <c r="BO58" s="76">
        <f>BN58+CFS!BO10+CFS!BO17+CFS!BO41+CFS!BO45</f>
        <v>3053.7000000000007</v>
      </c>
      <c r="BP58" s="193">
        <f>BO58+CFS!BP10+CFS!BP17+CFS!BP41+CFS!BP45</f>
        <v>3093.6000000000008</v>
      </c>
      <c r="BQ58" s="75">
        <f>BP58+CFS!BQ10+CFS!BQ17+CFS!BQ41+CFS!BQ45</f>
        <v>3133.5000000000009</v>
      </c>
      <c r="BR58" s="75">
        <f>BQ58+CFS!BR10+CFS!BR17+CFS!BR41+CFS!BR45</f>
        <v>3173.400000000001</v>
      </c>
      <c r="BS58" s="76">
        <f>BR58+CFS!BS10+CFS!BS17+CFS!BS41+CFS!BS45</f>
        <v>3213.3000000000011</v>
      </c>
      <c r="BT58" s="193">
        <f>BS58+CFS!BT10+CFS!BT17+CFS!BT41+CFS!BT45</f>
        <v>3253.2000000000012</v>
      </c>
      <c r="BU58" s="75">
        <f>BT58+CFS!BU10+CFS!BU17+CFS!BU41+CFS!BU45</f>
        <v>3293.1000000000013</v>
      </c>
      <c r="BV58" s="75">
        <f>BU58+CFS!BV10+CFS!BV17+CFS!BV41+CFS!BV45</f>
        <v>3333.0000000000014</v>
      </c>
      <c r="BW58" s="76">
        <f>BV58+CFS!BW10+CFS!BW17+CFS!BW41+CFS!BW45</f>
        <v>3372.9000000000015</v>
      </c>
      <c r="BX58" s="479"/>
      <c r="BY58" s="138">
        <f>G58</f>
        <v>1258.2650000000001</v>
      </c>
      <c r="BZ58" s="137">
        <f>K58</f>
        <v>1312.6030000000001</v>
      </c>
      <c r="CA58" s="137">
        <f>O58</f>
        <v>1327.6310000000001</v>
      </c>
      <c r="CB58" s="137">
        <f>S58</f>
        <v>1351.19</v>
      </c>
      <c r="CC58" s="137">
        <f>W58</f>
        <v>1382.23</v>
      </c>
      <c r="CD58" s="137">
        <f>AA58</f>
        <v>1430.999</v>
      </c>
      <c r="CE58" s="137">
        <f>AE58</f>
        <v>1568.4159999999999</v>
      </c>
      <c r="CF58" s="137">
        <f>AI58</f>
        <v>1641.4059999999999</v>
      </c>
      <c r="CG58" s="137">
        <f>AM58</f>
        <v>1795.9580000000001</v>
      </c>
      <c r="CH58" s="137">
        <f>AQ58</f>
        <v>1920.03</v>
      </c>
      <c r="CI58" s="137">
        <f>AU58</f>
        <v>2041.4</v>
      </c>
      <c r="CJ58" s="137">
        <f>AY58</f>
        <v>2248.1999999999998</v>
      </c>
      <c r="CK58" s="137">
        <f>BC58</f>
        <v>2495.1999999999998</v>
      </c>
      <c r="CL58" s="75">
        <f>BG58</f>
        <v>2686</v>
      </c>
      <c r="CM58" s="75">
        <f>BK58</f>
        <v>2893.8</v>
      </c>
      <c r="CN58" s="75">
        <f>BO58</f>
        <v>3053.7000000000007</v>
      </c>
      <c r="CO58" s="75">
        <f>BS58</f>
        <v>3213.3000000000011</v>
      </c>
      <c r="CP58" s="76">
        <f>BW58</f>
        <v>3372.9000000000015</v>
      </c>
      <c r="CQ58" s="131"/>
      <c r="CR58" s="137">
        <f>P58</f>
        <v>1331.7270000000001</v>
      </c>
      <c r="CS58" s="137">
        <f>T58</f>
        <v>1357.1510000000001</v>
      </c>
      <c r="CT58" s="137">
        <f>X58</f>
        <v>1389.7429999999999</v>
      </c>
      <c r="CU58" s="137">
        <f>AB58</f>
        <v>1440.7639999999999</v>
      </c>
      <c r="CV58" s="137">
        <f>AF58</f>
        <v>1581.42</v>
      </c>
      <c r="CW58" s="137">
        <f>AJ58</f>
        <v>1710.8219999999999</v>
      </c>
      <c r="CX58" s="137">
        <f>AN58</f>
        <v>1820.78</v>
      </c>
      <c r="CY58" s="137">
        <f>AR58</f>
        <v>1949</v>
      </c>
      <c r="CZ58" s="139">
        <f>AV58</f>
        <v>2092.9</v>
      </c>
      <c r="DA58" s="137">
        <f>AZ58</f>
        <v>2339.6</v>
      </c>
      <c r="DB58" s="137">
        <f>BD58</f>
        <v>2584.6999999999998</v>
      </c>
      <c r="DC58" s="137">
        <f>BH58</f>
        <v>2748</v>
      </c>
      <c r="DD58" s="137">
        <f>BL58</f>
        <v>2934.0000000000005</v>
      </c>
      <c r="DE58" s="137">
        <f>BP58</f>
        <v>3093.6000000000008</v>
      </c>
      <c r="DF58" s="139">
        <f>BT58</f>
        <v>3253.2000000000012</v>
      </c>
      <c r="DG58" s="110"/>
      <c r="DH58" s="110"/>
      <c r="DI58" s="110"/>
      <c r="DJ58" s="110"/>
      <c r="DK58"/>
      <c r="DL58"/>
      <c r="DM58"/>
      <c r="DN58"/>
      <c r="DO58"/>
      <c r="DP58"/>
      <c r="DQ58" s="109"/>
      <c r="DR58" s="109"/>
    </row>
    <row r="59" spans="1:122" s="3" customFormat="1" ht="14.25">
      <c r="B59" s="83" t="s">
        <v>151</v>
      </c>
      <c r="C59" s="191"/>
      <c r="D59" s="67">
        <v>0</v>
      </c>
      <c r="E59" s="68">
        <v>0</v>
      </c>
      <c r="F59" s="68">
        <v>0</v>
      </c>
      <c r="G59" s="74">
        <v>0</v>
      </c>
      <c r="H59" s="67">
        <v>0</v>
      </c>
      <c r="I59" s="68">
        <v>0</v>
      </c>
      <c r="J59" s="68">
        <v>0</v>
      </c>
      <c r="K59" s="74">
        <v>0</v>
      </c>
      <c r="L59" s="67">
        <v>0</v>
      </c>
      <c r="M59" s="68">
        <v>0</v>
      </c>
      <c r="N59" s="68">
        <v>0</v>
      </c>
      <c r="O59" s="74">
        <v>0</v>
      </c>
      <c r="P59" s="67">
        <v>0</v>
      </c>
      <c r="Q59" s="68">
        <v>0</v>
      </c>
      <c r="R59" s="68">
        <v>0</v>
      </c>
      <c r="S59" s="74">
        <v>-0.17299999999999999</v>
      </c>
      <c r="T59" s="67">
        <v>-0.67600000000000005</v>
      </c>
      <c r="U59" s="68">
        <v>-30.84</v>
      </c>
      <c r="V59" s="68">
        <v>-30.937000000000001</v>
      </c>
      <c r="W59" s="74">
        <v>-31.855</v>
      </c>
      <c r="X59" s="67">
        <v>-33.183999999999997</v>
      </c>
      <c r="Y59" s="68">
        <v>-33.472999999999999</v>
      </c>
      <c r="Z59" s="68">
        <v>-33.581000000000003</v>
      </c>
      <c r="AA59" s="74">
        <v>-33.917999999999999</v>
      </c>
      <c r="AB59" s="68">
        <v>-35.710999999999999</v>
      </c>
      <c r="AC59" s="68">
        <v>-35.768999999999998</v>
      </c>
      <c r="AD59" s="68">
        <v>-35.927</v>
      </c>
      <c r="AE59" s="74">
        <v>-36.307000000000002</v>
      </c>
      <c r="AF59" s="68">
        <v>-39.773000000000003</v>
      </c>
      <c r="AG59" s="68">
        <v>-39.881</v>
      </c>
      <c r="AH59" s="68">
        <v>-40.631999999999998</v>
      </c>
      <c r="AI59" s="205">
        <v>-40.719000000000001</v>
      </c>
      <c r="AJ59" s="68">
        <v>-77.367000000000004</v>
      </c>
      <c r="AK59" s="68">
        <v>-101.06399999999999</v>
      </c>
      <c r="AL59" s="68">
        <v>-120.84699999999999</v>
      </c>
      <c r="AM59" s="205">
        <v>-130.85400000000001</v>
      </c>
      <c r="AN59" s="68">
        <v>-158.614</v>
      </c>
      <c r="AO59" s="68">
        <v>-158.76900000000001</v>
      </c>
      <c r="AP59" s="68">
        <v>-160.09399999999999</v>
      </c>
      <c r="AQ59" s="205">
        <v>-161.839</v>
      </c>
      <c r="AR59" s="68">
        <v>-218.72</v>
      </c>
      <c r="AS59" s="68">
        <v>-250.3</v>
      </c>
      <c r="AT59" s="68">
        <v>-343.7</v>
      </c>
      <c r="AU59" s="205">
        <v>-365.3</v>
      </c>
      <c r="AV59" s="68">
        <v>-400.4</v>
      </c>
      <c r="AW59" s="68">
        <v>-462.5</v>
      </c>
      <c r="AX59" s="68">
        <v>-504.9</v>
      </c>
      <c r="AY59" s="205">
        <v>-553.1</v>
      </c>
      <c r="AZ59" s="68">
        <v>-633.79999999999995</v>
      </c>
      <c r="BA59" s="68">
        <v>-682.3</v>
      </c>
      <c r="BB59" s="68">
        <v>-732.8</v>
      </c>
      <c r="BC59" s="205">
        <v>-844.6</v>
      </c>
      <c r="BD59" s="68">
        <v>-916.5</v>
      </c>
      <c r="BE59" s="68">
        <v>-1052.0999999999999</v>
      </c>
      <c r="BF59" s="68">
        <v>-732.8</v>
      </c>
      <c r="BG59" s="205">
        <v>-1443.5</v>
      </c>
      <c r="BH59" s="68">
        <v>-1594.4</v>
      </c>
      <c r="BI59" s="68">
        <v>-1689.8</v>
      </c>
      <c r="BJ59" s="68">
        <v>-1822.2</v>
      </c>
      <c r="BK59" s="929">
        <v>-1925</v>
      </c>
      <c r="BL59" s="625">
        <f>BK59+CFS!BL43+CFS!BL15</f>
        <v>-2142.1999999999998</v>
      </c>
      <c r="BM59" s="244">
        <f>BL59+CFS!BM43+CFS!BM15</f>
        <v>-2217.1999999999998</v>
      </c>
      <c r="BN59" s="244">
        <f>BM59+CFS!BN43+CFS!BN15</f>
        <v>-2292.1999999999998</v>
      </c>
      <c r="BO59" s="196">
        <f>BN59+CFS!BO43+CFS!BO15</f>
        <v>-2367.1999999999998</v>
      </c>
      <c r="BP59" s="625">
        <f>BO59+CFS!BP43+CFS!BP15</f>
        <v>-2442.1999999999998</v>
      </c>
      <c r="BQ59" s="244">
        <f>BP59+CFS!BQ43+CFS!BQ15</f>
        <v>-2517.1999999999998</v>
      </c>
      <c r="BR59" s="244">
        <f>BQ59+CFS!BR43+CFS!BR15</f>
        <v>-2592.1999999999998</v>
      </c>
      <c r="BS59" s="196">
        <f>BR59+CFS!BS43+CFS!BS15</f>
        <v>-2667.2</v>
      </c>
      <c r="BT59" s="625">
        <f>BS59+CFS!BT43+CFS!BT15</f>
        <v>-2742.2</v>
      </c>
      <c r="BU59" s="244">
        <f>BT59+CFS!BU43+CFS!BU15</f>
        <v>-2817.2</v>
      </c>
      <c r="BV59" s="244">
        <f>BU59+CFS!BV43+CFS!BV15</f>
        <v>-2892.2</v>
      </c>
      <c r="BW59" s="196">
        <f>BV59+CFS!BW43+CFS!BW15</f>
        <v>-2967.2</v>
      </c>
      <c r="BX59" s="479"/>
      <c r="BY59" s="138">
        <f>G59</f>
        <v>0</v>
      </c>
      <c r="BZ59" s="137">
        <f>K59</f>
        <v>0</v>
      </c>
      <c r="CA59" s="137">
        <f>O59</f>
        <v>0</v>
      </c>
      <c r="CB59" s="137">
        <f>S59</f>
        <v>-0.17299999999999999</v>
      </c>
      <c r="CC59" s="137">
        <f>W59</f>
        <v>-31.855</v>
      </c>
      <c r="CD59" s="137">
        <f>AA59</f>
        <v>-33.917999999999999</v>
      </c>
      <c r="CE59" s="137">
        <f>AE59</f>
        <v>-36.307000000000002</v>
      </c>
      <c r="CF59" s="137">
        <f>AI59</f>
        <v>-40.719000000000001</v>
      </c>
      <c r="CG59" s="137">
        <f>AM59</f>
        <v>-130.85400000000001</v>
      </c>
      <c r="CH59" s="137">
        <f>AQ59</f>
        <v>-161.839</v>
      </c>
      <c r="CI59" s="137">
        <f>AU59</f>
        <v>-365.3</v>
      </c>
      <c r="CJ59" s="137">
        <f>AY59</f>
        <v>-553.1</v>
      </c>
      <c r="CK59" s="137">
        <f>BC59</f>
        <v>-844.6</v>
      </c>
      <c r="CL59" s="244">
        <f>BG59</f>
        <v>-1443.5</v>
      </c>
      <c r="CM59" s="244">
        <f>BK59</f>
        <v>-1925</v>
      </c>
      <c r="CN59" s="244">
        <f>BO59</f>
        <v>-2367.1999999999998</v>
      </c>
      <c r="CO59" s="244">
        <f>BS59</f>
        <v>-2667.2</v>
      </c>
      <c r="CP59" s="244">
        <f>BW59</f>
        <v>-2967.2</v>
      </c>
      <c r="CQ59" s="131"/>
      <c r="CR59" s="137">
        <f>P59</f>
        <v>0</v>
      </c>
      <c r="CS59" s="137">
        <f>T59</f>
        <v>-0.67600000000000005</v>
      </c>
      <c r="CT59" s="137">
        <f>X59</f>
        <v>-33.183999999999997</v>
      </c>
      <c r="CU59" s="137">
        <f>AB59</f>
        <v>-35.710999999999999</v>
      </c>
      <c r="CV59" s="137">
        <f>AF59</f>
        <v>-39.773000000000003</v>
      </c>
      <c r="CW59" s="137">
        <f>AJ59</f>
        <v>-77.367000000000004</v>
      </c>
      <c r="CX59" s="137">
        <f>AN59</f>
        <v>-158.614</v>
      </c>
      <c r="CY59" s="137">
        <f>AR59</f>
        <v>-218.72</v>
      </c>
      <c r="CZ59" s="139">
        <f>AV59</f>
        <v>-400.4</v>
      </c>
      <c r="DA59" s="137">
        <f>AZ59</f>
        <v>-633.79999999999995</v>
      </c>
      <c r="DB59" s="137">
        <f>BD59</f>
        <v>-916.5</v>
      </c>
      <c r="DC59" s="137">
        <f>BH59</f>
        <v>-1594.4</v>
      </c>
      <c r="DD59" s="137">
        <f>BL59</f>
        <v>-2142.1999999999998</v>
      </c>
      <c r="DE59" s="137">
        <f>BP59</f>
        <v>-2442.1999999999998</v>
      </c>
      <c r="DF59" s="139">
        <f>BT59</f>
        <v>-2742.2</v>
      </c>
      <c r="DG59" s="110"/>
      <c r="DH59" s="110"/>
      <c r="DI59" s="110"/>
      <c r="DJ59" s="110"/>
      <c r="DK59"/>
      <c r="DL59"/>
      <c r="DM59"/>
      <c r="DN59"/>
      <c r="DO59"/>
      <c r="DP59"/>
      <c r="DQ59" s="109"/>
      <c r="DR59" s="109"/>
    </row>
    <row r="60" spans="1:122" s="197" customFormat="1" ht="15">
      <c r="B60" s="198" t="s">
        <v>152</v>
      </c>
      <c r="C60" s="199"/>
      <c r="D60" s="200">
        <f t="shared" ref="D60:X60" si="250">D58+D56+D57+D59</f>
        <v>1187.7719999999999</v>
      </c>
      <c r="E60" s="201">
        <f t="shared" si="250"/>
        <v>1188.6980000000001</v>
      </c>
      <c r="F60" s="201">
        <f t="shared" si="250"/>
        <v>1191.42</v>
      </c>
      <c r="G60" s="201">
        <f t="shared" si="250"/>
        <v>1295.4160000000002</v>
      </c>
      <c r="H60" s="200">
        <f t="shared" si="250"/>
        <v>1297.299</v>
      </c>
      <c r="I60" s="201">
        <f t="shared" si="250"/>
        <v>1302.134</v>
      </c>
      <c r="J60" s="201">
        <f t="shared" si="250"/>
        <v>1347.951</v>
      </c>
      <c r="K60" s="201">
        <f t="shared" si="250"/>
        <v>1351.606</v>
      </c>
      <c r="L60" s="200">
        <f t="shared" si="250"/>
        <v>1356.931</v>
      </c>
      <c r="M60" s="201">
        <f t="shared" si="250"/>
        <v>1360.69</v>
      </c>
      <c r="N60" s="201">
        <f t="shared" si="250"/>
        <v>1365.1650000000002</v>
      </c>
      <c r="O60" s="201">
        <f t="shared" si="250"/>
        <v>1367.287</v>
      </c>
      <c r="P60" s="200">
        <f t="shared" si="250"/>
        <v>1371.549</v>
      </c>
      <c r="Q60" s="201">
        <f t="shared" si="250"/>
        <v>1379.876</v>
      </c>
      <c r="R60" s="201">
        <f t="shared" si="250"/>
        <v>1385.037</v>
      </c>
      <c r="S60" s="201">
        <f t="shared" si="250"/>
        <v>1391.431</v>
      </c>
      <c r="T60" s="200">
        <f t="shared" si="250"/>
        <v>1397.2300000000002</v>
      </c>
      <c r="U60" s="201">
        <f t="shared" si="250"/>
        <v>1375.0900000000001</v>
      </c>
      <c r="V60" s="201">
        <f t="shared" si="250"/>
        <v>1382.058</v>
      </c>
      <c r="W60" s="201">
        <f t="shared" si="250"/>
        <v>1390.65</v>
      </c>
      <c r="X60" s="200">
        <f t="shared" si="250"/>
        <v>1397.0640000000001</v>
      </c>
      <c r="Y60" s="201">
        <f t="shared" ref="Y60:CZ60" si="251">Y58+Y56+Y57+Y59</f>
        <v>1407.5040000000001</v>
      </c>
      <c r="Z60" s="201">
        <f t="shared" si="251"/>
        <v>1427.9750000000001</v>
      </c>
      <c r="AA60" s="201">
        <f t="shared" si="251"/>
        <v>1438.479</v>
      </c>
      <c r="AB60" s="200">
        <f t="shared" si="251"/>
        <v>1446.5089999999998</v>
      </c>
      <c r="AC60" s="201">
        <f t="shared" si="251"/>
        <v>1455.759</v>
      </c>
      <c r="AD60" s="201">
        <f t="shared" si="251"/>
        <v>1471.7860000000001</v>
      </c>
      <c r="AE60" s="202">
        <f t="shared" si="251"/>
        <v>1575.3129999999999</v>
      </c>
      <c r="AF60" s="200">
        <f t="shared" si="251"/>
        <v>1585.4190000000001</v>
      </c>
      <c r="AG60" s="201">
        <f t="shared" si="251"/>
        <v>1593.826</v>
      </c>
      <c r="AH60" s="201">
        <f t="shared" si="251"/>
        <v>1596.75</v>
      </c>
      <c r="AI60" s="202">
        <f t="shared" si="251"/>
        <v>1645.7529999999999</v>
      </c>
      <c r="AJ60" s="200">
        <f t="shared" si="251"/>
        <v>1679.6959999999999</v>
      </c>
      <c r="AK60" s="201">
        <f t="shared" si="251"/>
        <v>1694.721</v>
      </c>
      <c r="AL60" s="201">
        <f t="shared" si="251"/>
        <v>1698.9549999999999</v>
      </c>
      <c r="AM60" s="202">
        <f t="shared" si="251"/>
        <v>1711.701</v>
      </c>
      <c r="AN60" s="200">
        <f t="shared" si="251"/>
        <v>1709.145</v>
      </c>
      <c r="AO60" s="201">
        <f t="shared" si="251"/>
        <v>1731.6960000000001</v>
      </c>
      <c r="AP60" s="201">
        <f t="shared" si="251"/>
        <v>1763.8009999999999</v>
      </c>
      <c r="AQ60" s="202">
        <f t="shared" si="251"/>
        <v>1806.2650000000001</v>
      </c>
      <c r="AR60" s="200">
        <f t="shared" si="251"/>
        <v>1778.261</v>
      </c>
      <c r="AS60" s="201">
        <f t="shared" si="251"/>
        <v>1772.6</v>
      </c>
      <c r="AT60" s="201">
        <f t="shared" si="251"/>
        <v>1706.9999999999998</v>
      </c>
      <c r="AU60" s="202">
        <f t="shared" si="251"/>
        <v>1723.1000000000001</v>
      </c>
      <c r="AV60" s="200">
        <f t="shared" si="251"/>
        <v>1739.6999999999998</v>
      </c>
      <c r="AW60" s="201">
        <f>AW58+AW56+AW57+AW59</f>
        <v>1742</v>
      </c>
      <c r="AX60" s="201">
        <f>AX58+AX56+AX57+AX59</f>
        <v>1749.1</v>
      </c>
      <c r="AY60" s="202">
        <f>AY58+AY56+AY57+AY59</f>
        <v>1742.4</v>
      </c>
      <c r="AZ60" s="200">
        <f>AZ58+AZ56+AZ57+AZ59</f>
        <v>1753.4999999999998</v>
      </c>
      <c r="BA60" s="201">
        <f t="shared" ref="BA60:BF60" si="252">BA58+BA56+BA57+BA59</f>
        <v>1764.5000000000002</v>
      </c>
      <c r="BB60" s="201">
        <f t="shared" si="252"/>
        <v>1760.3000000000004</v>
      </c>
      <c r="BC60" s="202">
        <f t="shared" si="252"/>
        <v>1698.1999999999998</v>
      </c>
      <c r="BD60" s="200">
        <f t="shared" si="252"/>
        <v>1716.1</v>
      </c>
      <c r="BE60" s="201">
        <f t="shared" si="252"/>
        <v>1618.3000000000002</v>
      </c>
      <c r="BF60" s="201">
        <f t="shared" si="252"/>
        <v>2232.6000000000004</v>
      </c>
      <c r="BG60" s="202">
        <f>BG58+BG56+BG57+BG59</f>
        <v>1288.6999999999998</v>
      </c>
      <c r="BH60" s="200">
        <f>BH58+BH56+BH57+BH59</f>
        <v>1199.7999999999997</v>
      </c>
      <c r="BI60" s="201">
        <f>BI58+BI56+BI57+BI59</f>
        <v>1158.4999999999998</v>
      </c>
      <c r="BJ60" s="201">
        <f t="shared" ref="BJ60:BO60" si="253">BJ58+BJ56+BJ57+BJ59</f>
        <v>1069.8</v>
      </c>
      <c r="BK60" s="202">
        <f t="shared" ref="BK60" si="254">BK58+BK56+BK57+BK59</f>
        <v>1014.6000000000004</v>
      </c>
      <c r="BL60" s="200">
        <f t="shared" si="253"/>
        <v>838.10000000000082</v>
      </c>
      <c r="BM60" s="201">
        <f t="shared" si="253"/>
        <v>803.00000000000091</v>
      </c>
      <c r="BN60" s="201">
        <f t="shared" si="253"/>
        <v>767.900000000001</v>
      </c>
      <c r="BO60" s="202">
        <f t="shared" si="253"/>
        <v>732.80000000000109</v>
      </c>
      <c r="BP60" s="200">
        <f t="shared" ref="BP60:BW60" si="255">BP58+BP56+BP57+BP59</f>
        <v>697.70000000000118</v>
      </c>
      <c r="BQ60" s="201">
        <f t="shared" si="255"/>
        <v>662.60000000000127</v>
      </c>
      <c r="BR60" s="201">
        <f t="shared" si="255"/>
        <v>627.50000000000136</v>
      </c>
      <c r="BS60" s="202">
        <f t="shared" si="255"/>
        <v>592.40000000000146</v>
      </c>
      <c r="BT60" s="200">
        <f t="shared" si="255"/>
        <v>557.30000000000155</v>
      </c>
      <c r="BU60" s="201">
        <f t="shared" si="255"/>
        <v>522.20000000000164</v>
      </c>
      <c r="BV60" s="201">
        <f t="shared" si="255"/>
        <v>487.10000000000173</v>
      </c>
      <c r="BW60" s="202">
        <f t="shared" si="255"/>
        <v>452.00000000000182</v>
      </c>
      <c r="BX60" s="480"/>
      <c r="BY60" s="200">
        <f>BY58+BY56+BY57+BY59</f>
        <v>1295.4160000000002</v>
      </c>
      <c r="BZ60" s="201">
        <f>BZ58+BZ56+BZ57+BZ59</f>
        <v>1351.606</v>
      </c>
      <c r="CA60" s="201">
        <f>CA58+CA56+CA57+CA59</f>
        <v>1367.287</v>
      </c>
      <c r="CB60" s="201">
        <f>CB58+CB56+CB57+CB59</f>
        <v>1391.431</v>
      </c>
      <c r="CC60" s="201">
        <f>CB58+CB56+CB57+CB59</f>
        <v>1391.431</v>
      </c>
      <c r="CD60" s="201">
        <f t="shared" si="251"/>
        <v>1438.479</v>
      </c>
      <c r="CE60" s="201">
        <f t="shared" si="251"/>
        <v>1575.3129999999999</v>
      </c>
      <c r="CF60" s="201">
        <f t="shared" si="251"/>
        <v>1645.7529999999999</v>
      </c>
      <c r="CG60" s="201">
        <f t="shared" si="251"/>
        <v>1711.701</v>
      </c>
      <c r="CH60" s="201">
        <f t="shared" si="251"/>
        <v>1806.2650000000001</v>
      </c>
      <c r="CI60" s="201">
        <f t="shared" si="251"/>
        <v>1723.1000000000001</v>
      </c>
      <c r="CJ60" s="201">
        <f t="shared" si="251"/>
        <v>1742.4</v>
      </c>
      <c r="CK60" s="201">
        <f>CK58+CK56+CK57+CK59</f>
        <v>1698.1999999999998</v>
      </c>
      <c r="CL60" s="201">
        <f>CL58+CL56+CL57+CL59</f>
        <v>1288.6999999999998</v>
      </c>
      <c r="CM60" s="201">
        <f t="shared" si="251"/>
        <v>1014.6000000000004</v>
      </c>
      <c r="CN60" s="201">
        <f t="shared" si="251"/>
        <v>732.80000000000109</v>
      </c>
      <c r="CO60" s="201">
        <f>CO58+CO56+CO57+CO59</f>
        <v>592.40000000000146</v>
      </c>
      <c r="CP60" s="202">
        <f>CP58+CP56+CP57+CP59</f>
        <v>452.00000000000182</v>
      </c>
      <c r="CQ60" s="14"/>
      <c r="CR60" s="200">
        <f>CR58+CR56+CR57+CR59</f>
        <v>1371.549</v>
      </c>
      <c r="CS60" s="201">
        <f>CS58+CS56+CS57+CS59</f>
        <v>1397.2300000000002</v>
      </c>
      <c r="CT60" s="201">
        <f>CT58+CT56+CT57+CT59</f>
        <v>1397.0640000000001</v>
      </c>
      <c r="CU60" s="201">
        <f t="shared" si="251"/>
        <v>1446.5089999999998</v>
      </c>
      <c r="CV60" s="201">
        <f t="shared" si="251"/>
        <v>1585.4190000000001</v>
      </c>
      <c r="CW60" s="201">
        <f t="shared" si="251"/>
        <v>1679.6959999999999</v>
      </c>
      <c r="CX60" s="201">
        <f t="shared" si="251"/>
        <v>1709.145</v>
      </c>
      <c r="CY60" s="201">
        <f t="shared" si="251"/>
        <v>1778.261</v>
      </c>
      <c r="CZ60" s="202">
        <f t="shared" si="251"/>
        <v>1739.6999999999998</v>
      </c>
      <c r="DA60" s="201">
        <f t="shared" ref="DA60:DF60" si="256">DA58+DA56+DA57+DA59</f>
        <v>1753.4999999999998</v>
      </c>
      <c r="DB60" s="201">
        <f t="shared" si="256"/>
        <v>1716.1</v>
      </c>
      <c r="DC60" s="201">
        <f t="shared" si="256"/>
        <v>1199.7999999999997</v>
      </c>
      <c r="DD60" s="201">
        <f t="shared" si="256"/>
        <v>838.10000000000082</v>
      </c>
      <c r="DE60" s="201">
        <f t="shared" si="256"/>
        <v>697.70000000000118</v>
      </c>
      <c r="DF60" s="202">
        <f t="shared" si="256"/>
        <v>557.30000000000155</v>
      </c>
      <c r="DG60" s="203"/>
      <c r="DH60" s="203"/>
      <c r="DI60" s="203"/>
      <c r="DJ60" s="203"/>
      <c r="DK60"/>
      <c r="DL60"/>
      <c r="DM60"/>
      <c r="DN60"/>
      <c r="DO60"/>
      <c r="DP60"/>
      <c r="DQ60" s="109"/>
      <c r="DR60" s="109"/>
    </row>
    <row r="61" spans="1:122" s="3" customFormat="1" ht="14.25">
      <c r="B61" s="25"/>
      <c r="C61" s="191"/>
      <c r="D61" s="193"/>
      <c r="E61" s="75"/>
      <c r="F61" s="75"/>
      <c r="G61" s="76"/>
      <c r="H61" s="193"/>
      <c r="I61" s="75"/>
      <c r="J61" s="75"/>
      <c r="K61" s="76"/>
      <c r="L61" s="193"/>
      <c r="M61" s="75"/>
      <c r="N61" s="75"/>
      <c r="O61" s="76"/>
      <c r="P61" s="193"/>
      <c r="Q61" s="75"/>
      <c r="R61" s="75"/>
      <c r="S61" s="76"/>
      <c r="T61" s="193"/>
      <c r="U61" s="75"/>
      <c r="V61" s="75"/>
      <c r="W61" s="76"/>
      <c r="X61" s="193"/>
      <c r="Y61" s="75"/>
      <c r="Z61" s="75"/>
      <c r="AA61" s="76"/>
      <c r="AB61" s="75"/>
      <c r="AC61" s="75"/>
      <c r="AD61" s="75"/>
      <c r="AE61" s="76"/>
      <c r="AF61" s="75"/>
      <c r="AG61" s="75"/>
      <c r="AH61" s="75"/>
      <c r="AI61" s="76"/>
      <c r="AJ61" s="75"/>
      <c r="AK61" s="75"/>
      <c r="AL61" s="243"/>
      <c r="AM61" s="76"/>
      <c r="AN61" s="75"/>
      <c r="AO61" s="75"/>
      <c r="AP61" s="75"/>
      <c r="AQ61" s="76"/>
      <c r="AR61" s="75"/>
      <c r="AS61" s="75"/>
      <c r="AT61" s="75"/>
      <c r="AU61" s="76"/>
      <c r="AV61" s="75"/>
      <c r="AW61" s="75"/>
      <c r="AX61" s="75"/>
      <c r="AY61" s="76"/>
      <c r="AZ61" s="75"/>
      <c r="BA61" s="75"/>
      <c r="BB61" s="75"/>
      <c r="BC61" s="76"/>
      <c r="BD61" s="75"/>
      <c r="BE61" s="75"/>
      <c r="BF61" s="75"/>
      <c r="BG61" s="76"/>
      <c r="BH61" s="75"/>
      <c r="BI61" s="75"/>
      <c r="BJ61" s="75"/>
      <c r="BK61" s="76"/>
      <c r="BL61" s="242"/>
      <c r="BM61" s="243"/>
      <c r="BN61" s="243"/>
      <c r="BO61" s="195"/>
      <c r="BP61" s="242"/>
      <c r="BQ61" s="243"/>
      <c r="BR61" s="243"/>
      <c r="BS61" s="195"/>
      <c r="BT61" s="242"/>
      <c r="BU61" s="243"/>
      <c r="BV61" s="243"/>
      <c r="BW61" s="195"/>
      <c r="BX61" s="479"/>
      <c r="BY61" s="193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243"/>
      <c r="CO61" s="243"/>
      <c r="CP61" s="76"/>
      <c r="CQ61" s="131"/>
      <c r="CR61" s="75"/>
      <c r="CS61" s="75"/>
      <c r="CT61" s="75"/>
      <c r="CU61" s="75"/>
      <c r="CV61" s="75"/>
      <c r="CW61" s="75"/>
      <c r="CX61" s="75"/>
      <c r="CY61" s="75"/>
      <c r="CZ61" s="76"/>
      <c r="DA61" s="75"/>
      <c r="DB61" s="75"/>
      <c r="DC61" s="75"/>
      <c r="DD61" s="75"/>
      <c r="DE61" s="75"/>
      <c r="DF61" s="76"/>
      <c r="DG61" s="110"/>
      <c r="DH61" s="110"/>
      <c r="DI61" s="110"/>
      <c r="DJ61" s="110"/>
      <c r="DK61"/>
      <c r="DL61"/>
      <c r="DM61"/>
      <c r="DN61"/>
      <c r="DO61"/>
      <c r="DP61"/>
      <c r="DQ61" s="109"/>
      <c r="DR61" s="109"/>
    </row>
    <row r="62" spans="1:122" s="3" customFormat="1" ht="14.25">
      <c r="B62" s="83" t="s">
        <v>153</v>
      </c>
      <c r="C62" s="191"/>
      <c r="D62" s="67">
        <v>0</v>
      </c>
      <c r="E62" s="68">
        <v>0</v>
      </c>
      <c r="F62" s="68">
        <v>0</v>
      </c>
      <c r="G62" s="74">
        <v>0</v>
      </c>
      <c r="H62" s="67">
        <v>0</v>
      </c>
      <c r="I62" s="68">
        <v>0</v>
      </c>
      <c r="J62" s="68">
        <v>0</v>
      </c>
      <c r="K62" s="74">
        <v>0</v>
      </c>
      <c r="L62" s="67">
        <v>0</v>
      </c>
      <c r="M62" s="68">
        <v>0</v>
      </c>
      <c r="N62" s="68">
        <v>0</v>
      </c>
      <c r="O62" s="74">
        <v>0</v>
      </c>
      <c r="P62" s="67">
        <v>0</v>
      </c>
      <c r="Q62" s="68">
        <v>0</v>
      </c>
      <c r="R62" s="68">
        <v>0</v>
      </c>
      <c r="S62" s="74">
        <v>0</v>
      </c>
      <c r="T62" s="67">
        <v>0</v>
      </c>
      <c r="U62" s="68">
        <v>0</v>
      </c>
      <c r="V62" s="68">
        <v>0</v>
      </c>
      <c r="W62" s="74">
        <v>0</v>
      </c>
      <c r="X62" s="67">
        <v>0</v>
      </c>
      <c r="Y62" s="68">
        <v>0</v>
      </c>
      <c r="Z62" s="68">
        <v>0</v>
      </c>
      <c r="AA62" s="74">
        <v>0</v>
      </c>
      <c r="AB62" s="68">
        <v>0</v>
      </c>
      <c r="AC62" s="68">
        <v>0</v>
      </c>
      <c r="AD62" s="68">
        <v>0</v>
      </c>
      <c r="AE62" s="74">
        <v>0</v>
      </c>
      <c r="AF62" s="68">
        <v>0</v>
      </c>
      <c r="AG62" s="68">
        <v>0</v>
      </c>
      <c r="AH62" s="68">
        <v>0</v>
      </c>
      <c r="AI62" s="74">
        <v>0</v>
      </c>
      <c r="AJ62" s="68">
        <v>0</v>
      </c>
      <c r="AK62" s="68">
        <v>0</v>
      </c>
      <c r="AL62" s="75">
        <v>0</v>
      </c>
      <c r="AM62" s="74">
        <v>0</v>
      </c>
      <c r="AN62" s="68">
        <v>0</v>
      </c>
      <c r="AO62" s="68">
        <v>0</v>
      </c>
      <c r="AP62" s="68">
        <v>0</v>
      </c>
      <c r="AQ62" s="74">
        <v>0</v>
      </c>
      <c r="AR62" s="68">
        <v>0</v>
      </c>
      <c r="AS62" s="68">
        <v>0</v>
      </c>
      <c r="AT62" s="68">
        <v>0</v>
      </c>
      <c r="AU62" s="74">
        <v>0</v>
      </c>
      <c r="AV62" s="68">
        <v>0</v>
      </c>
      <c r="AW62" s="68">
        <v>0</v>
      </c>
      <c r="AX62" s="68">
        <v>0</v>
      </c>
      <c r="AY62" s="74">
        <v>0</v>
      </c>
      <c r="AZ62" s="68">
        <v>0</v>
      </c>
      <c r="BA62" s="68">
        <v>0</v>
      </c>
      <c r="BB62" s="68">
        <v>0</v>
      </c>
      <c r="BC62" s="74">
        <v>0</v>
      </c>
      <c r="BD62" s="68">
        <v>0</v>
      </c>
      <c r="BE62" s="68">
        <v>0</v>
      </c>
      <c r="BF62" s="68">
        <v>0</v>
      </c>
      <c r="BG62" s="74">
        <v>0</v>
      </c>
      <c r="BH62" s="68">
        <v>0</v>
      </c>
      <c r="BI62" s="68">
        <v>0</v>
      </c>
      <c r="BJ62" s="68">
        <v>0</v>
      </c>
      <c r="BK62" s="928">
        <v>0</v>
      </c>
      <c r="BL62" s="193">
        <f>-+CFS!BL44</f>
        <v>59.1</v>
      </c>
      <c r="BM62" s="75">
        <f>-+CFS!BM44</f>
        <v>59.2</v>
      </c>
      <c r="BN62" s="75">
        <f>-+CFS!BN44</f>
        <v>58.96</v>
      </c>
      <c r="BO62" s="76">
        <f>-+CFS!BO44</f>
        <v>58.72</v>
      </c>
      <c r="BP62" s="193">
        <f>-+CFS!BP44</f>
        <v>58.480000000000004</v>
      </c>
      <c r="BQ62" s="75">
        <f>-+CFS!BQ44</f>
        <v>58.24</v>
      </c>
      <c r="BR62" s="75">
        <f>-+CFS!BR44</f>
        <v>58</v>
      </c>
      <c r="BS62" s="76">
        <f>-+CFS!BS44</f>
        <v>57.76</v>
      </c>
      <c r="BT62" s="193">
        <f>-+CFS!BT44</f>
        <v>57.52</v>
      </c>
      <c r="BU62" s="75">
        <f>-+CFS!BU44</f>
        <v>57.28</v>
      </c>
      <c r="BV62" s="75">
        <f>-+CFS!BV44</f>
        <v>57.04</v>
      </c>
      <c r="BW62" s="76">
        <f>-+CFS!BW44</f>
        <v>56.800000000000004</v>
      </c>
      <c r="BX62" s="479"/>
      <c r="BY62" s="138">
        <f>G62</f>
        <v>0</v>
      </c>
      <c r="BZ62" s="137">
        <f>K62</f>
        <v>0</v>
      </c>
      <c r="CA62" s="137">
        <f>O62</f>
        <v>0</v>
      </c>
      <c r="CB62" s="137">
        <f>S62</f>
        <v>0</v>
      </c>
      <c r="CC62" s="137">
        <f>W62</f>
        <v>0</v>
      </c>
      <c r="CD62" s="137">
        <f>AA62</f>
        <v>0</v>
      </c>
      <c r="CE62" s="137">
        <f>AE62</f>
        <v>0</v>
      </c>
      <c r="CF62" s="137">
        <f>AI62</f>
        <v>0</v>
      </c>
      <c r="CG62" s="137">
        <f>AM62</f>
        <v>0</v>
      </c>
      <c r="CH62" s="137">
        <f>AQ62</f>
        <v>0</v>
      </c>
      <c r="CI62" s="137">
        <f>AU62</f>
        <v>0</v>
      </c>
      <c r="CJ62" s="137">
        <f>AY62</f>
        <v>0</v>
      </c>
      <c r="CK62" s="137">
        <f>BC62</f>
        <v>0</v>
      </c>
      <c r="CL62" s="75">
        <f>+BG62</f>
        <v>0</v>
      </c>
      <c r="CM62" s="75">
        <f>BK62</f>
        <v>0</v>
      </c>
      <c r="CN62" s="75">
        <f>BO62</f>
        <v>58.72</v>
      </c>
      <c r="CO62" s="75">
        <f>BS62</f>
        <v>57.76</v>
      </c>
      <c r="CP62" s="75">
        <f>BW62</f>
        <v>56.800000000000004</v>
      </c>
      <c r="CQ62" s="131"/>
      <c r="CR62" s="137">
        <f>P62</f>
        <v>0</v>
      </c>
      <c r="CS62" s="137">
        <f>T62</f>
        <v>0</v>
      </c>
      <c r="CT62" s="137">
        <f>X62</f>
        <v>0</v>
      </c>
      <c r="CU62" s="137">
        <f>AB62</f>
        <v>0</v>
      </c>
      <c r="CV62" s="137">
        <f>AF62</f>
        <v>0</v>
      </c>
      <c r="CW62" s="137">
        <f>AJ62</f>
        <v>0</v>
      </c>
      <c r="CX62" s="137">
        <f>AN62</f>
        <v>0</v>
      </c>
      <c r="CY62" s="137">
        <f>AR62</f>
        <v>0</v>
      </c>
      <c r="CZ62" s="139">
        <f>AV62</f>
        <v>0</v>
      </c>
      <c r="DA62" s="137">
        <f>AZ62</f>
        <v>0</v>
      </c>
      <c r="DB62" s="137">
        <f>BD62</f>
        <v>0</v>
      </c>
      <c r="DC62" s="137">
        <f>+SUM(BE62:BH62)</f>
        <v>0</v>
      </c>
      <c r="DD62" s="137">
        <f>+SUM(BI62:BL62)</f>
        <v>59.1</v>
      </c>
      <c r="DE62" s="137">
        <f>+SUM(BM62:BP62)</f>
        <v>235.36</v>
      </c>
      <c r="DF62" s="139">
        <f>+SUM(BQ62:BT62)</f>
        <v>231.52</v>
      </c>
      <c r="DG62" s="110"/>
      <c r="DH62" s="110"/>
      <c r="DI62" s="110"/>
      <c r="DJ62" s="110"/>
      <c r="DK62"/>
      <c r="DL62"/>
      <c r="DM62"/>
      <c r="DN62"/>
      <c r="DO62"/>
      <c r="DP62"/>
      <c r="DQ62" s="109"/>
      <c r="DR62" s="109"/>
    </row>
    <row r="63" spans="1:122" s="3" customFormat="1" ht="14.25">
      <c r="B63" s="83" t="s">
        <v>154</v>
      </c>
      <c r="C63" s="191"/>
      <c r="D63" s="67">
        <v>-169.40199999999999</v>
      </c>
      <c r="E63" s="68">
        <v>-175.357</v>
      </c>
      <c r="F63" s="68">
        <v>-181.54300000000001</v>
      </c>
      <c r="G63" s="74">
        <v>-621.60900000000004</v>
      </c>
      <c r="H63" s="67">
        <v>-617.43700000000001</v>
      </c>
      <c r="I63" s="68">
        <v>-626.85799999999995</v>
      </c>
      <c r="J63" s="68">
        <v>-613.82899999999995</v>
      </c>
      <c r="K63" s="74">
        <v>-599.197</v>
      </c>
      <c r="L63" s="67">
        <v>-585.28</v>
      </c>
      <c r="M63" s="68">
        <v>-584.03599999999994</v>
      </c>
      <c r="N63" s="68">
        <v>-576.64700000000005</v>
      </c>
      <c r="O63" s="74">
        <v>-573.58600000000001</v>
      </c>
      <c r="P63" s="67">
        <v>-569.29899999999998</v>
      </c>
      <c r="Q63" s="68">
        <v>-568.37300000000005</v>
      </c>
      <c r="R63" s="68">
        <v>-565.36800000000005</v>
      </c>
      <c r="S63" s="74">
        <v>-661.73900000000003</v>
      </c>
      <c r="T63" s="67">
        <v>-649.702</v>
      </c>
      <c r="U63" s="68">
        <v>-637.505</v>
      </c>
      <c r="V63" s="68">
        <v>-626.08199999999999</v>
      </c>
      <c r="W63" s="74">
        <v>-604.08900000000006</v>
      </c>
      <c r="X63" s="67">
        <v>-585.01099999999997</v>
      </c>
      <c r="Y63" s="68">
        <v>-568.33799999999997</v>
      </c>
      <c r="Z63" s="68">
        <v>-547.87199999999996</v>
      </c>
      <c r="AA63" s="74">
        <v>-493.08300000000003</v>
      </c>
      <c r="AB63" s="68">
        <v>-471.05900000000003</v>
      </c>
      <c r="AC63" s="68">
        <v>-475.649</v>
      </c>
      <c r="AD63" s="68">
        <v>-455.79899999999998</v>
      </c>
      <c r="AE63" s="74">
        <v>-465.154</v>
      </c>
      <c r="AF63" s="68">
        <v>-437.14299999999997</v>
      </c>
      <c r="AG63" s="68">
        <v>-409.4</v>
      </c>
      <c r="AH63" s="68">
        <v>-374.66399999999999</v>
      </c>
      <c r="AI63" s="74">
        <v>-327.86</v>
      </c>
      <c r="AJ63" s="68">
        <v>-266.99200000000002</v>
      </c>
      <c r="AK63" s="68">
        <v>-217.03200000000001</v>
      </c>
      <c r="AL63" s="68">
        <v>-165.48400000000001</v>
      </c>
      <c r="AM63" s="74">
        <v>-101.27500000000001</v>
      </c>
      <c r="AN63" s="68">
        <v>-44.149000000000001</v>
      </c>
      <c r="AO63" s="68">
        <v>-10.116</v>
      </c>
      <c r="AP63" s="68">
        <v>39.201000000000001</v>
      </c>
      <c r="AQ63" s="74">
        <v>100.803</v>
      </c>
      <c r="AR63" s="68">
        <v>167.29499999999999</v>
      </c>
      <c r="AS63" s="68">
        <v>229</v>
      </c>
      <c r="AT63" s="68">
        <v>294.7</v>
      </c>
      <c r="AU63" s="74">
        <v>378.9</v>
      </c>
      <c r="AV63" s="68">
        <v>473.4</v>
      </c>
      <c r="AW63" s="68">
        <v>550.29999999999995</v>
      </c>
      <c r="AX63" s="68">
        <v>640.79999999999995</v>
      </c>
      <c r="AY63" s="74">
        <v>794.9</v>
      </c>
      <c r="AZ63" s="68">
        <v>965.3</v>
      </c>
      <c r="BA63" s="68">
        <v>1106.9000000000001</v>
      </c>
      <c r="BB63" s="68">
        <v>1289.5999999999999</v>
      </c>
      <c r="BC63" s="74">
        <v>1469.2</v>
      </c>
      <c r="BD63" s="68">
        <v>1774.7</v>
      </c>
      <c r="BE63" s="68">
        <v>1933.5</v>
      </c>
      <c r="BF63" s="68">
        <v>1289.5999999999999</v>
      </c>
      <c r="BG63" s="74">
        <v>2263.6</v>
      </c>
      <c r="BH63" s="68">
        <v>2469.5</v>
      </c>
      <c r="BI63" s="68">
        <v>2642.6</v>
      </c>
      <c r="BJ63" s="68">
        <v>2837.2</v>
      </c>
      <c r="BK63" s="928">
        <v>3059.6</v>
      </c>
      <c r="BL63" s="193">
        <f>BK63+IS!BL113-BL62</f>
        <v>3070.9</v>
      </c>
      <c r="BM63" s="75">
        <f>BL63+IS!BM113-BM62</f>
        <v>3278.9375732596004</v>
      </c>
      <c r="BN63" s="75">
        <f>BM63+IS!BN113-BN62</f>
        <v>3475.3839501754424</v>
      </c>
      <c r="BO63" s="76">
        <f>BN63+IS!BO113-BO62</f>
        <v>3737.9043126861184</v>
      </c>
      <c r="BP63" s="193">
        <f>BO63+IS!BP113-BP62</f>
        <v>4021.2144215502403</v>
      </c>
      <c r="BQ63" s="75">
        <f>BP63+IS!BQ113-BQ62</f>
        <v>4266.1688494738582</v>
      </c>
      <c r="BR63" s="75">
        <f>BQ63+IS!BR113-BR62</f>
        <v>4511.9455153380604</v>
      </c>
      <c r="BS63" s="76">
        <f>BR63+IS!BS113-BS62</f>
        <v>4786.0940980874311</v>
      </c>
      <c r="BT63" s="193">
        <f>BS63+IS!BT113-BT62</f>
        <v>5077.4893867348956</v>
      </c>
      <c r="BU63" s="75">
        <f>BT63+IS!BU113-BU62</f>
        <v>5345.9736402376702</v>
      </c>
      <c r="BV63" s="75">
        <f>BU63+IS!BV113-BV62</f>
        <v>5620.1293028104492</v>
      </c>
      <c r="BW63" s="76">
        <f>BV63+IS!BW113-BW62</f>
        <v>5925.98134993637</v>
      </c>
      <c r="BX63" s="479"/>
      <c r="BY63" s="138">
        <f>G63</f>
        <v>-621.60900000000004</v>
      </c>
      <c r="BZ63" s="137">
        <f>K63</f>
        <v>-599.197</v>
      </c>
      <c r="CA63" s="137">
        <f>O63</f>
        <v>-573.58600000000001</v>
      </c>
      <c r="CB63" s="137">
        <f>S63</f>
        <v>-661.73900000000003</v>
      </c>
      <c r="CC63" s="137">
        <f>W63</f>
        <v>-604.08900000000006</v>
      </c>
      <c r="CD63" s="137">
        <f>AA63</f>
        <v>-493.08300000000003</v>
      </c>
      <c r="CE63" s="137">
        <f>AE63</f>
        <v>-465.154</v>
      </c>
      <c r="CF63" s="137">
        <f>AI63</f>
        <v>-327.86</v>
      </c>
      <c r="CG63" s="137">
        <f>AM63</f>
        <v>-101.27500000000001</v>
      </c>
      <c r="CH63" s="137">
        <f>AQ63</f>
        <v>100.803</v>
      </c>
      <c r="CI63" s="137">
        <f>AU63</f>
        <v>378.9</v>
      </c>
      <c r="CJ63" s="137">
        <f>AY63</f>
        <v>794.9</v>
      </c>
      <c r="CK63" s="137">
        <f>BC63</f>
        <v>1469.2</v>
      </c>
      <c r="CL63" s="204">
        <f>BG63</f>
        <v>2263.6</v>
      </c>
      <c r="CM63" s="204">
        <f>BK63</f>
        <v>3059.6</v>
      </c>
      <c r="CN63" s="204">
        <f>BO63</f>
        <v>3737.9043126861184</v>
      </c>
      <c r="CO63" s="204">
        <f>BS63</f>
        <v>4786.0940980874311</v>
      </c>
      <c r="CP63" s="204">
        <f>BW63</f>
        <v>5925.98134993637</v>
      </c>
      <c r="CQ63" s="131"/>
      <c r="CR63" s="137">
        <f>P63</f>
        <v>-569.29899999999998</v>
      </c>
      <c r="CS63" s="137">
        <f>T63</f>
        <v>-649.702</v>
      </c>
      <c r="CT63" s="137">
        <f>X63</f>
        <v>-585.01099999999997</v>
      </c>
      <c r="CU63" s="137">
        <f>AB63</f>
        <v>-471.05900000000003</v>
      </c>
      <c r="CV63" s="137">
        <f>AF63</f>
        <v>-437.14299999999997</v>
      </c>
      <c r="CW63" s="137">
        <f>AJ63</f>
        <v>-266.99200000000002</v>
      </c>
      <c r="CX63" s="137">
        <f>AN63</f>
        <v>-44.149000000000001</v>
      </c>
      <c r="CY63" s="137">
        <f>AR63</f>
        <v>167.29499999999999</v>
      </c>
      <c r="CZ63" s="139">
        <f>AV63</f>
        <v>473.4</v>
      </c>
      <c r="DA63" s="137">
        <f>AZ63</f>
        <v>965.3</v>
      </c>
      <c r="DB63" s="137">
        <f>BD63</f>
        <v>1774.7</v>
      </c>
      <c r="DC63" s="137">
        <f>BH63</f>
        <v>2469.5</v>
      </c>
      <c r="DD63" s="137">
        <f>BL63</f>
        <v>3070.9</v>
      </c>
      <c r="DE63" s="137">
        <f>BP63</f>
        <v>4021.2144215502403</v>
      </c>
      <c r="DF63" s="139">
        <f>BT63</f>
        <v>5077.4893867348956</v>
      </c>
      <c r="DG63" s="110"/>
      <c r="DH63" s="110"/>
      <c r="DI63" s="110"/>
      <c r="DJ63" s="110"/>
      <c r="DK63"/>
      <c r="DL63"/>
      <c r="DM63"/>
      <c r="DN63"/>
      <c r="DO63"/>
      <c r="DP63"/>
      <c r="DQ63" s="109"/>
      <c r="DR63" s="109"/>
    </row>
    <row r="64" spans="1:122" s="3" customFormat="1" ht="14.25">
      <c r="B64" s="83" t="s">
        <v>155</v>
      </c>
      <c r="C64" s="191"/>
      <c r="D64" s="67">
        <v>0</v>
      </c>
      <c r="E64" s="68">
        <v>0</v>
      </c>
      <c r="F64" s="68">
        <v>0</v>
      </c>
      <c r="G64" s="74">
        <v>0</v>
      </c>
      <c r="H64" s="67">
        <v>0</v>
      </c>
      <c r="I64" s="68">
        <v>0</v>
      </c>
      <c r="J64" s="68">
        <v>0</v>
      </c>
      <c r="K64" s="74">
        <v>0</v>
      </c>
      <c r="L64" s="67">
        <v>0</v>
      </c>
      <c r="M64" s="68">
        <v>0</v>
      </c>
      <c r="N64" s="68">
        <v>0</v>
      </c>
      <c r="O64" s="74">
        <v>0</v>
      </c>
      <c r="P64" s="67">
        <v>0</v>
      </c>
      <c r="Q64" s="68">
        <v>0</v>
      </c>
      <c r="R64" s="68">
        <v>0</v>
      </c>
      <c r="S64" s="74">
        <v>0</v>
      </c>
      <c r="T64" s="67">
        <v>0</v>
      </c>
      <c r="U64" s="68">
        <v>0</v>
      </c>
      <c r="V64" s="68">
        <v>0</v>
      </c>
      <c r="W64" s="74">
        <v>0</v>
      </c>
      <c r="X64" s="67">
        <v>0</v>
      </c>
      <c r="Y64" s="68">
        <v>0</v>
      </c>
      <c r="Z64" s="68">
        <v>0</v>
      </c>
      <c r="AA64" s="74">
        <v>0</v>
      </c>
      <c r="AB64" s="68">
        <v>0</v>
      </c>
      <c r="AC64" s="68">
        <v>0</v>
      </c>
      <c r="AD64" s="68">
        <v>0</v>
      </c>
      <c r="AE64" s="74">
        <v>0</v>
      </c>
      <c r="AF64" s="68">
        <v>0</v>
      </c>
      <c r="AG64" s="68">
        <v>0</v>
      </c>
      <c r="AH64" s="68">
        <v>0</v>
      </c>
      <c r="AI64" s="74">
        <v>0</v>
      </c>
      <c r="AJ64" s="68">
        <v>0</v>
      </c>
      <c r="AK64" s="68">
        <v>0</v>
      </c>
      <c r="AL64" s="68">
        <v>0</v>
      </c>
      <c r="AM64" s="74">
        <v>0</v>
      </c>
      <c r="AN64" s="68">
        <v>0</v>
      </c>
      <c r="AO64" s="68">
        <v>0</v>
      </c>
      <c r="AP64" s="68">
        <v>0</v>
      </c>
      <c r="AQ64" s="74">
        <v>0</v>
      </c>
      <c r="AR64" s="68">
        <v>0</v>
      </c>
      <c r="AS64" s="68">
        <v>0</v>
      </c>
      <c r="AT64" s="68">
        <v>0</v>
      </c>
      <c r="AU64" s="74">
        <v>0</v>
      </c>
      <c r="AV64" s="68">
        <v>0</v>
      </c>
      <c r="AW64" s="68">
        <v>0</v>
      </c>
      <c r="AX64" s="68">
        <v>0</v>
      </c>
      <c r="AY64" s="74">
        <v>0</v>
      </c>
      <c r="AZ64" s="68">
        <v>0</v>
      </c>
      <c r="BA64" s="68">
        <v>0</v>
      </c>
      <c r="BB64" s="68">
        <v>0</v>
      </c>
      <c r="BC64" s="74">
        <v>0</v>
      </c>
      <c r="BD64" s="68">
        <v>0</v>
      </c>
      <c r="BE64" s="68">
        <v>0</v>
      </c>
      <c r="BF64" s="68">
        <v>0</v>
      </c>
      <c r="BG64" s="74">
        <v>0</v>
      </c>
      <c r="BH64" s="68">
        <v>0</v>
      </c>
      <c r="BI64" s="68">
        <v>0</v>
      </c>
      <c r="BJ64" s="68">
        <v>0</v>
      </c>
      <c r="BK64" s="928">
        <v>0</v>
      </c>
      <c r="BL64" s="193">
        <v>0</v>
      </c>
      <c r="BM64" s="75">
        <v>0</v>
      </c>
      <c r="BN64" s="75">
        <v>0</v>
      </c>
      <c r="BO64" s="76">
        <v>0</v>
      </c>
      <c r="BP64" s="193">
        <v>0</v>
      </c>
      <c r="BQ64" s="75">
        <v>0</v>
      </c>
      <c r="BR64" s="75">
        <v>0</v>
      </c>
      <c r="BS64" s="76">
        <v>0</v>
      </c>
      <c r="BT64" s="193">
        <v>0</v>
      </c>
      <c r="BU64" s="75">
        <v>0</v>
      </c>
      <c r="BV64" s="75">
        <v>0</v>
      </c>
      <c r="BW64" s="76">
        <v>0</v>
      </c>
      <c r="BX64" s="479"/>
      <c r="BY64" s="138">
        <f>G64</f>
        <v>0</v>
      </c>
      <c r="BZ64" s="137">
        <f>K64</f>
        <v>0</v>
      </c>
      <c r="CA64" s="137">
        <f>O64</f>
        <v>0</v>
      </c>
      <c r="CB64" s="137">
        <f>S64</f>
        <v>0</v>
      </c>
      <c r="CC64" s="137">
        <f>W64</f>
        <v>0</v>
      </c>
      <c r="CD64" s="137">
        <f>AA64</f>
        <v>0</v>
      </c>
      <c r="CE64" s="137">
        <f>AE64</f>
        <v>0</v>
      </c>
      <c r="CF64" s="137">
        <f>AI64</f>
        <v>0</v>
      </c>
      <c r="CG64" s="137">
        <f>AM64</f>
        <v>0</v>
      </c>
      <c r="CH64" s="137">
        <f>AQ64</f>
        <v>0</v>
      </c>
      <c r="CI64" s="137">
        <f>AU64</f>
        <v>0</v>
      </c>
      <c r="CJ64" s="137">
        <f>AY64</f>
        <v>0</v>
      </c>
      <c r="CK64" s="137">
        <f>BC64</f>
        <v>0</v>
      </c>
      <c r="CL64" s="75">
        <f>BG64</f>
        <v>0</v>
      </c>
      <c r="CM64" s="75">
        <f>BK64</f>
        <v>0</v>
      </c>
      <c r="CN64" s="75">
        <f>BO64</f>
        <v>0</v>
      </c>
      <c r="CO64" s="75">
        <f>BS64</f>
        <v>0</v>
      </c>
      <c r="CP64" s="75">
        <f>BW64</f>
        <v>0</v>
      </c>
      <c r="CQ64" s="131"/>
      <c r="CR64" s="137">
        <f>P64</f>
        <v>0</v>
      </c>
      <c r="CS64" s="137">
        <f>T64</f>
        <v>0</v>
      </c>
      <c r="CT64" s="137">
        <f>X64</f>
        <v>0</v>
      </c>
      <c r="CU64" s="137">
        <f>AB64</f>
        <v>0</v>
      </c>
      <c r="CV64" s="137">
        <f>AF64</f>
        <v>0</v>
      </c>
      <c r="CW64" s="137">
        <f>AJ64</f>
        <v>0</v>
      </c>
      <c r="CX64" s="137">
        <f>AN64</f>
        <v>0</v>
      </c>
      <c r="CY64" s="137">
        <f>AR64</f>
        <v>0</v>
      </c>
      <c r="CZ64" s="139">
        <f>AV64</f>
        <v>0</v>
      </c>
      <c r="DA64" s="137">
        <f>AZ64</f>
        <v>0</v>
      </c>
      <c r="DB64" s="137">
        <f>BD64</f>
        <v>0</v>
      </c>
      <c r="DC64" s="137">
        <f>BH64</f>
        <v>0</v>
      </c>
      <c r="DD64" s="137">
        <f>BL64</f>
        <v>0</v>
      </c>
      <c r="DE64" s="137">
        <f>BP64</f>
        <v>0</v>
      </c>
      <c r="DF64" s="139">
        <f>BT64</f>
        <v>0</v>
      </c>
      <c r="DG64" s="110"/>
      <c r="DH64" s="110"/>
      <c r="DI64" s="110"/>
      <c r="DJ64" s="110"/>
      <c r="DK64"/>
      <c r="DL64"/>
      <c r="DM64"/>
      <c r="DN64"/>
      <c r="DO64"/>
      <c r="DP64"/>
      <c r="DQ64" s="109"/>
      <c r="DR64" s="109"/>
    </row>
    <row r="65" spans="1:123" s="3" customFormat="1" ht="14.25">
      <c r="B65" s="83" t="s">
        <v>156</v>
      </c>
      <c r="C65" s="191"/>
      <c r="D65" s="67">
        <v>-3.3000000000000002E-2</v>
      </c>
      <c r="E65" s="68">
        <v>0</v>
      </c>
      <c r="F65" s="68">
        <v>0</v>
      </c>
      <c r="G65" s="74">
        <v>-0.63200000000000001</v>
      </c>
      <c r="H65" s="67">
        <v>-0.63200000000000001</v>
      </c>
      <c r="I65" s="68">
        <v>-0.63200000000000001</v>
      </c>
      <c r="J65" s="68">
        <v>-0.63200000000000001</v>
      </c>
      <c r="K65" s="74">
        <v>-0.78600000000000003</v>
      </c>
      <c r="L65" s="67">
        <v>-0.78600000000000003</v>
      </c>
      <c r="M65" s="68">
        <v>-0.78600000000000003</v>
      </c>
      <c r="N65" s="68">
        <v>-0.78600000000000003</v>
      </c>
      <c r="O65" s="74">
        <v>-1.137</v>
      </c>
      <c r="P65" s="67">
        <v>-1.137</v>
      </c>
      <c r="Q65" s="68">
        <v>-1.137</v>
      </c>
      <c r="R65" s="68">
        <v>-1.137</v>
      </c>
      <c r="S65" s="74">
        <v>-0.59899999999999998</v>
      </c>
      <c r="T65" s="67">
        <v>-0.59899999999999998</v>
      </c>
      <c r="U65" s="68">
        <v>-0.59899999999999998</v>
      </c>
      <c r="V65" s="68">
        <v>-0.59899999999999998</v>
      </c>
      <c r="W65" s="74">
        <v>-0.214</v>
      </c>
      <c r="X65" s="67">
        <v>-0.95099999999999996</v>
      </c>
      <c r="Y65" s="68">
        <v>-1.718</v>
      </c>
      <c r="Z65" s="68">
        <v>-1.7190000000000001</v>
      </c>
      <c r="AA65" s="74">
        <v>-1.18</v>
      </c>
      <c r="AB65" s="68">
        <v>-1.18</v>
      </c>
      <c r="AC65" s="68">
        <v>-1.18</v>
      </c>
      <c r="AD65" s="68">
        <v>-1.18</v>
      </c>
      <c r="AE65" s="205">
        <v>-1.38</v>
      </c>
      <c r="AF65" s="68">
        <v>-1.38</v>
      </c>
      <c r="AG65" s="68">
        <v>-1.38</v>
      </c>
      <c r="AH65" s="68">
        <v>-1.38</v>
      </c>
      <c r="AI65" s="205">
        <v>-1.2969999999999999</v>
      </c>
      <c r="AJ65" s="68">
        <v>-1.2969999999999999</v>
      </c>
      <c r="AK65" s="68">
        <v>-1.2969999999999999</v>
      </c>
      <c r="AL65" s="68">
        <v>-1.2969999999999999</v>
      </c>
      <c r="AM65" s="205">
        <v>-1.331</v>
      </c>
      <c r="AN65" s="68">
        <v>-1.331</v>
      </c>
      <c r="AO65" s="68">
        <v>-1.3360000000000001</v>
      </c>
      <c r="AP65" s="68">
        <v>-1.337</v>
      </c>
      <c r="AQ65" s="205">
        <v>-1.593</v>
      </c>
      <c r="AR65" s="68">
        <v>-1.587</v>
      </c>
      <c r="AS65" s="68">
        <v>-1.6</v>
      </c>
      <c r="AT65" s="68">
        <v>-1.6</v>
      </c>
      <c r="AU65" s="205">
        <v>-0.9</v>
      </c>
      <c r="AV65" s="68">
        <v>-0.9</v>
      </c>
      <c r="AW65" s="68">
        <v>-0.9</v>
      </c>
      <c r="AX65" s="68">
        <v>-0.9</v>
      </c>
      <c r="AY65" s="205">
        <v>-4.9000000000000004</v>
      </c>
      <c r="AZ65" s="68">
        <v>-8.6999999999999993</v>
      </c>
      <c r="BA65" s="68">
        <v>-7.9</v>
      </c>
      <c r="BB65" s="68">
        <v>-7.9</v>
      </c>
      <c r="BC65" s="205">
        <v>-8.1999999999999993</v>
      </c>
      <c r="BD65" s="68">
        <v>-8.1999999999999993</v>
      </c>
      <c r="BE65" s="68">
        <v>-8.5</v>
      </c>
      <c r="BF65" s="68">
        <v>-7.9</v>
      </c>
      <c r="BG65" s="205">
        <v>-10.9</v>
      </c>
      <c r="BH65" s="68">
        <v>-9</v>
      </c>
      <c r="BI65" s="68">
        <v>-9.3000000000000007</v>
      </c>
      <c r="BJ65" s="68">
        <v>-9.1999999999999993</v>
      </c>
      <c r="BK65" s="929">
        <v>-8.5</v>
      </c>
      <c r="BL65" s="193">
        <f>BK65+CFS!BL13+CFS!BL14+CFS!BL19+CFS!BL20+CFS!BL31+CFS!BL32+CFS!BL37+CFS!BL38+CFS!BL39+CFS!BL49</f>
        <v>-8.5</v>
      </c>
      <c r="BM65" s="75">
        <f>BL65+CFS!BM13+CFS!BM14+CFS!BM19+CFS!BM20+CFS!BM31+CFS!BM32+CFS!BM37+CFS!BM38+CFS!BM39+CFS!BM49</f>
        <v>-8.5</v>
      </c>
      <c r="BN65" s="75">
        <f>BM65+CFS!BN13+CFS!BN14+CFS!BN19+CFS!BN20+CFS!BN31+CFS!BN32+CFS!BN37+CFS!BN38+CFS!BN39+CFS!BN49</f>
        <v>-8.5</v>
      </c>
      <c r="BO65" s="76">
        <f>BN65+CFS!BO13+CFS!BO14+CFS!BO19+CFS!BO20+CFS!BO31+CFS!BO32+CFS!BO37+CFS!BO38+CFS!BO39+CFS!BO49</f>
        <v>-8.5</v>
      </c>
      <c r="BP65" s="193">
        <f>BO65+CFS!BP13+CFS!BP14+CFS!BP19+CFS!BP20+CFS!BP31+CFS!BP32+CFS!BP37+CFS!BP38+CFS!BP39+CFS!BP49</f>
        <v>-8.5</v>
      </c>
      <c r="BQ65" s="75">
        <f>BP65+CFS!BQ13+CFS!BQ14+CFS!BQ19+CFS!BQ20+CFS!BQ31+CFS!BQ32+CFS!BQ37+CFS!BQ38+CFS!BQ39+CFS!BQ49</f>
        <v>-8.5</v>
      </c>
      <c r="BR65" s="75">
        <f>BQ65+CFS!BR13+CFS!BR14+CFS!BR19+CFS!BR20+CFS!BR31+CFS!BR32+CFS!BR37+CFS!BR38+CFS!BR39+CFS!BR49</f>
        <v>-8.5</v>
      </c>
      <c r="BS65" s="76">
        <f>BR65+CFS!BS13+CFS!BS14+CFS!BS19+CFS!BS20+CFS!BS31+CFS!BS32+CFS!BS37+CFS!BS38+CFS!BS39+CFS!BS49</f>
        <v>-8.5</v>
      </c>
      <c r="BT65" s="193">
        <f>BS65+CFS!BT13+CFS!BT14+CFS!BT19+CFS!BT20+CFS!BT31+CFS!BT32+CFS!BT37+CFS!BT38+CFS!BT39+CFS!BT49</f>
        <v>-8.5</v>
      </c>
      <c r="BU65" s="75">
        <f>BT65+CFS!BU13+CFS!BU14+CFS!BU19+CFS!BU20+CFS!BU31+CFS!BU32+CFS!BU37+CFS!BU38+CFS!BU39+CFS!BU49</f>
        <v>-8.5</v>
      </c>
      <c r="BV65" s="75">
        <f>BU65+CFS!BV13+CFS!BV14+CFS!BV19+CFS!BV20+CFS!BV31+CFS!BV32+CFS!BV37+CFS!BV38+CFS!BV39+CFS!BV49</f>
        <v>-8.5</v>
      </c>
      <c r="BW65" s="76">
        <f>BV65+CFS!BW13+CFS!BW14+CFS!BW19+CFS!BW20+CFS!BW31+CFS!BW32+CFS!BW37+CFS!BW38+CFS!BW39+CFS!BW49</f>
        <v>-8.5</v>
      </c>
      <c r="BX65" s="479"/>
      <c r="BY65" s="156">
        <f>G65</f>
        <v>-0.63200000000000001</v>
      </c>
      <c r="BZ65" s="141">
        <f>K65</f>
        <v>-0.78600000000000003</v>
      </c>
      <c r="CA65" s="141">
        <f>O65</f>
        <v>-1.137</v>
      </c>
      <c r="CB65" s="141">
        <f>S65</f>
        <v>-0.59899999999999998</v>
      </c>
      <c r="CC65" s="141">
        <f>W65</f>
        <v>-0.214</v>
      </c>
      <c r="CD65" s="141">
        <f>AA65</f>
        <v>-1.18</v>
      </c>
      <c r="CE65" s="141">
        <f>AE65</f>
        <v>-1.38</v>
      </c>
      <c r="CF65" s="141">
        <f>AI65</f>
        <v>-1.2969999999999999</v>
      </c>
      <c r="CG65" s="141">
        <f>AM65</f>
        <v>-1.331</v>
      </c>
      <c r="CH65" s="141">
        <f>AQ65</f>
        <v>-1.593</v>
      </c>
      <c r="CI65" s="141">
        <f>AU65</f>
        <v>-0.9</v>
      </c>
      <c r="CJ65" s="141">
        <f>AY65</f>
        <v>-4.9000000000000004</v>
      </c>
      <c r="CK65" s="141">
        <f>BC65</f>
        <v>-8.1999999999999993</v>
      </c>
      <c r="CL65" s="75">
        <f>BG65</f>
        <v>-10.9</v>
      </c>
      <c r="CM65" s="75">
        <f>BK65</f>
        <v>-8.5</v>
      </c>
      <c r="CN65" s="244">
        <f>BO65</f>
        <v>-8.5</v>
      </c>
      <c r="CO65" s="244">
        <f>BS65</f>
        <v>-8.5</v>
      </c>
      <c r="CP65" s="75">
        <f>BW65</f>
        <v>-8.5</v>
      </c>
      <c r="CQ65" s="131"/>
      <c r="CR65" s="137">
        <f>P65</f>
        <v>-1.137</v>
      </c>
      <c r="CS65" s="137">
        <f>T65</f>
        <v>-0.59899999999999998</v>
      </c>
      <c r="CT65" s="137">
        <f>X65</f>
        <v>-0.95099999999999996</v>
      </c>
      <c r="CU65" s="137">
        <f>AB65</f>
        <v>-1.18</v>
      </c>
      <c r="CV65" s="137">
        <f>AF65</f>
        <v>-1.38</v>
      </c>
      <c r="CW65" s="137">
        <f>AJ65</f>
        <v>-1.2969999999999999</v>
      </c>
      <c r="CX65" s="137">
        <f>AN65</f>
        <v>-1.331</v>
      </c>
      <c r="CY65" s="137">
        <f>AR65</f>
        <v>-1.587</v>
      </c>
      <c r="CZ65" s="139">
        <f>AV65</f>
        <v>-0.9</v>
      </c>
      <c r="DA65" s="137">
        <f>AZ65</f>
        <v>-8.6999999999999993</v>
      </c>
      <c r="DB65" s="137">
        <f>BD65</f>
        <v>-8.1999999999999993</v>
      </c>
      <c r="DC65" s="137">
        <f>BH65</f>
        <v>-9</v>
      </c>
      <c r="DD65" s="137">
        <f>BL65</f>
        <v>-8.5</v>
      </c>
      <c r="DE65" s="137">
        <f>BP65</f>
        <v>-8.5</v>
      </c>
      <c r="DF65" s="139">
        <f>BT65</f>
        <v>-8.5</v>
      </c>
      <c r="DG65" s="110"/>
      <c r="DH65" s="110"/>
      <c r="DI65" s="110"/>
      <c r="DJ65" s="110"/>
      <c r="DK65"/>
      <c r="DL65"/>
      <c r="DM65"/>
      <c r="DN65"/>
      <c r="DO65"/>
      <c r="DP65"/>
      <c r="DQ65" s="109"/>
      <c r="DR65" s="109"/>
    </row>
    <row r="66" spans="1:123" s="109" customFormat="1" ht="15">
      <c r="B66" s="206" t="s">
        <v>133</v>
      </c>
      <c r="C66" s="207"/>
      <c r="D66" s="200">
        <f t="shared" ref="D66:X66" si="257">D55+D60+D63+D64+D65</f>
        <v>1018.3369999999999</v>
      </c>
      <c r="E66" s="201">
        <f t="shared" si="257"/>
        <v>1013.3410000000001</v>
      </c>
      <c r="F66" s="201">
        <f t="shared" si="257"/>
        <v>1009.8770000000001</v>
      </c>
      <c r="G66" s="201">
        <f t="shared" si="257"/>
        <v>673.17500000000018</v>
      </c>
      <c r="H66" s="200">
        <f t="shared" si="257"/>
        <v>679.23</v>
      </c>
      <c r="I66" s="201">
        <f t="shared" si="257"/>
        <v>674.64400000000012</v>
      </c>
      <c r="J66" s="201">
        <f t="shared" si="257"/>
        <v>733.49000000000012</v>
      </c>
      <c r="K66" s="201">
        <f t="shared" si="257"/>
        <v>751.62300000000005</v>
      </c>
      <c r="L66" s="200">
        <f t="shared" si="257"/>
        <v>770.86500000000012</v>
      </c>
      <c r="M66" s="201">
        <f t="shared" si="257"/>
        <v>775.86800000000017</v>
      </c>
      <c r="N66" s="201">
        <f t="shared" si="257"/>
        <v>787.7320000000002</v>
      </c>
      <c r="O66" s="201">
        <f t="shared" si="257"/>
        <v>792.56400000000008</v>
      </c>
      <c r="P66" s="200">
        <f t="shared" si="257"/>
        <v>801.11300000000006</v>
      </c>
      <c r="Q66" s="201">
        <f t="shared" si="257"/>
        <v>810.36599999999999</v>
      </c>
      <c r="R66" s="201">
        <f t="shared" si="257"/>
        <v>818.53200000000004</v>
      </c>
      <c r="S66" s="201">
        <f t="shared" si="257"/>
        <v>729.09299999999996</v>
      </c>
      <c r="T66" s="200">
        <f t="shared" si="257"/>
        <v>746.9290000000002</v>
      </c>
      <c r="U66" s="201">
        <f t="shared" si="257"/>
        <v>736.9860000000001</v>
      </c>
      <c r="V66" s="201">
        <f t="shared" si="257"/>
        <v>755.37699999999995</v>
      </c>
      <c r="W66" s="201">
        <f t="shared" si="257"/>
        <v>786.34699999999998</v>
      </c>
      <c r="X66" s="200">
        <f t="shared" si="257"/>
        <v>811.10200000000009</v>
      </c>
      <c r="Y66" s="201">
        <f t="shared" ref="Y66:AV66" si="258">Y55+Y60+Y63+Y64+Y65</f>
        <v>837.44800000000021</v>
      </c>
      <c r="Z66" s="201">
        <f t="shared" si="258"/>
        <v>878.38400000000013</v>
      </c>
      <c r="AA66" s="201">
        <f t="shared" si="258"/>
        <v>944.21600000000001</v>
      </c>
      <c r="AB66" s="200">
        <f t="shared" si="258"/>
        <v>974.26999999999987</v>
      </c>
      <c r="AC66" s="201">
        <f t="shared" si="258"/>
        <v>978.93000000000006</v>
      </c>
      <c r="AD66" s="201">
        <f t="shared" si="258"/>
        <v>1014.8070000000001</v>
      </c>
      <c r="AE66" s="202">
        <f t="shared" si="258"/>
        <v>1108.7789999999998</v>
      </c>
      <c r="AF66" s="200">
        <f t="shared" si="258"/>
        <v>1146.896</v>
      </c>
      <c r="AG66" s="201">
        <f t="shared" si="258"/>
        <v>1183.0459999999998</v>
      </c>
      <c r="AH66" s="201">
        <f t="shared" si="258"/>
        <v>1220.7059999999999</v>
      </c>
      <c r="AI66" s="202">
        <f t="shared" si="258"/>
        <v>1316.596</v>
      </c>
      <c r="AJ66" s="200">
        <f t="shared" si="258"/>
        <v>1411.4069999999999</v>
      </c>
      <c r="AK66" s="201">
        <f t="shared" si="258"/>
        <v>1476.3920000000001</v>
      </c>
      <c r="AL66" s="201">
        <f t="shared" si="258"/>
        <v>1532.174</v>
      </c>
      <c r="AM66" s="202">
        <f t="shared" si="258"/>
        <v>1609.095</v>
      </c>
      <c r="AN66" s="200">
        <f t="shared" si="258"/>
        <v>1663.6650000000002</v>
      </c>
      <c r="AO66" s="201">
        <f t="shared" si="258"/>
        <v>1720.2440000000001</v>
      </c>
      <c r="AP66" s="201">
        <f t="shared" si="258"/>
        <v>1801.665</v>
      </c>
      <c r="AQ66" s="202">
        <f t="shared" si="258"/>
        <v>1905.4750000000001</v>
      </c>
      <c r="AR66" s="200">
        <f t="shared" si="258"/>
        <v>1943.9690000000001</v>
      </c>
      <c r="AS66" s="201">
        <f t="shared" si="258"/>
        <v>2000</v>
      </c>
      <c r="AT66" s="201">
        <f t="shared" si="258"/>
        <v>2000.1</v>
      </c>
      <c r="AU66" s="202">
        <f t="shared" si="258"/>
        <v>2101.1</v>
      </c>
      <c r="AV66" s="200">
        <f t="shared" si="258"/>
        <v>2212.1999999999998</v>
      </c>
      <c r="AW66" s="201">
        <f t="shared" ref="AW66:BF66" si="259">AW55+AW60+AW63+AW64+AW65</f>
        <v>2291.4</v>
      </c>
      <c r="AX66" s="201">
        <f t="shared" si="259"/>
        <v>2388.9999999999995</v>
      </c>
      <c r="AY66" s="202">
        <f t="shared" si="259"/>
        <v>2532.4</v>
      </c>
      <c r="AZ66" s="200">
        <f t="shared" si="259"/>
        <v>2710.1</v>
      </c>
      <c r="BA66" s="201">
        <f t="shared" si="259"/>
        <v>2863.5000000000005</v>
      </c>
      <c r="BB66" s="201">
        <f t="shared" si="259"/>
        <v>3042.0000000000005</v>
      </c>
      <c r="BC66" s="202">
        <f t="shared" si="259"/>
        <v>3159.2</v>
      </c>
      <c r="BD66" s="200">
        <f t="shared" si="259"/>
        <v>3482.6000000000004</v>
      </c>
      <c r="BE66" s="201">
        <f t="shared" si="259"/>
        <v>3543.3</v>
      </c>
      <c r="BF66" s="201">
        <f t="shared" si="259"/>
        <v>3514.3</v>
      </c>
      <c r="BG66" s="202">
        <f>BG55+BG60+BG63+BG64+BG65</f>
        <v>3541.3999999999996</v>
      </c>
      <c r="BH66" s="200">
        <f>BH55+BH60+BH63+BH64+BH65</f>
        <v>3660.2999999999997</v>
      </c>
      <c r="BI66" s="201">
        <f>BI55+BI60+BI63+BI64+BI65</f>
        <v>3791.7999999999993</v>
      </c>
      <c r="BJ66" s="201">
        <f t="shared" ref="BJ66:BO66" si="260">BJ55+BJ60+BJ63+BJ64+BJ65</f>
        <v>3897.8</v>
      </c>
      <c r="BK66" s="202">
        <f t="shared" ref="BK66" si="261">BK55+BK60+BK63+BK64+BK65</f>
        <v>4065.7000000000003</v>
      </c>
      <c r="BL66" s="200">
        <f t="shared" si="260"/>
        <v>3900.5000000000009</v>
      </c>
      <c r="BM66" s="201">
        <f t="shared" si="260"/>
        <v>4073.4375732596013</v>
      </c>
      <c r="BN66" s="201">
        <f t="shared" si="260"/>
        <v>4234.7839501754434</v>
      </c>
      <c r="BO66" s="202">
        <f t="shared" si="260"/>
        <v>4462.204312686119</v>
      </c>
      <c r="BP66" s="200">
        <f t="shared" ref="BP66:BW66" si="262">BP55+BP60+BP63+BP64+BP65</f>
        <v>4710.414421550242</v>
      </c>
      <c r="BQ66" s="201">
        <f t="shared" si="262"/>
        <v>4920.2688494738595</v>
      </c>
      <c r="BR66" s="201">
        <f t="shared" si="262"/>
        <v>5130.9455153380623</v>
      </c>
      <c r="BS66" s="202">
        <f t="shared" si="262"/>
        <v>5369.9940980874326</v>
      </c>
      <c r="BT66" s="200">
        <f t="shared" si="262"/>
        <v>5626.2893867348976</v>
      </c>
      <c r="BU66" s="201">
        <f t="shared" si="262"/>
        <v>5859.6736402376719</v>
      </c>
      <c r="BV66" s="201">
        <f t="shared" si="262"/>
        <v>6098.7293028104505</v>
      </c>
      <c r="BW66" s="202">
        <f t="shared" si="262"/>
        <v>6369.4813499363718</v>
      </c>
      <c r="BX66" s="480"/>
      <c r="BY66" s="200">
        <f>BY55+BY60+BY63+BY64+BY65</f>
        <v>673.17500000000018</v>
      </c>
      <c r="BZ66" s="201">
        <f>BZ55+BZ60+BZ63+BZ64+BZ65</f>
        <v>751.62300000000005</v>
      </c>
      <c r="CA66" s="201">
        <f>CA55+CA60+CA63+CA64+CA65</f>
        <v>792.56400000000008</v>
      </c>
      <c r="CB66" s="201">
        <f>CB55+CB60+CB63+CB64+CB65</f>
        <v>729.09299999999996</v>
      </c>
      <c r="CC66" s="201">
        <f>CB55+CB60+CB63+CB64+CB65</f>
        <v>729.09299999999996</v>
      </c>
      <c r="CD66" s="201">
        <f>CD55+CD60+CD63+CD64+CD65</f>
        <v>944.21600000000001</v>
      </c>
      <c r="CE66" s="201">
        <f t="shared" ref="CE66:CN66" si="263">CE55+CE60+CE63+CE64+CE65</f>
        <v>1108.7789999999998</v>
      </c>
      <c r="CF66" s="201">
        <f t="shared" si="263"/>
        <v>1316.596</v>
      </c>
      <c r="CG66" s="201">
        <f t="shared" si="263"/>
        <v>1609.095</v>
      </c>
      <c r="CH66" s="201">
        <f t="shared" si="263"/>
        <v>1905.4750000000001</v>
      </c>
      <c r="CI66" s="201">
        <f t="shared" si="263"/>
        <v>2101.1</v>
      </c>
      <c r="CJ66" s="201">
        <f t="shared" si="263"/>
        <v>2532.4</v>
      </c>
      <c r="CK66" s="201">
        <f>CK55+CK60+CK63+CK64+CK65</f>
        <v>3159.2</v>
      </c>
      <c r="CL66" s="201">
        <f>CL55+CL60+CL63+CL64+CL65</f>
        <v>3541.3999999999996</v>
      </c>
      <c r="CM66" s="201">
        <f t="shared" si="263"/>
        <v>4065.7000000000003</v>
      </c>
      <c r="CN66" s="201">
        <f t="shared" si="263"/>
        <v>4462.204312686119</v>
      </c>
      <c r="CO66" s="201">
        <f>CO55+CO60+CO63+CO64+CO65</f>
        <v>5369.9940980874326</v>
      </c>
      <c r="CP66" s="202">
        <f>CP55+CP60+CP63+CP64+CP65</f>
        <v>6369.4813499363718</v>
      </c>
      <c r="CQ66" s="14"/>
      <c r="CR66" s="200">
        <f>CR55+CR60+CR63+CR64+CR65</f>
        <v>801.11300000000006</v>
      </c>
      <c r="CS66" s="201">
        <f>CS55+CS60+CS63+CS64+CS65</f>
        <v>746.9290000000002</v>
      </c>
      <c r="CT66" s="201">
        <f>CT55+CT60+CT63+CT64+CT65</f>
        <v>811.10200000000009</v>
      </c>
      <c r="CU66" s="201">
        <f t="shared" ref="CU66:CZ66" si="264">CU55+CU60+CU63+CU64+CU65</f>
        <v>974.26999999999987</v>
      </c>
      <c r="CV66" s="201">
        <f t="shared" si="264"/>
        <v>1146.896</v>
      </c>
      <c r="CW66" s="201">
        <f t="shared" si="264"/>
        <v>1411.4069999999999</v>
      </c>
      <c r="CX66" s="201">
        <f t="shared" si="264"/>
        <v>1663.6650000000002</v>
      </c>
      <c r="CY66" s="201">
        <f t="shared" si="264"/>
        <v>1943.9690000000001</v>
      </c>
      <c r="CZ66" s="202">
        <f t="shared" si="264"/>
        <v>2212.1999999999998</v>
      </c>
      <c r="DA66" s="201">
        <f t="shared" ref="DA66:DF66" si="265">DA55+DA60+DA63+DA64+DA65</f>
        <v>2710.1</v>
      </c>
      <c r="DB66" s="201">
        <f t="shared" si="265"/>
        <v>3482.6000000000004</v>
      </c>
      <c r="DC66" s="201">
        <f t="shared" si="265"/>
        <v>3660.2999999999997</v>
      </c>
      <c r="DD66" s="201">
        <f t="shared" si="265"/>
        <v>3900.5000000000009</v>
      </c>
      <c r="DE66" s="201">
        <f t="shared" si="265"/>
        <v>4710.414421550242</v>
      </c>
      <c r="DF66" s="202">
        <f t="shared" si="265"/>
        <v>5626.2893867348976</v>
      </c>
      <c r="DG66" s="110"/>
      <c r="DH66" s="110"/>
      <c r="DI66" s="110"/>
      <c r="DJ66" s="110"/>
      <c r="DK66"/>
      <c r="DL66"/>
      <c r="DM66"/>
      <c r="DN66"/>
      <c r="DO66"/>
      <c r="DP66"/>
      <c r="DS66" s="3"/>
    </row>
    <row r="67" spans="1:123" s="109" customFormat="1" ht="15">
      <c r="B67" s="208"/>
      <c r="C67" s="208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194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75"/>
      <c r="CM67" s="75"/>
      <c r="CN67" s="75"/>
      <c r="CO67" s="75"/>
      <c r="CP67" s="75"/>
      <c r="CQ67" s="6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110"/>
      <c r="DH67" s="110"/>
      <c r="DI67" s="110"/>
      <c r="DJ67" s="110"/>
      <c r="DK67"/>
      <c r="DL67"/>
      <c r="DM67"/>
      <c r="DN67"/>
      <c r="DO67"/>
      <c r="DP67"/>
      <c r="DS67" s="3"/>
    </row>
    <row r="68" spans="1:123" s="109" customFormat="1" ht="14.25">
      <c r="B68" s="209" t="s">
        <v>157</v>
      </c>
      <c r="C68" s="210"/>
      <c r="D68" s="211">
        <f t="shared" ref="D68:O68" si="266">D33</f>
        <v>1018.337</v>
      </c>
      <c r="E68" s="211">
        <f t="shared" si="266"/>
        <v>1013.341</v>
      </c>
      <c r="F68" s="211">
        <f t="shared" si="266"/>
        <v>1009.877</v>
      </c>
      <c r="G68" s="211">
        <f t="shared" si="266"/>
        <v>673.17499999999995</v>
      </c>
      <c r="H68" s="211">
        <f t="shared" si="266"/>
        <v>679.23</v>
      </c>
      <c r="I68" s="211">
        <f t="shared" si="266"/>
        <v>674.64400000000001</v>
      </c>
      <c r="J68" s="211">
        <f t="shared" si="266"/>
        <v>733.49</v>
      </c>
      <c r="K68" s="211">
        <f t="shared" si="266"/>
        <v>751.62300000000005</v>
      </c>
      <c r="L68" s="211">
        <f t="shared" si="266"/>
        <v>770.86500000000001</v>
      </c>
      <c r="M68" s="211">
        <f t="shared" si="266"/>
        <v>775.86800000000005</v>
      </c>
      <c r="N68" s="211">
        <f t="shared" si="266"/>
        <v>787.73199999999997</v>
      </c>
      <c r="O68" s="211">
        <f t="shared" si="266"/>
        <v>792.56399999999996</v>
      </c>
      <c r="P68" s="211">
        <f t="shared" ref="P68:W68" si="267">P33</f>
        <v>801.11300000000006</v>
      </c>
      <c r="Q68" s="211">
        <f t="shared" si="267"/>
        <v>810.36599999999999</v>
      </c>
      <c r="R68" s="211">
        <f t="shared" si="267"/>
        <v>818.53200000000004</v>
      </c>
      <c r="S68" s="211">
        <f t="shared" si="267"/>
        <v>729.09299999999996</v>
      </c>
      <c r="T68" s="211">
        <f t="shared" si="267"/>
        <v>746.92899999999997</v>
      </c>
      <c r="U68" s="211">
        <f t="shared" si="267"/>
        <v>736.98599999999999</v>
      </c>
      <c r="V68" s="211">
        <f t="shared" si="267"/>
        <v>755.37699999999995</v>
      </c>
      <c r="W68" s="211">
        <f t="shared" si="267"/>
        <v>786.34699999999998</v>
      </c>
      <c r="X68" s="211">
        <f t="shared" ref="X68:AI68" si="268">X33</f>
        <v>811.10199999999998</v>
      </c>
      <c r="Y68" s="211">
        <f t="shared" si="268"/>
        <v>837.44799999999998</v>
      </c>
      <c r="Z68" s="211">
        <f t="shared" si="268"/>
        <v>878.38400000000001</v>
      </c>
      <c r="AA68" s="211">
        <f t="shared" si="268"/>
        <v>944.21600000000001</v>
      </c>
      <c r="AB68" s="236">
        <f t="shared" si="268"/>
        <v>974.27</v>
      </c>
      <c r="AC68" s="211">
        <f t="shared" si="268"/>
        <v>978.93</v>
      </c>
      <c r="AD68" s="211">
        <f t="shared" si="268"/>
        <v>1014.807</v>
      </c>
      <c r="AE68" s="234">
        <f t="shared" si="268"/>
        <v>1108.779</v>
      </c>
      <c r="AF68" s="236">
        <f t="shared" si="268"/>
        <v>1146.896</v>
      </c>
      <c r="AG68" s="211">
        <f t="shared" si="268"/>
        <v>1183.046</v>
      </c>
      <c r="AH68" s="211">
        <f t="shared" si="268"/>
        <v>1220.7059999999999</v>
      </c>
      <c r="AI68" s="234">
        <f t="shared" si="268"/>
        <v>1316.596</v>
      </c>
      <c r="AJ68" s="236">
        <f t="shared" ref="AJ68:AQ68" si="269">AJ33</f>
        <v>1411.4069999999999</v>
      </c>
      <c r="AK68" s="211">
        <f t="shared" si="269"/>
        <v>1476.3920000000001</v>
      </c>
      <c r="AL68" s="245">
        <f t="shared" si="269"/>
        <v>1532.174</v>
      </c>
      <c r="AM68" s="234">
        <f t="shared" si="269"/>
        <v>1609.095</v>
      </c>
      <c r="AN68" s="236">
        <f t="shared" si="269"/>
        <v>1663.665</v>
      </c>
      <c r="AO68" s="211">
        <f t="shared" si="269"/>
        <v>1720.2439999999999</v>
      </c>
      <c r="AP68" s="211">
        <f t="shared" si="269"/>
        <v>1801.665</v>
      </c>
      <c r="AQ68" s="234">
        <f t="shared" si="269"/>
        <v>1905.4749999999999</v>
      </c>
      <c r="AR68" s="236">
        <f t="shared" ref="AR68:AW68" si="270">AR33</f>
        <v>1943.9690000000001</v>
      </c>
      <c r="AS68" s="211">
        <f t="shared" si="270"/>
        <v>2000</v>
      </c>
      <c r="AT68" s="211">
        <f t="shared" si="270"/>
        <v>2000.1</v>
      </c>
      <c r="AU68" s="234">
        <f t="shared" si="270"/>
        <v>2101.1</v>
      </c>
      <c r="AV68" s="236">
        <f>AV33</f>
        <v>2212.1999999999998</v>
      </c>
      <c r="AW68" s="211">
        <f t="shared" si="270"/>
        <v>2291.4</v>
      </c>
      <c r="AX68" s="211">
        <f t="shared" ref="AX68:BC68" si="271">AX33</f>
        <v>2389</v>
      </c>
      <c r="AY68" s="234">
        <f t="shared" si="271"/>
        <v>2532.4</v>
      </c>
      <c r="AZ68" s="236">
        <f t="shared" si="271"/>
        <v>2710.1</v>
      </c>
      <c r="BA68" s="211">
        <f t="shared" si="271"/>
        <v>2863.5</v>
      </c>
      <c r="BB68" s="211">
        <f t="shared" si="271"/>
        <v>3042</v>
      </c>
      <c r="BC68" s="234">
        <f t="shared" si="271"/>
        <v>3159.2</v>
      </c>
      <c r="BD68" s="236">
        <f t="shared" ref="BD68:BK68" si="272">BD33</f>
        <v>3482.6</v>
      </c>
      <c r="BE68" s="211">
        <f t="shared" si="272"/>
        <v>3543.3</v>
      </c>
      <c r="BF68" s="211">
        <f t="shared" si="272"/>
        <v>3514.3</v>
      </c>
      <c r="BG68" s="234">
        <f t="shared" si="272"/>
        <v>3541.4</v>
      </c>
      <c r="BH68" s="236">
        <f>BH33</f>
        <v>3660.3</v>
      </c>
      <c r="BI68" s="211">
        <f>BI33</f>
        <v>3791.8</v>
      </c>
      <c r="BJ68" s="245">
        <f t="shared" si="272"/>
        <v>3897.8</v>
      </c>
      <c r="BK68" s="924">
        <f t="shared" si="272"/>
        <v>4065.7</v>
      </c>
      <c r="BL68" s="236">
        <f t="shared" ref="BL68:BS68" si="273">BL33</f>
        <v>3900.5</v>
      </c>
      <c r="BM68" s="211">
        <f t="shared" si="273"/>
        <v>4073.4375732596013</v>
      </c>
      <c r="BN68" s="245">
        <f t="shared" si="273"/>
        <v>4234.7839501754434</v>
      </c>
      <c r="BO68" s="234">
        <f t="shared" si="273"/>
        <v>4462.204312686119</v>
      </c>
      <c r="BP68" s="236">
        <f t="shared" si="273"/>
        <v>4710.414421550242</v>
      </c>
      <c r="BQ68" s="211">
        <f t="shared" si="273"/>
        <v>4920.2688494738595</v>
      </c>
      <c r="BR68" s="245">
        <f t="shared" si="273"/>
        <v>5130.9455153380623</v>
      </c>
      <c r="BS68" s="234">
        <f t="shared" si="273"/>
        <v>5369.9940980874326</v>
      </c>
      <c r="BT68" s="236">
        <f t="shared" ref="BT68:BW68" si="274">BT33</f>
        <v>5626.2893867348976</v>
      </c>
      <c r="BU68" s="211">
        <f t="shared" si="274"/>
        <v>5859.6736402376719</v>
      </c>
      <c r="BV68" s="245">
        <f t="shared" si="274"/>
        <v>6098.7293028104505</v>
      </c>
      <c r="BW68" s="234">
        <f t="shared" si="274"/>
        <v>6369.4813499363718</v>
      </c>
      <c r="BX68" s="500"/>
      <c r="BY68" s="156">
        <f>G68</f>
        <v>673.17499999999995</v>
      </c>
      <c r="BZ68" s="141">
        <f>K68</f>
        <v>751.62300000000005</v>
      </c>
      <c r="CA68" s="141">
        <f>O68</f>
        <v>792.56399999999996</v>
      </c>
      <c r="CB68" s="141">
        <f>S68</f>
        <v>729.09299999999996</v>
      </c>
      <c r="CC68" s="141">
        <f>W68</f>
        <v>786.34699999999998</v>
      </c>
      <c r="CD68" s="141">
        <f>AA68</f>
        <v>944.21600000000001</v>
      </c>
      <c r="CE68" s="141">
        <f>AE68</f>
        <v>1108.779</v>
      </c>
      <c r="CF68" s="141">
        <f>AI68</f>
        <v>1316.596</v>
      </c>
      <c r="CG68" s="141">
        <f>AM68</f>
        <v>1609.095</v>
      </c>
      <c r="CH68" s="141">
        <f>AQ68</f>
        <v>1905.4749999999999</v>
      </c>
      <c r="CI68" s="141">
        <f>AU68</f>
        <v>2101.1</v>
      </c>
      <c r="CJ68" s="141">
        <f>AY68</f>
        <v>2532.4</v>
      </c>
      <c r="CK68" s="141">
        <f>BC68</f>
        <v>3159.2</v>
      </c>
      <c r="CL68" s="367">
        <f>CL33</f>
        <v>3541.4</v>
      </c>
      <c r="CM68" s="367">
        <f t="shared" ref="CM68:CZ68" si="275">CM33</f>
        <v>4065.7</v>
      </c>
      <c r="CN68" s="367">
        <f t="shared" si="275"/>
        <v>4462.204312686119</v>
      </c>
      <c r="CO68" s="367">
        <f>CO33</f>
        <v>5369.9940980874326</v>
      </c>
      <c r="CP68" s="368">
        <f>CP33</f>
        <v>6369.4813499363718</v>
      </c>
      <c r="CQ68" s="215"/>
      <c r="CR68" s="362">
        <f>CR33</f>
        <v>801.11300000000006</v>
      </c>
      <c r="CS68" s="363">
        <f>CS33</f>
        <v>746.92899999999997</v>
      </c>
      <c r="CT68" s="363">
        <f>CT33</f>
        <v>811.10199999999998</v>
      </c>
      <c r="CU68" s="363">
        <f t="shared" si="275"/>
        <v>974.27</v>
      </c>
      <c r="CV68" s="363">
        <f t="shared" si="275"/>
        <v>1146.896</v>
      </c>
      <c r="CW68" s="363">
        <f t="shared" si="275"/>
        <v>1411.4069999999999</v>
      </c>
      <c r="CX68" s="363">
        <f t="shared" si="275"/>
        <v>1663.665</v>
      </c>
      <c r="CY68" s="363">
        <f t="shared" si="275"/>
        <v>1943.9690000000001</v>
      </c>
      <c r="CZ68" s="368">
        <f t="shared" si="275"/>
        <v>2212.1999999999998</v>
      </c>
      <c r="DA68" s="363">
        <f t="shared" ref="DA68:DF68" si="276">DA33</f>
        <v>2710.1</v>
      </c>
      <c r="DB68" s="363">
        <f t="shared" si="276"/>
        <v>3482.6</v>
      </c>
      <c r="DC68" s="363">
        <f t="shared" si="276"/>
        <v>3660.3</v>
      </c>
      <c r="DD68" s="363">
        <f t="shared" si="276"/>
        <v>3900.5</v>
      </c>
      <c r="DE68" s="363">
        <f t="shared" si="276"/>
        <v>4710.414421550242</v>
      </c>
      <c r="DF68" s="364">
        <f t="shared" si="276"/>
        <v>5626.2893867348976</v>
      </c>
      <c r="DG68" s="110"/>
      <c r="DH68" s="110"/>
      <c r="DI68" s="110"/>
      <c r="DJ68" s="110"/>
      <c r="DK68"/>
      <c r="DL68"/>
      <c r="DM68"/>
      <c r="DN68"/>
      <c r="DO68"/>
      <c r="DP68"/>
    </row>
    <row r="69" spans="1:123" s="7" customFormat="1" ht="14.25">
      <c r="A69" s="3"/>
      <c r="B69" s="163" t="s">
        <v>135</v>
      </c>
      <c r="C69" s="164"/>
      <c r="D69" s="167">
        <f t="shared" ref="D69:X69" si="277">ROUND(D68,4)-ROUND(D66,4)</f>
        <v>0</v>
      </c>
      <c r="E69" s="165">
        <f t="shared" si="277"/>
        <v>0</v>
      </c>
      <c r="F69" s="165">
        <f t="shared" si="277"/>
        <v>0</v>
      </c>
      <c r="G69" s="165">
        <f t="shared" si="277"/>
        <v>0</v>
      </c>
      <c r="H69" s="167">
        <f t="shared" si="277"/>
        <v>0</v>
      </c>
      <c r="I69" s="165">
        <f t="shared" si="277"/>
        <v>0</v>
      </c>
      <c r="J69" s="165">
        <f t="shared" si="277"/>
        <v>0</v>
      </c>
      <c r="K69" s="165">
        <f t="shared" si="277"/>
        <v>0</v>
      </c>
      <c r="L69" s="167">
        <f t="shared" si="277"/>
        <v>0</v>
      </c>
      <c r="M69" s="165">
        <f t="shared" si="277"/>
        <v>0</v>
      </c>
      <c r="N69" s="165">
        <f t="shared" si="277"/>
        <v>0</v>
      </c>
      <c r="O69" s="165">
        <f t="shared" si="277"/>
        <v>0</v>
      </c>
      <c r="P69" s="167">
        <f t="shared" si="277"/>
        <v>0</v>
      </c>
      <c r="Q69" s="165">
        <f t="shared" si="277"/>
        <v>0</v>
      </c>
      <c r="R69" s="165">
        <f t="shared" si="277"/>
        <v>0</v>
      </c>
      <c r="S69" s="165">
        <f t="shared" si="277"/>
        <v>0</v>
      </c>
      <c r="T69" s="167">
        <f t="shared" si="277"/>
        <v>0</v>
      </c>
      <c r="U69" s="165">
        <f t="shared" si="277"/>
        <v>0</v>
      </c>
      <c r="V69" s="165">
        <f t="shared" si="277"/>
        <v>0</v>
      </c>
      <c r="W69" s="165">
        <f t="shared" si="277"/>
        <v>0</v>
      </c>
      <c r="X69" s="167">
        <f t="shared" si="277"/>
        <v>0</v>
      </c>
      <c r="Y69" s="165">
        <f t="shared" ref="Y69:CZ69" si="278">ROUND(Y68,4)-ROUND(Y66,4)</f>
        <v>0</v>
      </c>
      <c r="Z69" s="165">
        <f t="shared" si="278"/>
        <v>0</v>
      </c>
      <c r="AA69" s="165">
        <f t="shared" si="278"/>
        <v>0</v>
      </c>
      <c r="AB69" s="167">
        <f t="shared" si="278"/>
        <v>0</v>
      </c>
      <c r="AC69" s="165">
        <f t="shared" si="278"/>
        <v>0</v>
      </c>
      <c r="AD69" s="165">
        <f t="shared" si="278"/>
        <v>0</v>
      </c>
      <c r="AE69" s="166">
        <f t="shared" si="278"/>
        <v>0</v>
      </c>
      <c r="AF69" s="167">
        <f t="shared" si="278"/>
        <v>0</v>
      </c>
      <c r="AG69" s="165">
        <f t="shared" si="278"/>
        <v>0</v>
      </c>
      <c r="AH69" s="165">
        <f t="shared" si="278"/>
        <v>0</v>
      </c>
      <c r="AI69" s="165">
        <f t="shared" si="278"/>
        <v>0</v>
      </c>
      <c r="AJ69" s="461">
        <f t="shared" si="278"/>
        <v>0</v>
      </c>
      <c r="AK69" s="165">
        <f t="shared" si="278"/>
        <v>0</v>
      </c>
      <c r="AL69" s="165">
        <f t="shared" si="278"/>
        <v>0</v>
      </c>
      <c r="AM69" s="165">
        <f t="shared" si="278"/>
        <v>0</v>
      </c>
      <c r="AN69" s="167">
        <f t="shared" si="278"/>
        <v>0</v>
      </c>
      <c r="AO69" s="165">
        <f t="shared" si="278"/>
        <v>0</v>
      </c>
      <c r="AP69" s="165">
        <f t="shared" si="278"/>
        <v>0</v>
      </c>
      <c r="AQ69" s="165">
        <f t="shared" si="278"/>
        <v>0</v>
      </c>
      <c r="AR69" s="167">
        <f t="shared" si="278"/>
        <v>0</v>
      </c>
      <c r="AS69" s="165">
        <f t="shared" si="278"/>
        <v>0</v>
      </c>
      <c r="AT69" s="165">
        <f t="shared" si="278"/>
        <v>0</v>
      </c>
      <c r="AU69" s="165">
        <f t="shared" si="278"/>
        <v>0</v>
      </c>
      <c r="AV69" s="167">
        <f t="shared" si="278"/>
        <v>0</v>
      </c>
      <c r="AW69" s="165">
        <f>ROUND(AW68,4)-ROUND(AW66,4)</f>
        <v>0</v>
      </c>
      <c r="AX69" s="165">
        <f>ROUND(AX68,4)-ROUND(AX66,4)</f>
        <v>0</v>
      </c>
      <c r="AY69" s="165">
        <f>ROUND(AY68,4)-ROUND(AY66,4)</f>
        <v>0</v>
      </c>
      <c r="AZ69" s="167">
        <f>ROUND(AZ68,4)-ROUND(AZ66,4)</f>
        <v>0</v>
      </c>
      <c r="BA69" s="165">
        <f t="shared" ref="BA69:BF69" si="279">ROUND(BA68,4)-ROUND(BA66,4)</f>
        <v>0</v>
      </c>
      <c r="BB69" s="165">
        <f t="shared" si="279"/>
        <v>0</v>
      </c>
      <c r="BC69" s="165">
        <f t="shared" si="279"/>
        <v>0</v>
      </c>
      <c r="BD69" s="167">
        <f t="shared" si="279"/>
        <v>0</v>
      </c>
      <c r="BE69" s="165">
        <f t="shared" si="279"/>
        <v>0</v>
      </c>
      <c r="BF69" s="165">
        <f t="shared" si="279"/>
        <v>0</v>
      </c>
      <c r="BG69" s="165">
        <f>ROUND(BG68,4)-ROUND(BG66,4)</f>
        <v>0</v>
      </c>
      <c r="BH69" s="167">
        <f>ROUND(BH68,4)-ROUND(BH66,4)</f>
        <v>0</v>
      </c>
      <c r="BI69" s="165">
        <f>ROUND(BI68,4)-ROUND(BI66,4)</f>
        <v>0</v>
      </c>
      <c r="BJ69" s="165">
        <f t="shared" ref="BJ69:BO69" si="280">ROUND(BJ68,4)-ROUND(BJ66,4)</f>
        <v>0</v>
      </c>
      <c r="BK69" s="165">
        <f t="shared" ref="BK69" si="281">ROUND(BK68,4)-ROUND(BK66,4)</f>
        <v>0</v>
      </c>
      <c r="BL69" s="167">
        <f t="shared" si="280"/>
        <v>0</v>
      </c>
      <c r="BM69" s="165">
        <f t="shared" si="280"/>
        <v>0</v>
      </c>
      <c r="BN69" s="165">
        <f t="shared" si="280"/>
        <v>0</v>
      </c>
      <c r="BO69" s="165">
        <f t="shared" si="280"/>
        <v>0</v>
      </c>
      <c r="BP69" s="167">
        <f t="shared" ref="BP69:BW69" si="282">ROUND(BP68,4)-ROUND(BP66,4)</f>
        <v>0</v>
      </c>
      <c r="BQ69" s="165">
        <f t="shared" si="282"/>
        <v>0</v>
      </c>
      <c r="BR69" s="165">
        <f t="shared" si="282"/>
        <v>0</v>
      </c>
      <c r="BS69" s="165">
        <f t="shared" si="282"/>
        <v>0</v>
      </c>
      <c r="BT69" s="167">
        <f t="shared" si="282"/>
        <v>0</v>
      </c>
      <c r="BU69" s="165">
        <f t="shared" si="282"/>
        <v>0</v>
      </c>
      <c r="BV69" s="165">
        <f t="shared" si="282"/>
        <v>0</v>
      </c>
      <c r="BW69" s="165">
        <f t="shared" si="282"/>
        <v>0</v>
      </c>
      <c r="BX69" s="411"/>
      <c r="BY69" s="165">
        <f>ROUND(BY68,4)-ROUND(BY66,4)</f>
        <v>0</v>
      </c>
      <c r="BZ69" s="165">
        <f>ROUND(BZ68,4)-ROUND(BZ66,4)</f>
        <v>0</v>
      </c>
      <c r="CA69" s="165">
        <f>ROUND(CA68,4)-ROUND(CA66,4)</f>
        <v>0</v>
      </c>
      <c r="CB69" s="165">
        <f>ROUND(CB68,4)-ROUND(CB66,4)</f>
        <v>0</v>
      </c>
      <c r="CC69" s="165">
        <f>ROUND(CB68,4)-ROUND(CB66,4)</f>
        <v>0</v>
      </c>
      <c r="CD69" s="165">
        <f t="shared" si="278"/>
        <v>0</v>
      </c>
      <c r="CE69" s="165">
        <f t="shared" si="278"/>
        <v>0</v>
      </c>
      <c r="CF69" s="165">
        <f t="shared" si="278"/>
        <v>0</v>
      </c>
      <c r="CG69" s="165">
        <f t="shared" si="278"/>
        <v>0</v>
      </c>
      <c r="CH69" s="165">
        <f t="shared" si="278"/>
        <v>0</v>
      </c>
      <c r="CI69" s="165">
        <f t="shared" si="278"/>
        <v>0</v>
      </c>
      <c r="CJ69" s="165">
        <f t="shared" si="278"/>
        <v>0</v>
      </c>
      <c r="CK69" s="165">
        <f>ROUND(CK68,4)-ROUND(CK66,4)</f>
        <v>0</v>
      </c>
      <c r="CL69" s="165">
        <f t="shared" si="278"/>
        <v>0</v>
      </c>
      <c r="CM69" s="165">
        <f t="shared" si="278"/>
        <v>0</v>
      </c>
      <c r="CN69" s="165">
        <f t="shared" si="278"/>
        <v>0</v>
      </c>
      <c r="CO69" s="165">
        <f>ROUND(CO68,4)-ROUND(CO66,4)</f>
        <v>0</v>
      </c>
      <c r="CP69" s="165">
        <f>ROUND(CP68,4)-ROUND(CP66,4)</f>
        <v>0</v>
      </c>
      <c r="CQ69" s="131"/>
      <c r="CR69" s="165">
        <f>ROUND(CR68,4)-ROUND(CR66,4)</f>
        <v>0</v>
      </c>
      <c r="CS69" s="165">
        <f>ROUND(CS68,4)-ROUND(CS66,4)</f>
        <v>0</v>
      </c>
      <c r="CT69" s="165">
        <f>ROUND(CT68,4)-ROUND(CT66,4)</f>
        <v>0</v>
      </c>
      <c r="CU69" s="165">
        <f t="shared" si="278"/>
        <v>0</v>
      </c>
      <c r="CV69" s="165">
        <f t="shared" si="278"/>
        <v>0</v>
      </c>
      <c r="CW69" s="165">
        <f t="shared" si="278"/>
        <v>0</v>
      </c>
      <c r="CX69" s="165">
        <f t="shared" si="278"/>
        <v>0</v>
      </c>
      <c r="CY69" s="165">
        <f t="shared" si="278"/>
        <v>0</v>
      </c>
      <c r="CZ69" s="165">
        <f t="shared" si="278"/>
        <v>0</v>
      </c>
      <c r="DA69" s="165">
        <f t="shared" ref="DA69:DF69" si="283">ROUND(DA68,4)-ROUND(DA66,4)</f>
        <v>0</v>
      </c>
      <c r="DB69" s="165">
        <f t="shared" si="283"/>
        <v>0</v>
      </c>
      <c r="DC69" s="165">
        <f t="shared" si="283"/>
        <v>0</v>
      </c>
      <c r="DD69" s="165">
        <f t="shared" si="283"/>
        <v>0</v>
      </c>
      <c r="DE69" s="165">
        <f t="shared" si="283"/>
        <v>0</v>
      </c>
      <c r="DF69" s="166">
        <f t="shared" si="283"/>
        <v>0</v>
      </c>
      <c r="DG69" s="100"/>
      <c r="DH69" s="100"/>
      <c r="DI69" s="100"/>
      <c r="DJ69" s="100"/>
      <c r="DK69"/>
      <c r="DL69"/>
      <c r="DM69"/>
      <c r="DN69"/>
      <c r="DO69"/>
      <c r="DP69"/>
      <c r="DQ69" s="101"/>
      <c r="DR69" s="101"/>
    </row>
    <row r="70" spans="1:123" s="109" customFormat="1" ht="14.2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110"/>
      <c r="DH70" s="110"/>
      <c r="DI70" s="110"/>
      <c r="DJ70" s="110"/>
      <c r="DK70"/>
      <c r="DL70"/>
      <c r="DM70"/>
      <c r="DN70"/>
      <c r="DO70"/>
      <c r="DP70"/>
      <c r="DS70" s="3"/>
    </row>
    <row r="71" spans="1:123" s="109" customFormat="1" ht="14.2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216"/>
      <c r="AC71" s="21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217"/>
      <c r="CH71" s="217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110"/>
      <c r="DH71" s="110"/>
      <c r="DI71" s="110"/>
      <c r="DJ71" s="110"/>
      <c r="DK71"/>
      <c r="DL71"/>
      <c r="DM71"/>
      <c r="DN71"/>
      <c r="DO71"/>
      <c r="DP71"/>
      <c r="DS71" s="3"/>
    </row>
    <row r="72" spans="1:123" s="109" customFormat="1" ht="15">
      <c r="B72" s="170" t="s">
        <v>158</v>
      </c>
      <c r="C72" s="171"/>
      <c r="D72" s="11" t="str">
        <f t="shared" ref="D72:X72" si="284">D54</f>
        <v>F1Q03A</v>
      </c>
      <c r="E72" s="12" t="str">
        <f t="shared" si="284"/>
        <v>F2Q03A</v>
      </c>
      <c r="F72" s="12" t="str">
        <f t="shared" si="284"/>
        <v>F3Q03A</v>
      </c>
      <c r="G72" s="13" t="str">
        <f t="shared" si="284"/>
        <v>F4Q03A</v>
      </c>
      <c r="H72" s="12" t="str">
        <f t="shared" si="284"/>
        <v>F1Q04A</v>
      </c>
      <c r="I72" s="12" t="str">
        <f t="shared" si="284"/>
        <v>F2Q04A</v>
      </c>
      <c r="J72" s="12" t="str">
        <f t="shared" si="284"/>
        <v>F3Q04A</v>
      </c>
      <c r="K72" s="13" t="str">
        <f t="shared" si="284"/>
        <v>F4Q04A</v>
      </c>
      <c r="L72" s="12" t="str">
        <f t="shared" si="284"/>
        <v>F1Q05A</v>
      </c>
      <c r="M72" s="12" t="str">
        <f t="shared" si="284"/>
        <v>F2Q05A</v>
      </c>
      <c r="N72" s="12" t="str">
        <f t="shared" si="284"/>
        <v>F3Q05A</v>
      </c>
      <c r="O72" s="13" t="str">
        <f t="shared" si="284"/>
        <v>F4Q05A</v>
      </c>
      <c r="P72" s="12" t="str">
        <f t="shared" si="284"/>
        <v>F1Q06A</v>
      </c>
      <c r="Q72" s="12" t="str">
        <f t="shared" si="284"/>
        <v>F2Q06A</v>
      </c>
      <c r="R72" s="12" t="str">
        <f t="shared" si="284"/>
        <v>F3Q06A</v>
      </c>
      <c r="S72" s="13" t="str">
        <f t="shared" si="284"/>
        <v>F4Q06A</v>
      </c>
      <c r="T72" s="12" t="str">
        <f t="shared" si="284"/>
        <v>F1Q07A</v>
      </c>
      <c r="U72" s="12" t="str">
        <f t="shared" si="284"/>
        <v>F2Q07A</v>
      </c>
      <c r="V72" s="12" t="str">
        <f t="shared" si="284"/>
        <v>F3Q07A</v>
      </c>
      <c r="W72" s="13" t="str">
        <f t="shared" si="284"/>
        <v>F4Q07A</v>
      </c>
      <c r="X72" s="12" t="str">
        <f t="shared" si="284"/>
        <v>F1Q08A</v>
      </c>
      <c r="Y72" s="12" t="str">
        <f t="shared" ref="Y72:AW72" si="285">Y54</f>
        <v>F2Q08A</v>
      </c>
      <c r="Z72" s="12" t="str">
        <f t="shared" si="285"/>
        <v>F3Q08A</v>
      </c>
      <c r="AA72" s="13" t="str">
        <f t="shared" si="285"/>
        <v>F4Q08A</v>
      </c>
      <c r="AB72" s="12" t="str">
        <f t="shared" si="285"/>
        <v>F1Q09A</v>
      </c>
      <c r="AC72" s="12" t="str">
        <f t="shared" si="285"/>
        <v>F2Q09A</v>
      </c>
      <c r="AD72" s="12" t="str">
        <f t="shared" si="285"/>
        <v>F3Q09A</v>
      </c>
      <c r="AE72" s="12" t="str">
        <f t="shared" si="285"/>
        <v>F4Q09A</v>
      </c>
      <c r="AF72" s="11" t="str">
        <f t="shared" si="285"/>
        <v>F1Q10A</v>
      </c>
      <c r="AG72" s="12" t="str">
        <f t="shared" si="285"/>
        <v>F2Q10A</v>
      </c>
      <c r="AH72" s="12" t="str">
        <f t="shared" si="285"/>
        <v>F3Q10A</v>
      </c>
      <c r="AI72" s="12" t="str">
        <f t="shared" si="285"/>
        <v>F4Q10A</v>
      </c>
      <c r="AJ72" s="11" t="str">
        <f t="shared" si="285"/>
        <v>F1Q11A</v>
      </c>
      <c r="AK72" s="12" t="str">
        <f t="shared" si="285"/>
        <v>F2Q11A</v>
      </c>
      <c r="AL72" s="12" t="str">
        <f t="shared" si="285"/>
        <v>F3Q11A</v>
      </c>
      <c r="AM72" s="12" t="str">
        <f>AM54</f>
        <v>F4Q11A</v>
      </c>
      <c r="AN72" s="11" t="str">
        <f t="shared" si="285"/>
        <v>F1Q12A</v>
      </c>
      <c r="AO72" s="12" t="str">
        <f t="shared" si="285"/>
        <v>F2Q12A</v>
      </c>
      <c r="AP72" s="12" t="str">
        <f t="shared" si="285"/>
        <v>F3Q12A</v>
      </c>
      <c r="AQ72" s="12" t="str">
        <f t="shared" si="285"/>
        <v>F4Q12A</v>
      </c>
      <c r="AR72" s="11" t="str">
        <f t="shared" si="285"/>
        <v>F1Q13A</v>
      </c>
      <c r="AS72" s="12" t="str">
        <f t="shared" si="285"/>
        <v>F2Q13A</v>
      </c>
      <c r="AT72" s="12" t="str">
        <f t="shared" si="285"/>
        <v>F3Q13A</v>
      </c>
      <c r="AU72" s="12" t="str">
        <f t="shared" si="285"/>
        <v>F4Q13A</v>
      </c>
      <c r="AV72" s="11" t="str">
        <f t="shared" si="285"/>
        <v>F1Q14A</v>
      </c>
      <c r="AW72" s="12" t="str">
        <f t="shared" si="285"/>
        <v>F2Q14A</v>
      </c>
      <c r="AX72" s="12" t="str">
        <f t="shared" ref="AX72:BC72" si="286">AX54</f>
        <v>F3Q14A</v>
      </c>
      <c r="AY72" s="12" t="str">
        <f t="shared" si="286"/>
        <v>F4Q14A</v>
      </c>
      <c r="AZ72" s="11" t="str">
        <f t="shared" si="286"/>
        <v>F1Q15A</v>
      </c>
      <c r="BA72" s="12" t="str">
        <f t="shared" si="286"/>
        <v>F2Q15A</v>
      </c>
      <c r="BB72" s="12" t="str">
        <f t="shared" si="286"/>
        <v>F3Q15A</v>
      </c>
      <c r="BC72" s="12" t="str">
        <f t="shared" si="286"/>
        <v>F4Q15A</v>
      </c>
      <c r="BD72" s="11" t="str">
        <f t="shared" ref="BD72:BJ72" si="287">BD54</f>
        <v>F1Q16A</v>
      </c>
      <c r="BE72" s="12" t="str">
        <f t="shared" si="287"/>
        <v>F2Q16A</v>
      </c>
      <c r="BF72" s="12" t="str">
        <f t="shared" si="287"/>
        <v>F3Q16A</v>
      </c>
      <c r="BG72" s="12" t="str">
        <f t="shared" si="287"/>
        <v>F4Q16A</v>
      </c>
      <c r="BH72" s="11" t="str">
        <f>BH54</f>
        <v>F1Q17A</v>
      </c>
      <c r="BI72" s="858" t="str">
        <f>BI54</f>
        <v>F2Q17A</v>
      </c>
      <c r="BJ72" s="12" t="str">
        <f t="shared" si="287"/>
        <v>F3Q17A</v>
      </c>
      <c r="BK72" s="878" t="str">
        <f t="shared" ref="BK72" si="288">BK54</f>
        <v>F4Q17A</v>
      </c>
      <c r="BL72" s="12" t="str">
        <f t="shared" ref="BL72:BS72" si="289">BL54</f>
        <v>F1Q18A</v>
      </c>
      <c r="BM72" s="12" t="str">
        <f t="shared" si="289"/>
        <v>F2Q18E</v>
      </c>
      <c r="BN72" s="12" t="str">
        <f t="shared" si="289"/>
        <v>F3Q18E</v>
      </c>
      <c r="BO72" s="13" t="str">
        <f t="shared" si="289"/>
        <v>F4Q18E</v>
      </c>
      <c r="BP72" s="12" t="str">
        <f t="shared" si="289"/>
        <v>F1Q19E</v>
      </c>
      <c r="BQ72" s="12" t="str">
        <f t="shared" si="289"/>
        <v>F2Q19E</v>
      </c>
      <c r="BR72" s="12" t="str">
        <f t="shared" si="289"/>
        <v>F3Q19E</v>
      </c>
      <c r="BS72" s="13" t="str">
        <f t="shared" si="289"/>
        <v>F4Q19E</v>
      </c>
      <c r="BT72" s="878" t="str">
        <f t="shared" ref="BT72:BW72" si="290">BT54</f>
        <v>F1Q20E</v>
      </c>
      <c r="BU72" s="878" t="str">
        <f t="shared" si="290"/>
        <v>F2Q20E</v>
      </c>
      <c r="BV72" s="878" t="str">
        <f t="shared" si="290"/>
        <v>F3Q20E</v>
      </c>
      <c r="BW72" s="879" t="str">
        <f t="shared" si="290"/>
        <v>F4Q20E</v>
      </c>
      <c r="BX72" s="131"/>
      <c r="BY72" s="11" t="e">
        <f>BY54</f>
        <v>#NAME?</v>
      </c>
      <c r="BZ72" s="12" t="e">
        <f>BZ54</f>
        <v>#NAME?</v>
      </c>
      <c r="CA72" s="12" t="e">
        <f>CA54</f>
        <v>#NAME?</v>
      </c>
      <c r="CB72" s="12" t="e">
        <f>CB54</f>
        <v>#NAME?</v>
      </c>
      <c r="CC72" s="12" t="e">
        <f>CB54</f>
        <v>#NAME?</v>
      </c>
      <c r="CD72" s="12" t="e">
        <f>CD54</f>
        <v>#NAME?</v>
      </c>
      <c r="CE72" s="12" t="e">
        <f t="shared" ref="CE72:CN72" si="291">CE54</f>
        <v>#NAME?</v>
      </c>
      <c r="CF72" s="12" t="e">
        <f t="shared" si="291"/>
        <v>#NAME?</v>
      </c>
      <c r="CG72" s="12" t="e">
        <f t="shared" si="291"/>
        <v>#NAME?</v>
      </c>
      <c r="CH72" s="12" t="e">
        <f t="shared" si="291"/>
        <v>#NAME?</v>
      </c>
      <c r="CI72" s="357" t="str">
        <f t="shared" si="291"/>
        <v>FY2013A</v>
      </c>
      <c r="CJ72" s="714" t="str">
        <f t="shared" si="291"/>
        <v>FY2014A</v>
      </c>
      <c r="CK72" s="241" t="str">
        <f t="shared" si="291"/>
        <v>FY2015A</v>
      </c>
      <c r="CL72" s="241" t="str">
        <f t="shared" si="291"/>
        <v>FY2016A</v>
      </c>
      <c r="CM72" s="241" t="str">
        <f t="shared" si="291"/>
        <v>FY2017A</v>
      </c>
      <c r="CN72" s="241" t="str">
        <f t="shared" si="291"/>
        <v>FY2018E</v>
      </c>
      <c r="CO72" s="241" t="str">
        <f>CO54</f>
        <v>FY2019E</v>
      </c>
      <c r="CP72" s="357" t="str">
        <f>CP54</f>
        <v>FY2020E</v>
      </c>
      <c r="CQ72" s="131"/>
      <c r="CR72" s="11" t="str">
        <f>CR54</f>
        <v>CY2005</v>
      </c>
      <c r="CS72" s="12" t="str">
        <f>CS54</f>
        <v>CY2006</v>
      </c>
      <c r="CT72" s="12" t="str">
        <f>CT54</f>
        <v>CY2007</v>
      </c>
      <c r="CU72" s="12" t="str">
        <f t="shared" ref="CU72:CZ72" si="292">CU54</f>
        <v>CY2008</v>
      </c>
      <c r="CV72" s="12" t="str">
        <f t="shared" si="292"/>
        <v>CY2009</v>
      </c>
      <c r="CW72" s="12" t="str">
        <f t="shared" si="292"/>
        <v>CY2010</v>
      </c>
      <c r="CX72" s="12" t="str">
        <f t="shared" si="292"/>
        <v>CY2011</v>
      </c>
      <c r="CY72" s="12" t="str">
        <f t="shared" si="292"/>
        <v>CY2012</v>
      </c>
      <c r="CZ72" s="13" t="str">
        <f t="shared" si="292"/>
        <v>CY2013</v>
      </c>
      <c r="DA72" s="12" t="str">
        <f t="shared" ref="DA72:DF72" si="293">DA54</f>
        <v>CY2014</v>
      </c>
      <c r="DB72" s="12" t="str">
        <f t="shared" si="293"/>
        <v>CY2015</v>
      </c>
      <c r="DC72" s="12" t="str">
        <f t="shared" si="293"/>
        <v>CY2016</v>
      </c>
      <c r="DD72" s="878" t="str">
        <f t="shared" si="293"/>
        <v>CY2017</v>
      </c>
      <c r="DE72" s="878" t="str">
        <f t="shared" si="293"/>
        <v>CY2018</v>
      </c>
      <c r="DF72" s="879" t="str">
        <f t="shared" si="293"/>
        <v>CY2019</v>
      </c>
      <c r="DG72" s="110"/>
      <c r="DH72" s="110"/>
      <c r="DI72" s="110"/>
      <c r="DJ72" s="110"/>
      <c r="DK72"/>
      <c r="DL72"/>
      <c r="DM72"/>
      <c r="DN72"/>
      <c r="DO72"/>
      <c r="DP72"/>
      <c r="DS72" s="3"/>
    </row>
    <row r="73" spans="1:123" s="109" customFormat="1" ht="14.25">
      <c r="B73" s="14" t="str">
        <f>IS!B126</f>
        <v>Average Diluted Shares Non-GAAP</v>
      </c>
      <c r="C73" s="24"/>
      <c r="D73" s="218">
        <f>IS!D126</f>
        <v>137.89599999999999</v>
      </c>
      <c r="E73" s="218">
        <f>IS!E126</f>
        <v>138.14099999999999</v>
      </c>
      <c r="F73" s="218">
        <f>IS!F126</f>
        <v>138.72900000000001</v>
      </c>
      <c r="G73" s="219">
        <f>IS!G126</f>
        <v>142.49799999999999</v>
      </c>
      <c r="H73" s="218">
        <f>IS!H126</f>
        <v>150.99700000000001</v>
      </c>
      <c r="I73" s="218">
        <f>IS!I126</f>
        <v>149.39599999999999</v>
      </c>
      <c r="J73" s="218">
        <f>IS!J126</f>
        <v>155.274</v>
      </c>
      <c r="K73" s="219">
        <f>IS!K126</f>
        <v>157.58099999999999</v>
      </c>
      <c r="L73" s="218">
        <f>IS!L126</f>
        <v>158.905</v>
      </c>
      <c r="M73" s="218">
        <f>IS!M126</f>
        <v>158.435</v>
      </c>
      <c r="N73" s="218">
        <f>IS!N126</f>
        <v>158.68199999999999</v>
      </c>
      <c r="O73" s="219">
        <f>IS!O126</f>
        <v>159.803</v>
      </c>
      <c r="P73" s="218">
        <f>IS!P126</f>
        <v>158.827</v>
      </c>
      <c r="Q73" s="218">
        <f>IS!Q126</f>
        <v>159.62899999999999</v>
      </c>
      <c r="R73" s="218">
        <f>IS!R126</f>
        <v>160.876</v>
      </c>
      <c r="S73" s="219">
        <f>IS!S126</f>
        <v>160.27799999999999</v>
      </c>
      <c r="T73" s="218">
        <f>IS!T126</f>
        <v>162.88</v>
      </c>
      <c r="U73" s="218">
        <f>IS!U126</f>
        <v>161.97200000000001</v>
      </c>
      <c r="V73" s="218">
        <f>IS!V126</f>
        <v>160.03200000000001</v>
      </c>
      <c r="W73" s="219">
        <f>IS!W126</f>
        <v>167.006</v>
      </c>
      <c r="X73" s="218">
        <f>IS!X126</f>
        <v>162.83600000000001</v>
      </c>
      <c r="Y73" s="218">
        <f>IS!Y126</f>
        <v>162.982</v>
      </c>
      <c r="Z73" s="218">
        <f>IS!Z126</f>
        <v>164.649</v>
      </c>
      <c r="AA73" s="218">
        <f>IS!AA126</f>
        <v>164.755</v>
      </c>
      <c r="AB73" s="238">
        <f>IS!AB126</f>
        <v>165.18799999999999</v>
      </c>
      <c r="AC73" s="218">
        <f>IS!AC126</f>
        <v>165.99700000000001</v>
      </c>
      <c r="AD73" s="218">
        <f>IS!AD126</f>
        <v>169.52500000000001</v>
      </c>
      <c r="AE73" s="218">
        <f>IS!AE126</f>
        <v>177.12</v>
      </c>
      <c r="AF73" s="238">
        <f>IS!AF126</f>
        <v>179.404</v>
      </c>
      <c r="AG73" s="218">
        <f>IS!AG126</f>
        <v>182.92400000000001</v>
      </c>
      <c r="AH73" s="218">
        <f>IS!AH126</f>
        <v>183.88900000000001</v>
      </c>
      <c r="AI73" s="240">
        <f>IS!AI126</f>
        <v>184.73400000000001</v>
      </c>
      <c r="AJ73" s="238">
        <f>IS!AJ126</f>
        <v>188.541</v>
      </c>
      <c r="AK73" s="218">
        <f>IS!AK126</f>
        <v>191.96100000000001</v>
      </c>
      <c r="AL73" s="218">
        <f>IS!AL126</f>
        <v>191.38</v>
      </c>
      <c r="AM73" s="240">
        <f>IS!AM126</f>
        <v>190.786</v>
      </c>
      <c r="AN73" s="218">
        <f>IS!AN126</f>
        <v>189.68199999999999</v>
      </c>
      <c r="AO73" s="218">
        <f>IS!AO126</f>
        <v>191.01599999999999</v>
      </c>
      <c r="AP73" s="218">
        <f>IS!AP126</f>
        <v>192.45699999999999</v>
      </c>
      <c r="AQ73" s="240">
        <f>IS!AQ126</f>
        <v>194.22900000000001</v>
      </c>
      <c r="AR73" s="218">
        <f>IS!AR126</f>
        <v>194.001</v>
      </c>
      <c r="AS73" s="218">
        <f>IS!AS126</f>
        <v>193.1</v>
      </c>
      <c r="AT73" s="218">
        <f>IS!AT126</f>
        <v>191.2</v>
      </c>
      <c r="AU73" s="240">
        <f>IS!AU126</f>
        <v>190.3</v>
      </c>
      <c r="AV73" s="218">
        <f>IS!AV126</f>
        <v>191.2</v>
      </c>
      <c r="AW73" s="218">
        <f>IS!AW126</f>
        <v>192.2</v>
      </c>
      <c r="AX73" s="218">
        <f>IS!AX126</f>
        <v>193.2</v>
      </c>
      <c r="AY73" s="240">
        <f>IS!AY126</f>
        <v>193.8</v>
      </c>
      <c r="AZ73" s="218">
        <f>IS!AZ126</f>
        <v>194.2</v>
      </c>
      <c r="BA73" s="218">
        <f>IS!BA126</f>
        <v>195.2</v>
      </c>
      <c r="BB73" s="218">
        <f>IS!BB126</f>
        <v>195.4</v>
      </c>
      <c r="BC73" s="240">
        <f>IS!BC126</f>
        <v>194.9</v>
      </c>
      <c r="BD73" s="218">
        <f>IS!BD126</f>
        <v>194.7</v>
      </c>
      <c r="BE73" s="218">
        <f>IS!BE126</f>
        <v>193.3</v>
      </c>
      <c r="BF73" s="218">
        <f>IS!BF126</f>
        <v>191.7</v>
      </c>
      <c r="BG73" s="240">
        <f>IS!BG126</f>
        <v>188.8</v>
      </c>
      <c r="BH73" s="218">
        <f>IS!BH126</f>
        <v>187.3</v>
      </c>
      <c r="BI73" s="218">
        <f>IS!BI126</f>
        <v>187.1</v>
      </c>
      <c r="BJ73" s="218">
        <f>IS!BJ126</f>
        <v>186.6</v>
      </c>
      <c r="BK73" s="240">
        <f>IS!BK126</f>
        <v>185.7</v>
      </c>
      <c r="BL73" s="218">
        <f>IS!BL126</f>
        <v>185.5</v>
      </c>
      <c r="BM73" s="218">
        <f>IS!BM126</f>
        <v>185</v>
      </c>
      <c r="BN73" s="218">
        <f>IS!BN126</f>
        <v>184.25</v>
      </c>
      <c r="BO73" s="361">
        <f>IS!BO126</f>
        <v>183.5</v>
      </c>
      <c r="BP73" s="238">
        <f>IS!BP126</f>
        <v>182.75</v>
      </c>
      <c r="BQ73" s="218">
        <f>IS!BQ126</f>
        <v>182</v>
      </c>
      <c r="BR73" s="218">
        <f>IS!BR126</f>
        <v>181.25</v>
      </c>
      <c r="BS73" s="361">
        <f>IS!BS126</f>
        <v>180.5</v>
      </c>
      <c r="BT73" s="238">
        <f>IS!BT126</f>
        <v>179.75</v>
      </c>
      <c r="BU73" s="218">
        <f>IS!BU126</f>
        <v>179</v>
      </c>
      <c r="BV73" s="218">
        <f>IS!BV126</f>
        <v>178.25</v>
      </c>
      <c r="BW73" s="240">
        <f>IS!BW126</f>
        <v>177.5</v>
      </c>
      <c r="BX73" s="131"/>
      <c r="BY73" s="238">
        <f>IS!BY126</f>
        <v>139.31599999999997</v>
      </c>
      <c r="BZ73" s="361">
        <f>IS!BZ126</f>
        <v>169.66300000000001</v>
      </c>
      <c r="CA73" s="361">
        <f>IS!CA126</f>
        <v>182.738</v>
      </c>
      <c r="CB73" s="361">
        <f>IS!CB126</f>
        <v>180.83425</v>
      </c>
      <c r="CC73" s="361">
        <f>IS!CC126</f>
        <v>189.154</v>
      </c>
      <c r="CD73" s="361">
        <f>IS!CD126</f>
        <v>164.755</v>
      </c>
      <c r="CE73" s="361">
        <f>IS!CE126</f>
        <v>169.66300000000001</v>
      </c>
      <c r="CF73" s="361">
        <f>IS!CF126</f>
        <v>182.738</v>
      </c>
      <c r="CG73" s="361">
        <f>IS!CG126</f>
        <v>190.66700000000003</v>
      </c>
      <c r="CH73" s="361">
        <f>IS!CH126</f>
        <v>191.846</v>
      </c>
      <c r="CI73" s="361">
        <f>IS!CI126</f>
        <v>192.15024999999997</v>
      </c>
      <c r="CJ73" s="361">
        <f>IS!CJ126</f>
        <v>192.59999999999997</v>
      </c>
      <c r="CK73" s="361">
        <f>IS!CK126</f>
        <v>192.59999999999997</v>
      </c>
      <c r="CL73" s="361">
        <f>IS!CL126</f>
        <v>192.125</v>
      </c>
      <c r="CM73" s="361">
        <f>IS!CM126</f>
        <v>186.67500000000001</v>
      </c>
      <c r="CN73" s="361">
        <f>IS!CN126</f>
        <v>184.5625</v>
      </c>
      <c r="CO73" s="361">
        <f>IS!CO126</f>
        <v>181.625</v>
      </c>
      <c r="CP73" s="240">
        <f>IS!CP126</f>
        <v>178.625</v>
      </c>
      <c r="CQ73" s="131"/>
      <c r="CR73" s="238">
        <f>IS!CR126</f>
        <v>158.827</v>
      </c>
      <c r="CS73" s="361">
        <f>IS!CS126</f>
        <v>162.88</v>
      </c>
      <c r="CT73" s="361">
        <f>IS!CT126</f>
        <v>162.83600000000001</v>
      </c>
      <c r="CU73" s="361">
        <f>IS!CU126</f>
        <v>165.18799999999999</v>
      </c>
      <c r="CV73" s="361">
        <f>IS!CV126</f>
        <v>179.404</v>
      </c>
      <c r="CW73" s="361">
        <f>IS!CW126</f>
        <v>188.541</v>
      </c>
      <c r="CX73" s="361">
        <f>IS!CX126</f>
        <v>189.68199999999999</v>
      </c>
      <c r="CY73" s="361">
        <f>IS!CY126</f>
        <v>194.001</v>
      </c>
      <c r="CZ73" s="240">
        <f>IS!CZ126</f>
        <v>191.2</v>
      </c>
      <c r="DA73" s="361">
        <f>IS!DA126</f>
        <v>194.2</v>
      </c>
      <c r="DB73" s="361">
        <f>IS!DB126</f>
        <v>195.05</v>
      </c>
      <c r="DC73" s="361">
        <f>IS!DC126</f>
        <v>190.27499999999998</v>
      </c>
      <c r="DD73" s="361">
        <f>IS!DD126</f>
        <v>186.22499999999999</v>
      </c>
      <c r="DE73" s="361">
        <f>IS!DE126</f>
        <v>183.875</v>
      </c>
      <c r="DF73" s="240">
        <f>IS!DF126</f>
        <v>180.875</v>
      </c>
      <c r="DG73" s="110"/>
      <c r="DH73" s="110"/>
      <c r="DI73" s="110"/>
      <c r="DJ73" s="110"/>
      <c r="DK73"/>
      <c r="DL73"/>
      <c r="DM73"/>
      <c r="DN73"/>
      <c r="DO73"/>
      <c r="DP73"/>
      <c r="DS73" s="3"/>
    </row>
    <row r="74" spans="1:123" s="109" customFormat="1" ht="14.25">
      <c r="B74" s="14" t="s">
        <v>159</v>
      </c>
      <c r="C74" s="24"/>
      <c r="D74" s="442">
        <f t="shared" ref="D74:O74" si="294">D33/D73</f>
        <v>7.3848189940244833</v>
      </c>
      <c r="E74" s="442">
        <f t="shared" si="294"/>
        <v>7.3355557003351652</v>
      </c>
      <c r="F74" s="442">
        <f t="shared" si="294"/>
        <v>7.2794945541307143</v>
      </c>
      <c r="G74" s="444">
        <f t="shared" si="294"/>
        <v>4.7241013908967142</v>
      </c>
      <c r="H74" s="442">
        <f t="shared" si="294"/>
        <v>4.4983012907541209</v>
      </c>
      <c r="I74" s="442">
        <f t="shared" si="294"/>
        <v>4.5158103295938314</v>
      </c>
      <c r="J74" s="442">
        <f t="shared" si="294"/>
        <v>4.7238430129963804</v>
      </c>
      <c r="K74" s="444">
        <f t="shared" si="294"/>
        <v>4.7697565061777762</v>
      </c>
      <c r="L74" s="442">
        <f t="shared" si="294"/>
        <v>4.8511060067335832</v>
      </c>
      <c r="M74" s="442">
        <f t="shared" si="294"/>
        <v>4.897074510051441</v>
      </c>
      <c r="N74" s="442">
        <f t="shared" si="294"/>
        <v>4.9642177436634274</v>
      </c>
      <c r="O74" s="444">
        <f t="shared" si="294"/>
        <v>4.9596315463414324</v>
      </c>
      <c r="P74" s="442">
        <f t="shared" ref="P74:W74" si="295">P33/P73</f>
        <v>5.0439345955032842</v>
      </c>
      <c r="Q74" s="442">
        <f t="shared" si="295"/>
        <v>5.0765587706494433</v>
      </c>
      <c r="R74" s="442">
        <f t="shared" si="295"/>
        <v>5.0879683731569658</v>
      </c>
      <c r="S74" s="444">
        <f t="shared" si="295"/>
        <v>4.5489274884887507</v>
      </c>
      <c r="T74" s="442">
        <f t="shared" si="295"/>
        <v>4.585762524557957</v>
      </c>
      <c r="U74" s="442">
        <f t="shared" si="295"/>
        <v>4.5500827303484552</v>
      </c>
      <c r="V74" s="442">
        <f t="shared" si="295"/>
        <v>4.7201622175564877</v>
      </c>
      <c r="W74" s="444">
        <f t="shared" si="295"/>
        <v>4.7084955031555751</v>
      </c>
      <c r="X74" s="442">
        <f t="shared" ref="X74:AG74" si="296">X33/X73</f>
        <v>4.9810975459971987</v>
      </c>
      <c r="Y74" s="442">
        <f t="shared" si="296"/>
        <v>5.1382852094096281</v>
      </c>
      <c r="Z74" s="442">
        <f t="shared" si="296"/>
        <v>5.3348881560167385</v>
      </c>
      <c r="AA74" s="442">
        <f t="shared" si="296"/>
        <v>5.7310309247063822</v>
      </c>
      <c r="AB74" s="443">
        <f t="shared" si="296"/>
        <v>5.8979465820761803</v>
      </c>
      <c r="AC74" s="442">
        <f t="shared" si="296"/>
        <v>5.8972752519623839</v>
      </c>
      <c r="AD74" s="442">
        <f t="shared" si="296"/>
        <v>5.9861790296416455</v>
      </c>
      <c r="AE74" s="442">
        <f t="shared" si="296"/>
        <v>6.2600440379403794</v>
      </c>
      <c r="AF74" s="443">
        <f t="shared" si="296"/>
        <v>6.3928117544759315</v>
      </c>
      <c r="AG74" s="442">
        <f t="shared" si="296"/>
        <v>6.4674181627342504</v>
      </c>
      <c r="AH74" s="442">
        <f t="shared" ref="AH74:BB74" si="297">AH33/AH73</f>
        <v>6.6382763514946506</v>
      </c>
      <c r="AI74" s="444">
        <f t="shared" si="297"/>
        <v>7.1269825803587858</v>
      </c>
      <c r="AJ74" s="443">
        <f t="shared" si="297"/>
        <v>7.4859420497398439</v>
      </c>
      <c r="AK74" s="442">
        <f t="shared" si="297"/>
        <v>7.6911039221508535</v>
      </c>
      <c r="AL74" s="442">
        <f t="shared" si="297"/>
        <v>8.0059253840526701</v>
      </c>
      <c r="AM74" s="444">
        <f t="shared" si="297"/>
        <v>8.4340307989055798</v>
      </c>
      <c r="AN74" s="442">
        <f t="shared" si="297"/>
        <v>8.7708111470777403</v>
      </c>
      <c r="AO74" s="442">
        <f t="shared" si="297"/>
        <v>9.0057586799011595</v>
      </c>
      <c r="AP74" s="442">
        <f t="shared" si="297"/>
        <v>9.3613898169461223</v>
      </c>
      <c r="AQ74" s="444">
        <f t="shared" si="297"/>
        <v>9.8104556992004266</v>
      </c>
      <c r="AR74" s="442">
        <f t="shared" si="297"/>
        <v>10.02040711130355</v>
      </c>
      <c r="AS74" s="442">
        <f t="shared" si="297"/>
        <v>10.357327809425168</v>
      </c>
      <c r="AT74" s="442">
        <f t="shared" si="297"/>
        <v>10.460774058577407</v>
      </c>
      <c r="AU74" s="444">
        <f t="shared" si="297"/>
        <v>11.040987913820283</v>
      </c>
      <c r="AV74" s="442">
        <f t="shared" si="297"/>
        <v>11.570083682008368</v>
      </c>
      <c r="AW74" s="442">
        <f t="shared" si="297"/>
        <v>11.921956295525495</v>
      </c>
      <c r="AX74" s="442">
        <f t="shared" si="297"/>
        <v>12.365424430641824</v>
      </c>
      <c r="AY74" s="444">
        <f t="shared" si="297"/>
        <v>13.067079463364292</v>
      </c>
      <c r="AZ74" s="442">
        <f t="shared" si="297"/>
        <v>13.955200823892895</v>
      </c>
      <c r="BA74" s="442">
        <f t="shared" si="297"/>
        <v>14.669569672131148</v>
      </c>
      <c r="BB74" s="442">
        <f t="shared" si="297"/>
        <v>15.568065506653019</v>
      </c>
      <c r="BC74" s="444">
        <f t="shared" ref="BC74:BG74" si="298">BC33/BC73</f>
        <v>16.209338122113902</v>
      </c>
      <c r="BD74" s="442">
        <f t="shared" si="298"/>
        <v>17.887005649717516</v>
      </c>
      <c r="BE74" s="442">
        <f t="shared" si="298"/>
        <v>18.330574236937402</v>
      </c>
      <c r="BF74" s="442">
        <f t="shared" si="298"/>
        <v>18.332290036515392</v>
      </c>
      <c r="BG74" s="444">
        <f t="shared" si="298"/>
        <v>18.757415254237287</v>
      </c>
      <c r="BH74" s="442">
        <f>BH33/BH73</f>
        <v>19.542445274959956</v>
      </c>
      <c r="BI74" s="442">
        <f>BI33/BI73</f>
        <v>20.26616782469268</v>
      </c>
      <c r="BJ74" s="445">
        <f>BJ33/BJ73</f>
        <v>20.888531618435156</v>
      </c>
      <c r="BK74" s="444">
        <f t="shared" ref="BK74" si="299">BK33/BK73</f>
        <v>21.89391491653204</v>
      </c>
      <c r="BL74" s="442">
        <f t="shared" ref="BL74:BS74" si="300">BL33/BL73</f>
        <v>21.026954177897576</v>
      </c>
      <c r="BM74" s="442">
        <f t="shared" si="300"/>
        <v>22.018581477078925</v>
      </c>
      <c r="BN74" s="442">
        <f t="shared" si="300"/>
        <v>22.983902036230358</v>
      </c>
      <c r="BO74" s="445">
        <f t="shared" si="300"/>
        <v>24.317189714910729</v>
      </c>
      <c r="BP74" s="443">
        <f t="shared" si="300"/>
        <v>25.77518151327082</v>
      </c>
      <c r="BQ74" s="442">
        <f t="shared" si="300"/>
        <v>27.03444422787835</v>
      </c>
      <c r="BR74" s="442">
        <f t="shared" si="300"/>
        <v>28.308664912209998</v>
      </c>
      <c r="BS74" s="445">
        <f t="shared" si="300"/>
        <v>29.750659823199072</v>
      </c>
      <c r="BT74" s="443">
        <f t="shared" ref="BT74:BW74" si="301">BT33/BT73</f>
        <v>31.300636365701795</v>
      </c>
      <c r="BU74" s="442">
        <f t="shared" si="301"/>
        <v>32.735606928702076</v>
      </c>
      <c r="BV74" s="442">
        <f t="shared" si="301"/>
        <v>34.214470141994113</v>
      </c>
      <c r="BW74" s="444">
        <f t="shared" si="301"/>
        <v>35.884401971472514</v>
      </c>
      <c r="BX74" s="131"/>
      <c r="BY74" s="443">
        <f>BY33/BY73</f>
        <v>4.832000631657527</v>
      </c>
      <c r="BZ74" s="445">
        <f>BZ33/BZ73</f>
        <v>4.4300937741287143</v>
      </c>
      <c r="CA74" s="445">
        <f>CA33/CA73</f>
        <v>4.337160306011886</v>
      </c>
      <c r="CB74" s="445">
        <f>CB33/CB73</f>
        <v>4.0318302533950288</v>
      </c>
      <c r="CC74" s="445">
        <f>CB33/CB73</f>
        <v>4.0318302533950288</v>
      </c>
      <c r="CD74" s="445">
        <f>CD33/CD73</f>
        <v>5.7310309247063822</v>
      </c>
      <c r="CE74" s="445">
        <f t="shared" ref="CE74:CN74" si="302">CE33/CE73</f>
        <v>6.5351844538880011</v>
      </c>
      <c r="CF74" s="445">
        <f t="shared" si="302"/>
        <v>7.2048287712462651</v>
      </c>
      <c r="CG74" s="445">
        <f t="shared" si="302"/>
        <v>8.4392946865477487</v>
      </c>
      <c r="CH74" s="445">
        <f t="shared" si="302"/>
        <v>9.9323155030597459</v>
      </c>
      <c r="CI74" s="445">
        <f t="shared" si="302"/>
        <v>10.934672216143358</v>
      </c>
      <c r="CJ74" s="445">
        <f t="shared" si="302"/>
        <v>13.148494288681208</v>
      </c>
      <c r="CK74" s="445">
        <f t="shared" si="302"/>
        <v>16.402907580477677</v>
      </c>
      <c r="CL74" s="445">
        <f t="shared" si="302"/>
        <v>18.432791151594014</v>
      </c>
      <c r="CM74" s="445">
        <f t="shared" si="302"/>
        <v>21.77956341234766</v>
      </c>
      <c r="CN74" s="445">
        <f t="shared" si="302"/>
        <v>24.177199120547886</v>
      </c>
      <c r="CO74" s="445">
        <f>CO33/CO73</f>
        <v>29.566381820164803</v>
      </c>
      <c r="CP74" s="444">
        <f>CP33/CP73</f>
        <v>35.65839804023161</v>
      </c>
      <c r="CQ74" s="131"/>
      <c r="CR74" s="443">
        <f>CR33/CR73</f>
        <v>5.0439345955032842</v>
      </c>
      <c r="CS74" s="445">
        <f>CS33/CS73</f>
        <v>4.585762524557957</v>
      </c>
      <c r="CT74" s="445">
        <f>CT33/CT73</f>
        <v>4.9810975459971987</v>
      </c>
      <c r="CU74" s="445">
        <f t="shared" ref="CU74:CZ74" si="303">CU33/CU73</f>
        <v>5.8979465820761803</v>
      </c>
      <c r="CV74" s="445">
        <f t="shared" si="303"/>
        <v>6.3928117544759315</v>
      </c>
      <c r="CW74" s="445">
        <f t="shared" si="303"/>
        <v>7.4859420497398439</v>
      </c>
      <c r="CX74" s="445">
        <f t="shared" si="303"/>
        <v>8.7708111470777403</v>
      </c>
      <c r="CY74" s="445">
        <f t="shared" si="303"/>
        <v>10.02040711130355</v>
      </c>
      <c r="CZ74" s="444">
        <f t="shared" si="303"/>
        <v>11.570083682008368</v>
      </c>
      <c r="DA74" s="445">
        <f t="shared" ref="DA74:DF74" si="304">DA33/DA73</f>
        <v>13.955200823892895</v>
      </c>
      <c r="DB74" s="445">
        <f t="shared" si="304"/>
        <v>17.854908997692899</v>
      </c>
      <c r="DC74" s="445">
        <f t="shared" si="304"/>
        <v>19.236893969255028</v>
      </c>
      <c r="DD74" s="445">
        <f t="shared" si="304"/>
        <v>20.945093301114245</v>
      </c>
      <c r="DE74" s="445">
        <f t="shared" si="304"/>
        <v>25.617481558396964</v>
      </c>
      <c r="DF74" s="444">
        <f t="shared" si="304"/>
        <v>31.105953762183262</v>
      </c>
      <c r="DG74" s="110"/>
      <c r="DH74" s="110"/>
      <c r="DI74" s="110"/>
      <c r="DJ74" s="110"/>
      <c r="DK74"/>
      <c r="DL74"/>
      <c r="DM74"/>
      <c r="DN74"/>
      <c r="DO74"/>
      <c r="DP74"/>
      <c r="DS74" s="3"/>
    </row>
    <row r="75" spans="1:123" s="109" customFormat="1" ht="14.25">
      <c r="B75" s="14" t="s">
        <v>160</v>
      </c>
      <c r="C75" s="24"/>
      <c r="D75" s="221">
        <f t="shared" ref="D75:O75" si="305">(D33-(D17+D18))</f>
        <v>77.567999999999984</v>
      </c>
      <c r="E75" s="221">
        <f t="shared" si="305"/>
        <v>73.45799999999997</v>
      </c>
      <c r="F75" s="221">
        <f t="shared" si="305"/>
        <v>73.145999999999958</v>
      </c>
      <c r="G75" s="219">
        <f t="shared" si="305"/>
        <v>145.4799999999999</v>
      </c>
      <c r="H75" s="221">
        <f t="shared" si="305"/>
        <v>152.59500000000003</v>
      </c>
      <c r="I75" s="221">
        <f t="shared" si="305"/>
        <v>148.58799999999997</v>
      </c>
      <c r="J75" s="221">
        <f t="shared" si="305"/>
        <v>208.51700000000005</v>
      </c>
      <c r="K75" s="219">
        <f t="shared" si="305"/>
        <v>227.23500000000001</v>
      </c>
      <c r="L75" s="221">
        <f t="shared" si="305"/>
        <v>251.20400000000006</v>
      </c>
      <c r="M75" s="221">
        <f t="shared" si="305"/>
        <v>259.78600000000006</v>
      </c>
      <c r="N75" s="221">
        <f t="shared" si="305"/>
        <v>274.46799999999996</v>
      </c>
      <c r="O75" s="219">
        <f t="shared" si="305"/>
        <v>281.44499999999994</v>
      </c>
      <c r="P75" s="221">
        <f t="shared" ref="P75:W75" si="306">(P33-(P17+P18))</f>
        <v>291.94700000000006</v>
      </c>
      <c r="Q75" s="221">
        <f t="shared" si="306"/>
        <v>301.73599999999999</v>
      </c>
      <c r="R75" s="221">
        <f t="shared" si="306"/>
        <v>310.43800000000005</v>
      </c>
      <c r="S75" s="219">
        <f t="shared" si="306"/>
        <v>220.11799999999994</v>
      </c>
      <c r="T75" s="221">
        <f t="shared" si="306"/>
        <v>239.83399999999995</v>
      </c>
      <c r="U75" s="221">
        <f t="shared" si="306"/>
        <v>229.75599999999997</v>
      </c>
      <c r="V75" s="221">
        <f t="shared" si="306"/>
        <v>249.52499999999992</v>
      </c>
      <c r="W75" s="219">
        <f t="shared" si="306"/>
        <v>292.01499999999999</v>
      </c>
      <c r="X75" s="221">
        <f t="shared" ref="X75:AG75" si="307">(X33-(X17+X18))</f>
        <v>293.15300000000002</v>
      </c>
      <c r="Y75" s="221">
        <f t="shared" si="307"/>
        <v>322.95100000000002</v>
      </c>
      <c r="Z75" s="221">
        <f t="shared" si="307"/>
        <v>367.26600000000002</v>
      </c>
      <c r="AA75" s="221">
        <f t="shared" si="307"/>
        <v>440.79900000000004</v>
      </c>
      <c r="AB75" s="220">
        <f t="shared" si="307"/>
        <v>470.78199999999998</v>
      </c>
      <c r="AC75" s="221">
        <f t="shared" si="307"/>
        <v>476.68799999999993</v>
      </c>
      <c r="AD75" s="221">
        <f t="shared" si="307"/>
        <v>503.85199999999998</v>
      </c>
      <c r="AE75" s="221">
        <f t="shared" si="307"/>
        <v>607.64100000000008</v>
      </c>
      <c r="AF75" s="220">
        <f t="shared" si="307"/>
        <v>647.25900000000001</v>
      </c>
      <c r="AG75" s="221">
        <f t="shared" si="307"/>
        <v>682.90900000000011</v>
      </c>
      <c r="AH75" s="221">
        <f t="shared" ref="AH75:AW75" si="308">(AH33-(AH17+AH18))</f>
        <v>721.33899999999994</v>
      </c>
      <c r="AI75" s="219">
        <f t="shared" si="308"/>
        <v>818.5</v>
      </c>
      <c r="AJ75" s="220">
        <f t="shared" si="308"/>
        <v>910.60599999999999</v>
      </c>
      <c r="AK75" s="221">
        <f t="shared" si="308"/>
        <v>977.33</v>
      </c>
      <c r="AL75" s="221">
        <f t="shared" si="308"/>
        <v>763.178</v>
      </c>
      <c r="AM75" s="219">
        <f>(AM33-(AM17+AM18))</f>
        <v>859.24599999999998</v>
      </c>
      <c r="AN75" s="221">
        <f t="shared" si="308"/>
        <v>919.44200000000001</v>
      </c>
      <c r="AO75" s="221">
        <f t="shared" si="308"/>
        <v>806.32399999999996</v>
      </c>
      <c r="AP75" s="221">
        <f t="shared" si="308"/>
        <v>893.75799999999992</v>
      </c>
      <c r="AQ75" s="219">
        <f t="shared" si="308"/>
        <v>1010.9519999999999</v>
      </c>
      <c r="AR75" s="221">
        <f t="shared" si="308"/>
        <v>1057.6019999999999</v>
      </c>
      <c r="AS75" s="221">
        <f t="shared" si="308"/>
        <v>1121</v>
      </c>
      <c r="AT75" s="221">
        <f t="shared" si="308"/>
        <v>1128.0999999999999</v>
      </c>
      <c r="AU75" s="219">
        <f t="shared" si="308"/>
        <v>1235.8</v>
      </c>
      <c r="AV75" s="221">
        <f t="shared" si="308"/>
        <v>1353.3999999999999</v>
      </c>
      <c r="AW75" s="221">
        <f t="shared" si="308"/>
        <v>1438.9</v>
      </c>
      <c r="AX75" s="221">
        <f t="shared" ref="AX75:BC75" si="309">(AX33-(AX17+AX18))</f>
        <v>1542.2</v>
      </c>
      <c r="AY75" s="219">
        <f t="shared" si="309"/>
        <v>1606.4</v>
      </c>
      <c r="AZ75" s="221">
        <f t="shared" si="309"/>
        <v>1792.6</v>
      </c>
      <c r="BA75" s="221">
        <f t="shared" si="309"/>
        <v>1954.3</v>
      </c>
      <c r="BB75" s="221">
        <f t="shared" si="309"/>
        <v>2134</v>
      </c>
      <c r="BC75" s="219">
        <f t="shared" si="309"/>
        <v>2257.5</v>
      </c>
      <c r="BD75" s="221">
        <f t="shared" ref="BD75:BG75" si="310">(BD33-(BD17+BD18))</f>
        <v>2589.2999999999997</v>
      </c>
      <c r="BE75" s="221">
        <f t="shared" si="310"/>
        <v>2649.6000000000004</v>
      </c>
      <c r="BF75" s="221">
        <f t="shared" si="310"/>
        <v>2543.3000000000002</v>
      </c>
      <c r="BG75" s="219">
        <f t="shared" si="310"/>
        <v>2601.1000000000004</v>
      </c>
      <c r="BH75" s="221">
        <f>(BH33-(BH17+BH18))</f>
        <v>2705</v>
      </c>
      <c r="BI75" s="221">
        <f>(BI33-(BI17+BI18))</f>
        <v>2842.1000000000004</v>
      </c>
      <c r="BJ75" s="218">
        <f>(BJ33-(BJ17+BJ18))</f>
        <v>2955.2000000000003</v>
      </c>
      <c r="BK75" s="219">
        <f t="shared" ref="BK75" si="311">(BK33-(BK17+BK18))</f>
        <v>3114.8999999999996</v>
      </c>
      <c r="BL75" s="221">
        <f t="shared" ref="BL75:BS75" si="312">(BL33-(BL17+BL18))</f>
        <v>2949.3</v>
      </c>
      <c r="BM75" s="221">
        <f t="shared" si="312"/>
        <v>3122.237573259601</v>
      </c>
      <c r="BN75" s="221">
        <f t="shared" si="312"/>
        <v>3283.5839501754435</v>
      </c>
      <c r="BO75" s="218">
        <f t="shared" si="312"/>
        <v>3511.0043126861192</v>
      </c>
      <c r="BP75" s="220">
        <f t="shared" si="312"/>
        <v>3759.2144215502422</v>
      </c>
      <c r="BQ75" s="221">
        <f t="shared" si="312"/>
        <v>3969.0688494738597</v>
      </c>
      <c r="BR75" s="221">
        <f t="shared" si="312"/>
        <v>4179.7455153380624</v>
      </c>
      <c r="BS75" s="218">
        <f t="shared" si="312"/>
        <v>4418.7940980874328</v>
      </c>
      <c r="BT75" s="220">
        <f t="shared" ref="BT75:BW75" si="313">(BT33-(BT17+BT18))</f>
        <v>4675.0893867348977</v>
      </c>
      <c r="BU75" s="221">
        <f t="shared" si="313"/>
        <v>4908.473640237672</v>
      </c>
      <c r="BV75" s="221">
        <f t="shared" si="313"/>
        <v>5147.5293028104506</v>
      </c>
      <c r="BW75" s="219">
        <f t="shared" si="313"/>
        <v>5418.281349936372</v>
      </c>
      <c r="BX75" s="131"/>
      <c r="BY75" s="220">
        <f>(BY33-(BY17+BY18))</f>
        <v>145.4799999999999</v>
      </c>
      <c r="BZ75" s="218">
        <f>(BZ33-(BZ17+BZ18))</f>
        <v>227.23500000000001</v>
      </c>
      <c r="CA75" s="218">
        <f>(CA33-(CA17+CA18))</f>
        <v>281.44499999999994</v>
      </c>
      <c r="CB75" s="218">
        <f>(CB33-(CB17+CB18))</f>
        <v>220.11799999999994</v>
      </c>
      <c r="CC75" s="218">
        <f>(CB33-(CB17+CB18))</f>
        <v>220.11799999999994</v>
      </c>
      <c r="CD75" s="218">
        <f t="shared" ref="CD75:CN75" si="314">(CD33-(CD17+CD18))</f>
        <v>440.79900000000004</v>
      </c>
      <c r="CE75" s="218">
        <f t="shared" si="314"/>
        <v>607.64100000000008</v>
      </c>
      <c r="CF75" s="218">
        <f t="shared" si="314"/>
        <v>818.5</v>
      </c>
      <c r="CG75" s="218">
        <f t="shared" si="314"/>
        <v>859.24599999999998</v>
      </c>
      <c r="CH75" s="218">
        <f t="shared" si="314"/>
        <v>1010.9519999999999</v>
      </c>
      <c r="CI75" s="218">
        <f t="shared" si="314"/>
        <v>1235.8</v>
      </c>
      <c r="CJ75" s="218">
        <f t="shared" si="314"/>
        <v>1606.4</v>
      </c>
      <c r="CK75" s="218">
        <f t="shared" si="314"/>
        <v>2257.5</v>
      </c>
      <c r="CL75" s="218">
        <f t="shared" si="314"/>
        <v>2601.1000000000004</v>
      </c>
      <c r="CM75" s="218">
        <f t="shared" si="314"/>
        <v>3114.8999999999996</v>
      </c>
      <c r="CN75" s="218">
        <f t="shared" si="314"/>
        <v>3511.0043126861192</v>
      </c>
      <c r="CO75" s="218">
        <f>(CO33-(CO17+CO18))</f>
        <v>4418.7940980874328</v>
      </c>
      <c r="CP75" s="219">
        <f>(CP33-(CP17+CP18))</f>
        <v>5418.281349936372</v>
      </c>
      <c r="CQ75" s="131"/>
      <c r="CR75" s="220">
        <f>(CR33-(CR17+CR18))</f>
        <v>291.94700000000006</v>
      </c>
      <c r="CS75" s="218">
        <f>(CS33-(CS17+CS18))</f>
        <v>239.83399999999995</v>
      </c>
      <c r="CT75" s="218">
        <f>(CT33-(CT17+CT18))</f>
        <v>293.15300000000002</v>
      </c>
      <c r="CU75" s="218">
        <f t="shared" ref="CU75:CZ75" si="315">(CU33-(CU17+CU18))</f>
        <v>470.78199999999998</v>
      </c>
      <c r="CV75" s="218">
        <f t="shared" si="315"/>
        <v>647.25900000000001</v>
      </c>
      <c r="CW75" s="218">
        <f t="shared" si="315"/>
        <v>910.60599999999999</v>
      </c>
      <c r="CX75" s="218">
        <f t="shared" si="315"/>
        <v>919.44200000000001</v>
      </c>
      <c r="CY75" s="218">
        <f t="shared" si="315"/>
        <v>1057.6019999999999</v>
      </c>
      <c r="CZ75" s="219">
        <f t="shared" si="315"/>
        <v>1353.3999999999999</v>
      </c>
      <c r="DA75" s="218">
        <f t="shared" ref="DA75:DF75" si="316">(DA33-(DA17+DA18))</f>
        <v>1792.6</v>
      </c>
      <c r="DB75" s="218">
        <f t="shared" si="316"/>
        <v>2589.2999999999997</v>
      </c>
      <c r="DC75" s="218">
        <f t="shared" si="316"/>
        <v>2705</v>
      </c>
      <c r="DD75" s="218">
        <f t="shared" si="316"/>
        <v>2949.3</v>
      </c>
      <c r="DE75" s="218">
        <f t="shared" si="316"/>
        <v>3759.2144215502422</v>
      </c>
      <c r="DF75" s="219">
        <f t="shared" si="316"/>
        <v>4675.0893867348977</v>
      </c>
      <c r="DG75" s="110"/>
      <c r="DH75" s="110"/>
      <c r="DI75" s="110"/>
      <c r="DJ75" s="110"/>
      <c r="DK75"/>
      <c r="DL75"/>
      <c r="DM75"/>
      <c r="DN75"/>
      <c r="DO75"/>
      <c r="DP75"/>
      <c r="DS75" s="3"/>
    </row>
    <row r="76" spans="1:123" s="109" customFormat="1" ht="14.25">
      <c r="B76" s="14" t="s">
        <v>161</v>
      </c>
      <c r="C76" s="24"/>
      <c r="D76" s="221">
        <f t="shared" ref="D76:O76" si="317">D75/D73</f>
        <v>0.56251087776295172</v>
      </c>
      <c r="E76" s="221">
        <f t="shared" si="317"/>
        <v>0.53176102677698855</v>
      </c>
      <c r="F76" s="221">
        <f t="shared" si="317"/>
        <v>0.527258179616374</v>
      </c>
      <c r="G76" s="219">
        <f t="shared" si="317"/>
        <v>1.020926609496273</v>
      </c>
      <c r="H76" s="221">
        <f t="shared" si="317"/>
        <v>1.0105829917150673</v>
      </c>
      <c r="I76" s="221">
        <f t="shared" si="317"/>
        <v>0.99459155532945986</v>
      </c>
      <c r="J76" s="221">
        <f t="shared" si="317"/>
        <v>1.3428970722722418</v>
      </c>
      <c r="K76" s="219">
        <f t="shared" si="317"/>
        <v>1.4420202943248237</v>
      </c>
      <c r="L76" s="221">
        <f t="shared" si="317"/>
        <v>1.5808439004436616</v>
      </c>
      <c r="M76" s="221">
        <f t="shared" si="317"/>
        <v>1.6397008236816364</v>
      </c>
      <c r="N76" s="221">
        <f t="shared" si="317"/>
        <v>1.7296731828436747</v>
      </c>
      <c r="O76" s="219">
        <f t="shared" si="317"/>
        <v>1.7611997271640705</v>
      </c>
      <c r="P76" s="221">
        <f t="shared" ref="P76:W76" si="318">P75/P73</f>
        <v>1.8381446479502859</v>
      </c>
      <c r="Q76" s="221">
        <f t="shared" si="318"/>
        <v>1.8902329777170814</v>
      </c>
      <c r="R76" s="221">
        <f t="shared" si="318"/>
        <v>1.9296725428280168</v>
      </c>
      <c r="S76" s="219">
        <f t="shared" si="318"/>
        <v>1.3733513021125792</v>
      </c>
      <c r="T76" s="221">
        <f t="shared" si="318"/>
        <v>1.4724582514734772</v>
      </c>
      <c r="U76" s="221">
        <f t="shared" si="318"/>
        <v>1.4184920850517371</v>
      </c>
      <c r="V76" s="221">
        <f t="shared" si="318"/>
        <v>1.5592194061187756</v>
      </c>
      <c r="W76" s="219">
        <f t="shared" si="318"/>
        <v>1.7485299929343856</v>
      </c>
      <c r="X76" s="221">
        <f t="shared" ref="X76:AG76" si="319">X75/X73</f>
        <v>1.8002960033407847</v>
      </c>
      <c r="Y76" s="221">
        <f t="shared" si="319"/>
        <v>1.9815132959467918</v>
      </c>
      <c r="Z76" s="221">
        <f t="shared" si="319"/>
        <v>2.2305996392325493</v>
      </c>
      <c r="AA76" s="221">
        <f t="shared" si="319"/>
        <v>2.6754817759703804</v>
      </c>
      <c r="AB76" s="220">
        <f t="shared" si="319"/>
        <v>2.849976995907693</v>
      </c>
      <c r="AC76" s="221">
        <f t="shared" si="319"/>
        <v>2.8716663554160613</v>
      </c>
      <c r="AD76" s="221">
        <f t="shared" si="319"/>
        <v>2.972139802389028</v>
      </c>
      <c r="AE76" s="221">
        <f t="shared" si="319"/>
        <v>3.4306741192411927</v>
      </c>
      <c r="AF76" s="220">
        <f t="shared" si="319"/>
        <v>3.6078292568727566</v>
      </c>
      <c r="AG76" s="221">
        <f t="shared" si="319"/>
        <v>3.733293608274475</v>
      </c>
      <c r="AH76" s="221">
        <f t="shared" ref="AH76:BB76" si="320">AH75/AH73</f>
        <v>3.9226870557782134</v>
      </c>
      <c r="AI76" s="219">
        <f t="shared" si="320"/>
        <v>4.4306949451643982</v>
      </c>
      <c r="AJ76" s="220">
        <f t="shared" si="320"/>
        <v>4.8297505582340179</v>
      </c>
      <c r="AK76" s="221">
        <f t="shared" si="320"/>
        <v>5.0912945858794236</v>
      </c>
      <c r="AL76" s="221">
        <f t="shared" si="320"/>
        <v>3.9877625666213818</v>
      </c>
      <c r="AM76" s="219">
        <f t="shared" si="320"/>
        <v>4.5037162055916049</v>
      </c>
      <c r="AN76" s="221">
        <f t="shared" si="320"/>
        <v>4.8472812391265387</v>
      </c>
      <c r="AO76" s="221">
        <f t="shared" si="320"/>
        <v>4.2212380114754788</v>
      </c>
      <c r="AP76" s="221">
        <f t="shared" si="320"/>
        <v>4.643936048052292</v>
      </c>
      <c r="AQ76" s="219">
        <f t="shared" si="320"/>
        <v>5.2049487975534028</v>
      </c>
      <c r="AR76" s="221">
        <f t="shared" si="320"/>
        <v>5.4515286003680385</v>
      </c>
      <c r="AS76" s="221">
        <f t="shared" si="320"/>
        <v>5.8052822371828068</v>
      </c>
      <c r="AT76" s="221">
        <f t="shared" si="320"/>
        <v>5.90010460251046</v>
      </c>
      <c r="AU76" s="219">
        <f t="shared" si="320"/>
        <v>6.4939569101418808</v>
      </c>
      <c r="AV76" s="221">
        <f t="shared" si="320"/>
        <v>7.0784518828451883</v>
      </c>
      <c r="AW76" s="221">
        <f t="shared" si="320"/>
        <v>7.4864724245577534</v>
      </c>
      <c r="AX76" s="221">
        <f t="shared" si="320"/>
        <v>7.9824016563147007</v>
      </c>
      <c r="AY76" s="219">
        <f t="shared" si="320"/>
        <v>8.2889576883384937</v>
      </c>
      <c r="AZ76" s="221">
        <f t="shared" si="320"/>
        <v>9.2306900102986607</v>
      </c>
      <c r="BA76" s="221">
        <f t="shared" si="320"/>
        <v>10.011782786885247</v>
      </c>
      <c r="BB76" s="221">
        <f t="shared" si="320"/>
        <v>10.921187308085978</v>
      </c>
      <c r="BC76" s="219">
        <f t="shared" ref="BC76:BG76" si="321">BC75/BC73</f>
        <v>11.582863006670086</v>
      </c>
      <c r="BD76" s="221">
        <f t="shared" si="321"/>
        <v>13.298921417565484</v>
      </c>
      <c r="BE76" s="221">
        <f t="shared" si="321"/>
        <v>13.707190894981894</v>
      </c>
      <c r="BF76" s="221">
        <f t="shared" si="321"/>
        <v>13.267083985393846</v>
      </c>
      <c r="BG76" s="219">
        <f t="shared" si="321"/>
        <v>13.777012711864408</v>
      </c>
      <c r="BH76" s="221">
        <f>BH75/BH73</f>
        <v>14.442071542979177</v>
      </c>
      <c r="BI76" s="221">
        <f>BI75/BI73</f>
        <v>15.190272581507218</v>
      </c>
      <c r="BJ76" s="218">
        <f>BJ75/BJ73</f>
        <v>15.837084673097538</v>
      </c>
      <c r="BK76" s="219">
        <f t="shared" ref="BK76" si="322">BK75/BK73</f>
        <v>16.773828756058158</v>
      </c>
      <c r="BL76" s="221">
        <f t="shared" ref="BL76:BS76" si="323">BL75/BL73</f>
        <v>15.899191374663074</v>
      </c>
      <c r="BM76" s="221">
        <f t="shared" si="323"/>
        <v>16.876959855457304</v>
      </c>
      <c r="BN76" s="221">
        <f t="shared" si="323"/>
        <v>17.821351154276492</v>
      </c>
      <c r="BO76" s="218">
        <f t="shared" si="323"/>
        <v>19.133538488752695</v>
      </c>
      <c r="BP76" s="220">
        <f t="shared" si="323"/>
        <v>20.570256752668904</v>
      </c>
      <c r="BQ76" s="221">
        <f t="shared" si="323"/>
        <v>21.808070601504724</v>
      </c>
      <c r="BR76" s="221">
        <f t="shared" si="323"/>
        <v>23.060664912210001</v>
      </c>
      <c r="BS76" s="218">
        <f t="shared" si="323"/>
        <v>24.480853729016246</v>
      </c>
      <c r="BT76" s="220">
        <f t="shared" ref="BT76:BW76" si="324">BT75/BT73</f>
        <v>26.008842207148248</v>
      </c>
      <c r="BU76" s="221">
        <f t="shared" si="324"/>
        <v>27.42164044825515</v>
      </c>
      <c r="BV76" s="221">
        <f t="shared" si="324"/>
        <v>28.878144756299864</v>
      </c>
      <c r="BW76" s="219">
        <f t="shared" si="324"/>
        <v>30.525528732035898</v>
      </c>
      <c r="BX76" s="131"/>
      <c r="BY76" s="220">
        <f>BY75/BY73</f>
        <v>1.0442447385799185</v>
      </c>
      <c r="BZ76" s="218">
        <f>BZ75/BZ73</f>
        <v>1.3393314983231466</v>
      </c>
      <c r="CA76" s="218">
        <f>CA75/CA73</f>
        <v>1.5401558515470233</v>
      </c>
      <c r="CB76" s="218">
        <f>CB75/CB73</f>
        <v>1.2172362259914808</v>
      </c>
      <c r="CC76" s="218">
        <f>CB75/CB73</f>
        <v>1.2172362259914808</v>
      </c>
      <c r="CD76" s="218">
        <f>CD75/CD73</f>
        <v>2.6754817759703804</v>
      </c>
      <c r="CE76" s="218">
        <f t="shared" ref="CE76:CN76" si="325">CE75/CE73</f>
        <v>3.5814585383967041</v>
      </c>
      <c r="CF76" s="218">
        <f t="shared" si="325"/>
        <v>4.4790902822620362</v>
      </c>
      <c r="CG76" s="218">
        <f t="shared" si="325"/>
        <v>4.5065270864911069</v>
      </c>
      <c r="CH76" s="218">
        <f t="shared" si="325"/>
        <v>5.2696016596645219</v>
      </c>
      <c r="CI76" s="218">
        <f t="shared" si="325"/>
        <v>6.4314254079815152</v>
      </c>
      <c r="CJ76" s="218">
        <f t="shared" si="325"/>
        <v>8.3406022845275203</v>
      </c>
      <c r="CK76" s="218">
        <f t="shared" si="325"/>
        <v>11.721183800623056</v>
      </c>
      <c r="CL76" s="218">
        <f t="shared" si="325"/>
        <v>13.538581652569944</v>
      </c>
      <c r="CM76" s="218">
        <f t="shared" si="325"/>
        <v>16.686219365206906</v>
      </c>
      <c r="CN76" s="218">
        <f t="shared" si="325"/>
        <v>19.023389435481853</v>
      </c>
      <c r="CO76" s="218">
        <f>CO75/CO73</f>
        <v>24.329217332897084</v>
      </c>
      <c r="CP76" s="219">
        <f>CP75/CP73</f>
        <v>30.333275576970593</v>
      </c>
      <c r="CQ76" s="131"/>
      <c r="CR76" s="220">
        <f>CR75/CR73</f>
        <v>1.8381446479502859</v>
      </c>
      <c r="CS76" s="218">
        <f>CS75/CS73</f>
        <v>1.4724582514734772</v>
      </c>
      <c r="CT76" s="218">
        <f>CT75/CT73</f>
        <v>1.8002960033407847</v>
      </c>
      <c r="CU76" s="218">
        <f t="shared" ref="CU76:CZ76" si="326">CU75/CU73</f>
        <v>2.849976995907693</v>
      </c>
      <c r="CV76" s="218">
        <f t="shared" si="326"/>
        <v>3.6078292568727566</v>
      </c>
      <c r="CW76" s="218">
        <f t="shared" si="326"/>
        <v>4.8297505582340179</v>
      </c>
      <c r="CX76" s="218">
        <f t="shared" si="326"/>
        <v>4.8472812391265387</v>
      </c>
      <c r="CY76" s="218">
        <f t="shared" si="326"/>
        <v>5.4515286003680385</v>
      </c>
      <c r="CZ76" s="219">
        <f t="shared" si="326"/>
        <v>7.0784518828451883</v>
      </c>
      <c r="DA76" s="218">
        <f t="shared" ref="DA76:DF76" si="327">DA75/DA73</f>
        <v>9.2306900102986607</v>
      </c>
      <c r="DB76" s="218">
        <f t="shared" si="327"/>
        <v>13.275057677518582</v>
      </c>
      <c r="DC76" s="218">
        <f t="shared" si="327"/>
        <v>14.216265930889504</v>
      </c>
      <c r="DD76" s="218">
        <f t="shared" si="327"/>
        <v>15.837293596455902</v>
      </c>
      <c r="DE76" s="218">
        <f t="shared" si="327"/>
        <v>20.444402020667532</v>
      </c>
      <c r="DF76" s="219">
        <f t="shared" si="327"/>
        <v>25.84707331988886</v>
      </c>
      <c r="DG76" s="110"/>
      <c r="DH76" s="110"/>
      <c r="DI76" s="110"/>
      <c r="DJ76" s="110"/>
      <c r="DK76"/>
      <c r="DL76"/>
      <c r="DM76"/>
      <c r="DN76"/>
      <c r="DO76"/>
      <c r="DP76"/>
      <c r="DS76" s="3"/>
    </row>
    <row r="77" spans="1:123" s="109" customFormat="1" ht="14.25">
      <c r="B77" s="14" t="s">
        <v>162</v>
      </c>
      <c r="C77" s="24"/>
      <c r="D77" s="221">
        <f t="shared" ref="D77:O77" si="328">D8+D10+D9</f>
        <v>94.263000000000005</v>
      </c>
      <c r="E77" s="221">
        <f t="shared" si="328"/>
        <v>84.326999999999998</v>
      </c>
      <c r="F77" s="221">
        <f t="shared" si="328"/>
        <v>65.222999999999999</v>
      </c>
      <c r="G77" s="219">
        <f t="shared" si="328"/>
        <v>170.80600000000001</v>
      </c>
      <c r="H77" s="221">
        <f t="shared" si="328"/>
        <v>181.56300000000002</v>
      </c>
      <c r="I77" s="221">
        <f t="shared" si="328"/>
        <v>197.08500000000001</v>
      </c>
      <c r="J77" s="221">
        <f t="shared" si="328"/>
        <v>202.20000000000002</v>
      </c>
      <c r="K77" s="219">
        <f t="shared" si="328"/>
        <v>214.55199999999999</v>
      </c>
      <c r="L77" s="221">
        <f t="shared" si="328"/>
        <v>215.69500000000002</v>
      </c>
      <c r="M77" s="221">
        <f t="shared" si="328"/>
        <v>219.35300000000001</v>
      </c>
      <c r="N77" s="221">
        <f t="shared" si="328"/>
        <v>235.47899999999998</v>
      </c>
      <c r="O77" s="219">
        <f t="shared" si="328"/>
        <v>235.86</v>
      </c>
      <c r="P77" s="221">
        <f t="shared" ref="P77:W77" si="329">P8+P10+P9</f>
        <v>244.47499999999999</v>
      </c>
      <c r="Q77" s="221">
        <f t="shared" si="329"/>
        <v>183.02200000000002</v>
      </c>
      <c r="R77" s="221">
        <f t="shared" si="329"/>
        <v>154.51000000000002</v>
      </c>
      <c r="S77" s="219">
        <f t="shared" si="329"/>
        <v>171.20099999999999</v>
      </c>
      <c r="T77" s="221">
        <f t="shared" si="329"/>
        <v>183.334</v>
      </c>
      <c r="U77" s="221">
        <f t="shared" si="329"/>
        <v>222.79899999999998</v>
      </c>
      <c r="V77" s="221">
        <f t="shared" si="329"/>
        <v>234.59700000000001</v>
      </c>
      <c r="W77" s="219">
        <f t="shared" si="329"/>
        <v>253.779</v>
      </c>
      <c r="X77" s="221">
        <f t="shared" ref="X77:AG77" si="330">X8+X10+X9</f>
        <v>207.48</v>
      </c>
      <c r="Y77" s="221">
        <f t="shared" si="330"/>
        <v>228.459</v>
      </c>
      <c r="Z77" s="221">
        <f t="shared" si="330"/>
        <v>253.97699999999998</v>
      </c>
      <c r="AA77" s="221">
        <f t="shared" si="330"/>
        <v>231.066</v>
      </c>
      <c r="AB77" s="220">
        <f t="shared" si="330"/>
        <v>249.65699999999998</v>
      </c>
      <c r="AC77" s="221">
        <f t="shared" si="330"/>
        <v>267.91300000000001</v>
      </c>
      <c r="AD77" s="221">
        <f t="shared" si="330"/>
        <v>308.36600000000004</v>
      </c>
      <c r="AE77" s="221">
        <f t="shared" si="330"/>
        <v>370.084</v>
      </c>
      <c r="AF77" s="220">
        <f t="shared" si="330"/>
        <v>402.45400000000001</v>
      </c>
      <c r="AG77" s="221">
        <f t="shared" si="330"/>
        <v>411.53700000000003</v>
      </c>
      <c r="AH77" s="221">
        <f t="shared" ref="AH77:AW77" si="331">AH8+AH10+AH9</f>
        <v>389.95100000000002</v>
      </c>
      <c r="AI77" s="219">
        <f t="shared" si="331"/>
        <v>459.38499999999999</v>
      </c>
      <c r="AJ77" s="220">
        <f t="shared" si="331"/>
        <v>450.71599999999995</v>
      </c>
      <c r="AK77" s="221">
        <f t="shared" si="331"/>
        <v>504.46299999999997</v>
      </c>
      <c r="AL77" s="221">
        <f t="shared" si="331"/>
        <v>310.35699999999997</v>
      </c>
      <c r="AM77" s="219">
        <f>AM8+AM10+AM9</f>
        <v>410.79899999999998</v>
      </c>
      <c r="AN77" s="221">
        <f t="shared" si="331"/>
        <v>446.49800000000005</v>
      </c>
      <c r="AO77" s="221">
        <f t="shared" si="331"/>
        <v>307.33600000000001</v>
      </c>
      <c r="AP77" s="221">
        <f t="shared" si="331"/>
        <v>327.91500000000002</v>
      </c>
      <c r="AQ77" s="219">
        <f t="shared" si="331"/>
        <v>307.11</v>
      </c>
      <c r="AR77" s="221">
        <f t="shared" si="331"/>
        <v>378.35500000000002</v>
      </c>
      <c r="AS77" s="221">
        <f t="shared" si="331"/>
        <v>458.8</v>
      </c>
      <c r="AT77" s="221">
        <f t="shared" si="331"/>
        <v>400.3</v>
      </c>
      <c r="AU77" s="219">
        <f t="shared" si="331"/>
        <v>511.1</v>
      </c>
      <c r="AV77" s="221">
        <f t="shared" si="331"/>
        <v>648.6</v>
      </c>
      <c r="AW77" s="221">
        <f t="shared" si="331"/>
        <v>797.8</v>
      </c>
      <c r="AX77" s="221">
        <f t="shared" ref="AX77:BC77" si="332">AX8+AX10+AX9</f>
        <v>893.3</v>
      </c>
      <c r="AY77" s="219">
        <f t="shared" si="332"/>
        <v>805.8</v>
      </c>
      <c r="AZ77" s="221">
        <f t="shared" si="332"/>
        <v>1049.9000000000001</v>
      </c>
      <c r="BA77" s="221">
        <f t="shared" si="332"/>
        <v>1054.2</v>
      </c>
      <c r="BB77" s="221">
        <f t="shared" si="332"/>
        <v>1106</v>
      </c>
      <c r="BC77" s="219">
        <f t="shared" si="332"/>
        <v>1043.5999999999999</v>
      </c>
      <c r="BD77" s="221">
        <f t="shared" ref="BD77:BG77" si="333">BD8+BD10+BD9</f>
        <v>1233.2</v>
      </c>
      <c r="BE77" s="221">
        <f t="shared" si="333"/>
        <v>1177.5</v>
      </c>
      <c r="BF77" s="221">
        <f t="shared" si="333"/>
        <v>973.7</v>
      </c>
      <c r="BG77" s="219">
        <f t="shared" si="333"/>
        <v>1083.8</v>
      </c>
      <c r="BH77" s="221">
        <f>BH8+BH10+BH9</f>
        <v>1350.5</v>
      </c>
      <c r="BI77" s="221">
        <f>BI8+BI10+BI9</f>
        <v>1406.9</v>
      </c>
      <c r="BJ77" s="218">
        <f>BJ8+BJ10+BJ9</f>
        <v>1444</v>
      </c>
      <c r="BK77" s="219">
        <f t="shared" ref="BK77" si="334">BK8+BK10+BK9</f>
        <v>1616.8</v>
      </c>
      <c r="BL77" s="221">
        <f t="shared" ref="BL77:BS77" si="335">BL8+BL10+BL9</f>
        <v>1681.5</v>
      </c>
      <c r="BM77" s="221">
        <f t="shared" si="335"/>
        <v>1928.2767426868234</v>
      </c>
      <c r="BN77" s="221">
        <f t="shared" si="335"/>
        <v>2094.8824747554436</v>
      </c>
      <c r="BO77" s="218">
        <f t="shared" si="335"/>
        <v>2163.0770075521677</v>
      </c>
      <c r="BP77" s="220">
        <f t="shared" si="335"/>
        <v>2429.933706943043</v>
      </c>
      <c r="BQ77" s="221">
        <f t="shared" si="335"/>
        <v>2707.1147633303412</v>
      </c>
      <c r="BR77" s="221">
        <f t="shared" si="335"/>
        <v>2920.9192347888111</v>
      </c>
      <c r="BS77" s="218">
        <f t="shared" si="335"/>
        <v>3108.4396618615465</v>
      </c>
      <c r="BT77" s="220">
        <f t="shared" ref="BT77:BW77" si="336">BT8+BT10+BT9</f>
        <v>3357.4863955569053</v>
      </c>
      <c r="BU77" s="221">
        <f t="shared" si="336"/>
        <v>3636.9823057250819</v>
      </c>
      <c r="BV77" s="221">
        <f t="shared" si="336"/>
        <v>3874.3390963460861</v>
      </c>
      <c r="BW77" s="219">
        <f t="shared" si="336"/>
        <v>4090.1602011960472</v>
      </c>
      <c r="BX77" s="131"/>
      <c r="BY77" s="220">
        <f>BY8+BY10+BY9</f>
        <v>170.80600000000001</v>
      </c>
      <c r="BZ77" s="218">
        <f>BZ8+BZ10+BZ9</f>
        <v>214.55199999999999</v>
      </c>
      <c r="CA77" s="218">
        <f>CA8+CA10+CA9</f>
        <v>235.86</v>
      </c>
      <c r="CB77" s="218">
        <f>CB8+CB10+CB9</f>
        <v>171.20099999999999</v>
      </c>
      <c r="CC77" s="218">
        <f>CB8+CB10+CB9</f>
        <v>171.20099999999999</v>
      </c>
      <c r="CD77" s="218">
        <f t="shared" ref="CD77:CN77" si="337">CD8+CD10+CD9</f>
        <v>231.066</v>
      </c>
      <c r="CE77" s="218">
        <f t="shared" si="337"/>
        <v>370.084</v>
      </c>
      <c r="CF77" s="218">
        <f t="shared" si="337"/>
        <v>459.38499999999999</v>
      </c>
      <c r="CG77" s="218">
        <f t="shared" si="337"/>
        <v>410.79899999999998</v>
      </c>
      <c r="CH77" s="218">
        <f t="shared" si="337"/>
        <v>307.11</v>
      </c>
      <c r="CI77" s="218">
        <f t="shared" si="337"/>
        <v>511.1</v>
      </c>
      <c r="CJ77" s="218">
        <f t="shared" si="337"/>
        <v>805.8</v>
      </c>
      <c r="CK77" s="218">
        <f t="shared" si="337"/>
        <v>1043.5999999999999</v>
      </c>
      <c r="CL77" s="218">
        <f t="shared" si="337"/>
        <v>1083.8</v>
      </c>
      <c r="CM77" s="218">
        <f t="shared" si="337"/>
        <v>1616.8</v>
      </c>
      <c r="CN77" s="218">
        <f t="shared" si="337"/>
        <v>2163.0770075521677</v>
      </c>
      <c r="CO77" s="218">
        <f>CO8+CO10+CO9</f>
        <v>3108.4396618615465</v>
      </c>
      <c r="CP77" s="219">
        <f>CP8+CP10+CP9</f>
        <v>4090.1602011960472</v>
      </c>
      <c r="CQ77" s="131"/>
      <c r="CR77" s="220">
        <f>CR8+CR10+CR9</f>
        <v>244.47499999999999</v>
      </c>
      <c r="CS77" s="218">
        <f>CS8+CS10+CS9</f>
        <v>183.334</v>
      </c>
      <c r="CT77" s="218">
        <f>CT8+CT10+CT9</f>
        <v>207.48</v>
      </c>
      <c r="CU77" s="218">
        <f t="shared" ref="CU77:CZ77" si="338">CU8+CU10+CU9</f>
        <v>249.65699999999998</v>
      </c>
      <c r="CV77" s="218">
        <f t="shared" si="338"/>
        <v>402.45400000000001</v>
      </c>
      <c r="CW77" s="218">
        <f t="shared" si="338"/>
        <v>450.71599999999995</v>
      </c>
      <c r="CX77" s="218">
        <f t="shared" si="338"/>
        <v>446.49800000000005</v>
      </c>
      <c r="CY77" s="218">
        <f t="shared" si="338"/>
        <v>378.35500000000002</v>
      </c>
      <c r="CZ77" s="219">
        <f t="shared" si="338"/>
        <v>648.6</v>
      </c>
      <c r="DA77" s="218">
        <f t="shared" ref="DA77:DF77" si="339">DA8+DA10+DA9</f>
        <v>1049.9000000000001</v>
      </c>
      <c r="DB77" s="218">
        <f t="shared" si="339"/>
        <v>1233.2</v>
      </c>
      <c r="DC77" s="218">
        <f t="shared" si="339"/>
        <v>1350.5</v>
      </c>
      <c r="DD77" s="218">
        <f t="shared" si="339"/>
        <v>1681.5</v>
      </c>
      <c r="DE77" s="218">
        <f t="shared" si="339"/>
        <v>2429.933706943043</v>
      </c>
      <c r="DF77" s="219">
        <f t="shared" si="339"/>
        <v>3357.4863955569053</v>
      </c>
      <c r="DG77" s="110"/>
      <c r="DH77" s="110"/>
      <c r="DI77" s="110"/>
      <c r="DJ77" s="110"/>
      <c r="DK77"/>
      <c r="DL77"/>
      <c r="DM77"/>
      <c r="DN77"/>
      <c r="DO77"/>
      <c r="DP77"/>
      <c r="DS77" s="3"/>
    </row>
    <row r="78" spans="1:123" s="109" customFormat="1" ht="14.25">
      <c r="B78" s="14" t="s">
        <v>163</v>
      </c>
      <c r="C78" s="24"/>
      <c r="D78" s="744">
        <f>D77/IS!D126</f>
        <v>0.68358037941637184</v>
      </c>
      <c r="E78" s="221">
        <f>E77/IS!E126</f>
        <v>0.61044150541837694</v>
      </c>
      <c r="F78" s="221">
        <f>F77/IS!F126</f>
        <v>0.47014683303418892</v>
      </c>
      <c r="G78" s="219">
        <f>G77/IS!G126</f>
        <v>1.1986554197251893</v>
      </c>
      <c r="H78" s="221">
        <f>H77/IS!H126</f>
        <v>1.2024278628052214</v>
      </c>
      <c r="I78" s="221">
        <f>I77/IS!I126</f>
        <v>1.3192120270957726</v>
      </c>
      <c r="J78" s="221">
        <f>J77/IS!J126</f>
        <v>1.3022141504694928</v>
      </c>
      <c r="K78" s="219">
        <f>K77/IS!K126</f>
        <v>1.3615347027877727</v>
      </c>
      <c r="L78" s="221">
        <f>L77/IS!L126</f>
        <v>1.3573833422485133</v>
      </c>
      <c r="M78" s="221">
        <f>M77/IS!M126</f>
        <v>1.3844983747278063</v>
      </c>
      <c r="N78" s="221">
        <f>N77/IS!N126</f>
        <v>1.4839679358717435</v>
      </c>
      <c r="O78" s="219">
        <f>O77/IS!O126</f>
        <v>1.4759422539001146</v>
      </c>
      <c r="P78" s="221">
        <f>P77/IS!P126</f>
        <v>1.539253401499745</v>
      </c>
      <c r="Q78" s="221">
        <f>Q77/IS!Q126</f>
        <v>1.1465460536619287</v>
      </c>
      <c r="R78" s="221">
        <f>R77/IS!R126</f>
        <v>0.96042915040155163</v>
      </c>
      <c r="S78" s="219">
        <f>S77/IS!S126</f>
        <v>1.0681503387863587</v>
      </c>
      <c r="T78" s="221">
        <f>T77/IS!T126</f>
        <v>1.125577111984283</v>
      </c>
      <c r="U78" s="221">
        <f>U77/IS!U126</f>
        <v>1.3755402168275996</v>
      </c>
      <c r="V78" s="221">
        <f>V77/IS!V126</f>
        <v>1.4659380623875224</v>
      </c>
      <c r="W78" s="219">
        <f>W77/IS!W126</f>
        <v>1.5195801348454547</v>
      </c>
      <c r="X78" s="221">
        <f>X77/IS!X126</f>
        <v>1.2741654179665429</v>
      </c>
      <c r="Y78" s="221">
        <f>Y77/IS!Y126</f>
        <v>1.4017437508436514</v>
      </c>
      <c r="Z78" s="221">
        <f>Z77/IS!Z126</f>
        <v>1.5425359400907384</v>
      </c>
      <c r="AA78" s="221">
        <f>AA77/IS!AA126</f>
        <v>1.4024824739765107</v>
      </c>
      <c r="AB78" s="220">
        <f>AB77/IS!AB126</f>
        <v>1.5113507034409279</v>
      </c>
      <c r="AC78" s="221">
        <f>AC77/IS!AC126</f>
        <v>1.613962902944029</v>
      </c>
      <c r="AD78" s="221">
        <f>AD77/IS!AD126</f>
        <v>1.8190001474708748</v>
      </c>
      <c r="AE78" s="221">
        <f>AE77/IS!AE126</f>
        <v>2.089453477868112</v>
      </c>
      <c r="AF78" s="220">
        <f>AF77/IS!AF126</f>
        <v>2.2432833158680965</v>
      </c>
      <c r="AG78" s="221">
        <f>AG77/IS!AG126</f>
        <v>2.2497703964487985</v>
      </c>
      <c r="AH78" s="221">
        <f>AH77/IS!AH126</f>
        <v>2.1205781748772359</v>
      </c>
      <c r="AI78" s="219">
        <f>AI77/IS!AI126</f>
        <v>2.486737687702318</v>
      </c>
      <c r="AJ78" s="220">
        <f>AJ77/IS!AJ126</f>
        <v>2.3905463533130722</v>
      </c>
      <c r="AK78" s="221">
        <f>AK77/IS!AK126</f>
        <v>2.6279452597142123</v>
      </c>
      <c r="AL78" s="221">
        <f>AL77/IS!AL126</f>
        <v>1.6216793813355626</v>
      </c>
      <c r="AM78" s="219">
        <f>AM77/IS!AM126</f>
        <v>2.1531925822649458</v>
      </c>
      <c r="AN78" s="221">
        <f>AN77/IS!AN126</f>
        <v>2.3539292078320559</v>
      </c>
      <c r="AO78" s="221">
        <f>AO77/IS!AO126</f>
        <v>1.6089542237299495</v>
      </c>
      <c r="AP78" s="221">
        <f>AP77/IS!AP126</f>
        <v>1.7038351423954443</v>
      </c>
      <c r="AQ78" s="219">
        <f>AQ77/IS!AQ126</f>
        <v>1.5811747988199496</v>
      </c>
      <c r="AR78" s="221">
        <f>AR77/IS!AR126</f>
        <v>1.9502734521987</v>
      </c>
      <c r="AS78" s="221">
        <f>AS77/IS!AS126</f>
        <v>2.3759709994821336</v>
      </c>
      <c r="AT78" s="221">
        <f>AT77/IS!AT126</f>
        <v>2.093619246861925</v>
      </c>
      <c r="AU78" s="219">
        <f>AU77/IS!AU126</f>
        <v>2.6857593273778244</v>
      </c>
      <c r="AV78" s="221">
        <f>AV77/IS!AV126</f>
        <v>3.3922594142259417</v>
      </c>
      <c r="AW78" s="221">
        <f>AW77/IS!AW126</f>
        <v>4.1508844953173778</v>
      </c>
      <c r="AX78" s="221">
        <f>AX77/IS!AX126</f>
        <v>4.6237060041407867</v>
      </c>
      <c r="AY78" s="219">
        <f>AY77/IS!AY126</f>
        <v>4.1578947368421044</v>
      </c>
      <c r="AZ78" s="221">
        <f>AZ77/IS!AZ126</f>
        <v>5.4062821833161694</v>
      </c>
      <c r="BA78" s="221">
        <f>BA77/IS!BA126</f>
        <v>5.4006147540983616</v>
      </c>
      <c r="BB78" s="221">
        <f>BB77/IS!BB126</f>
        <v>5.6601842374616167</v>
      </c>
      <c r="BC78" s="219">
        <f>BC77/IS!BC126</f>
        <v>5.3545407901487936</v>
      </c>
      <c r="BD78" s="221">
        <f>BD77/IS!BD126</f>
        <v>6.333846944016436</v>
      </c>
      <c r="BE78" s="221">
        <f>BE77/IS!BE126</f>
        <v>6.0915675116399379</v>
      </c>
      <c r="BF78" s="221">
        <f>BF77/IS!BF126</f>
        <v>5.0792905581637982</v>
      </c>
      <c r="BG78" s="219">
        <f>BG77/IS!BG126</f>
        <v>5.7404661016949143</v>
      </c>
      <c r="BH78" s="221">
        <f>BH77/IS!BH126</f>
        <v>7.2103577148958884</v>
      </c>
      <c r="BI78" s="221">
        <f>BI77/IS!BI126</f>
        <v>7.5195082843399259</v>
      </c>
      <c r="BJ78" s="218">
        <f>BJ77/IS!BJ126</f>
        <v>7.7384780278670959</v>
      </c>
      <c r="BK78" s="219">
        <f>BK77/IS!BK126</f>
        <v>8.7065158858373728</v>
      </c>
      <c r="BL78" s="221">
        <f>BL77/IS!BL126</f>
        <v>9.0646900269541781</v>
      </c>
      <c r="BM78" s="221">
        <f>BM77/IS!BM126</f>
        <v>10.423117528036883</v>
      </c>
      <c r="BN78" s="221">
        <f>BN77/IS!BN126</f>
        <v>11.369782766650983</v>
      </c>
      <c r="BO78" s="218">
        <f>BO77/IS!BO126</f>
        <v>11.787885599739333</v>
      </c>
      <c r="BP78" s="220">
        <f>BP77/IS!BP126</f>
        <v>13.296490872465352</v>
      </c>
      <c r="BQ78" s="221">
        <f>BQ77/IS!BQ126</f>
        <v>14.874256941375501</v>
      </c>
      <c r="BR78" s="221">
        <f>BR77/IS!BR126</f>
        <v>16.115416467800337</v>
      </c>
      <c r="BS78" s="218">
        <f>BS77/IS!BS126</f>
        <v>17.221272364883912</v>
      </c>
      <c r="BT78" s="220">
        <f>BT77/IS!BT126</f>
        <v>18.678644759704618</v>
      </c>
      <c r="BU78" s="221">
        <f>BU77/IS!BU126</f>
        <v>20.318336903492078</v>
      </c>
      <c r="BV78" s="221">
        <f>BV77/IS!BV126</f>
        <v>21.7354227003988</v>
      </c>
      <c r="BW78" s="219">
        <f>BW77/IS!BW126</f>
        <v>23.043156063076321</v>
      </c>
      <c r="BX78" s="131"/>
      <c r="BY78" s="220">
        <f>BY77/IS!BY126</f>
        <v>1.2260329036148041</v>
      </c>
      <c r="BZ78" s="218">
        <f>BZ77/IS!BZ126</f>
        <v>1.2645774270170866</v>
      </c>
      <c r="CA78" s="218">
        <f>CA77/IS!CA126</f>
        <v>1.2907003469448064</v>
      </c>
      <c r="CB78" s="218">
        <f>CB77/IS!CB126</f>
        <v>0.94672884146670222</v>
      </c>
      <c r="CC78" s="218">
        <f>CB77/IS!CC126</f>
        <v>0.90508791778127873</v>
      </c>
      <c r="CD78" s="218">
        <f>CD77/IS!CD126</f>
        <v>1.4024824739765107</v>
      </c>
      <c r="CE78" s="218">
        <f>CE77/IS!CE126</f>
        <v>2.1812887901310245</v>
      </c>
      <c r="CF78" s="218">
        <f>CF77/IS!CF126</f>
        <v>2.5138996815112344</v>
      </c>
      <c r="CG78" s="218">
        <f>CG77/IS!CG126</f>
        <v>2.154536443118106</v>
      </c>
      <c r="CH78" s="218">
        <f>CH77/IS!CH126</f>
        <v>1.6008152372215214</v>
      </c>
      <c r="CI78" s="218">
        <f>CI77/IS!CI126</f>
        <v>2.6598976582127793</v>
      </c>
      <c r="CJ78" s="218">
        <f>CJ77/IS!CJ126</f>
        <v>4.1838006230529601</v>
      </c>
      <c r="CK78" s="218">
        <f>CK77/IS!CK126</f>
        <v>5.4184839044652131</v>
      </c>
      <c r="CL78" s="218">
        <f>CL77/IS!CL126</f>
        <v>5.6411190631099544</v>
      </c>
      <c r="CM78" s="218">
        <f>CM77/IS!CM126</f>
        <v>8.6610419177715272</v>
      </c>
      <c r="CN78" s="218">
        <f>CN77/IS!CN126</f>
        <v>11.72002442290372</v>
      </c>
      <c r="CO78" s="218">
        <f>CO77/IS!CO126</f>
        <v>17.114602405294132</v>
      </c>
      <c r="CP78" s="219">
        <f>CP77/IS!CP126</f>
        <v>22.898027718382348</v>
      </c>
      <c r="CQ78" s="131"/>
      <c r="CR78" s="220">
        <f>CR77/IS!CR126</f>
        <v>1.539253401499745</v>
      </c>
      <c r="CS78" s="218">
        <f>CS77/IS!CS126</f>
        <v>1.125577111984283</v>
      </c>
      <c r="CT78" s="218">
        <f>CT77/IS!CT126</f>
        <v>1.2741654179665429</v>
      </c>
      <c r="CU78" s="218">
        <f>CU77/IS!CU126</f>
        <v>1.5113507034409279</v>
      </c>
      <c r="CV78" s="218">
        <f>CV77/IS!CV126</f>
        <v>2.2432833158680965</v>
      </c>
      <c r="CW78" s="218">
        <f>CW77/IS!CW126</f>
        <v>2.3905463533130722</v>
      </c>
      <c r="CX78" s="218">
        <f>CX77/IS!CX126</f>
        <v>2.3539292078320559</v>
      </c>
      <c r="CY78" s="218">
        <f>CY77/IS!CY126</f>
        <v>1.9502734521987</v>
      </c>
      <c r="CZ78" s="219">
        <f>CZ77/IS!CZ126</f>
        <v>3.3922594142259417</v>
      </c>
      <c r="DA78" s="218">
        <f>DA77/IS!DA126</f>
        <v>5.4062821833161694</v>
      </c>
      <c r="DB78" s="218">
        <f>DB77/IS!DB126</f>
        <v>6.3224814150217892</v>
      </c>
      <c r="DC78" s="218">
        <f>DC77/IS!DC126</f>
        <v>7.0976218630928924</v>
      </c>
      <c r="DD78" s="218">
        <f>DD77/IS!DD126</f>
        <v>9.0293999194522758</v>
      </c>
      <c r="DE78" s="218">
        <f>DE77/IS!DE126</f>
        <v>13.215139126814647</v>
      </c>
      <c r="DF78" s="219">
        <f>DF77/IS!DF126</f>
        <v>18.562467978199891</v>
      </c>
      <c r="DG78" s="110"/>
      <c r="DH78" s="110"/>
      <c r="DI78" s="110"/>
      <c r="DJ78" s="110"/>
      <c r="DK78"/>
      <c r="DL78"/>
      <c r="DM78"/>
      <c r="DN78"/>
      <c r="DO78"/>
      <c r="DP78"/>
      <c r="DS78" s="3"/>
    </row>
    <row r="79" spans="1:123" s="109" customFormat="1" ht="14.25">
      <c r="B79" s="14" t="s">
        <v>235</v>
      </c>
      <c r="C79" s="24"/>
      <c r="D79" s="221">
        <f t="shared" ref="D79:X79" si="340">D30+D24</f>
        <v>275.13400000000001</v>
      </c>
      <c r="E79" s="221">
        <f t="shared" si="340"/>
        <v>275.09899999999999</v>
      </c>
      <c r="F79" s="221">
        <f t="shared" si="340"/>
        <v>275.06400000000002</v>
      </c>
      <c r="G79" s="219">
        <f t="shared" si="340"/>
        <v>316.68099999999998</v>
      </c>
      <c r="H79" s="221">
        <f t="shared" si="340"/>
        <v>314.005</v>
      </c>
      <c r="I79" s="221">
        <f t="shared" si="340"/>
        <v>320.05399999999997</v>
      </c>
      <c r="J79" s="221">
        <f t="shared" si="340"/>
        <v>280</v>
      </c>
      <c r="K79" s="219">
        <f t="shared" si="340"/>
        <v>280</v>
      </c>
      <c r="L79" s="221">
        <f t="shared" si="340"/>
        <v>280</v>
      </c>
      <c r="M79" s="221">
        <f t="shared" si="340"/>
        <v>279.21800000000002</v>
      </c>
      <c r="N79" s="221">
        <f t="shared" si="340"/>
        <v>280</v>
      </c>
      <c r="O79" s="219">
        <f t="shared" si="340"/>
        <v>280</v>
      </c>
      <c r="P79" s="221">
        <f t="shared" si="340"/>
        <v>280</v>
      </c>
      <c r="Q79" s="221">
        <f t="shared" si="340"/>
        <v>229.33500000000001</v>
      </c>
      <c r="R79" s="221">
        <f t="shared" si="340"/>
        <v>229.33500000000001</v>
      </c>
      <c r="S79" s="219">
        <f t="shared" si="340"/>
        <v>229.33500000000001</v>
      </c>
      <c r="T79" s="221">
        <f t="shared" si="340"/>
        <v>229.33500000000001</v>
      </c>
      <c r="U79" s="221">
        <f t="shared" si="340"/>
        <v>289.40600000000001</v>
      </c>
      <c r="V79" s="221">
        <f t="shared" si="340"/>
        <v>299.33499999999998</v>
      </c>
      <c r="W79" s="219">
        <f t="shared" si="340"/>
        <v>299.33499999999998</v>
      </c>
      <c r="X79" s="221">
        <f t="shared" si="340"/>
        <v>250</v>
      </c>
      <c r="Y79" s="221">
        <f t="shared" ref="Y79:CZ79" si="341">Y30+Y24</f>
        <v>250</v>
      </c>
      <c r="Z79" s="221">
        <f t="shared" si="341"/>
        <v>250</v>
      </c>
      <c r="AA79" s="219">
        <f t="shared" si="341"/>
        <v>187.61600000000001</v>
      </c>
      <c r="AB79" s="218">
        <f t="shared" si="341"/>
        <v>147.11599999999999</v>
      </c>
      <c r="AC79" s="221">
        <f t="shared" si="341"/>
        <v>147.11599999999999</v>
      </c>
      <c r="AD79" s="221">
        <f t="shared" si="341"/>
        <v>147.11599999999999</v>
      </c>
      <c r="AE79" s="219">
        <f t="shared" si="341"/>
        <v>123.34799999999998</v>
      </c>
      <c r="AF79" s="218">
        <f t="shared" si="341"/>
        <v>119.38300000000001</v>
      </c>
      <c r="AG79" s="221">
        <f t="shared" si="341"/>
        <v>92.573000000000008</v>
      </c>
      <c r="AH79" s="221">
        <f t="shared" si="341"/>
        <v>74.420999999999992</v>
      </c>
      <c r="AI79" s="219">
        <f t="shared" si="341"/>
        <v>74.742999999999995</v>
      </c>
      <c r="AJ79" s="220">
        <f t="shared" si="341"/>
        <v>25.071000000000002</v>
      </c>
      <c r="AK79" s="221">
        <f t="shared" si="341"/>
        <v>25.405000000000001</v>
      </c>
      <c r="AL79" s="221">
        <f t="shared" si="341"/>
        <v>25.744</v>
      </c>
      <c r="AM79" s="219">
        <f>AM30+AM24</f>
        <v>26.088999999999999</v>
      </c>
      <c r="AN79" s="221">
        <f t="shared" si="341"/>
        <v>17.123000000000001</v>
      </c>
      <c r="AO79" s="221">
        <f t="shared" si="341"/>
        <v>0</v>
      </c>
      <c r="AP79" s="221">
        <f t="shared" si="341"/>
        <v>0</v>
      </c>
      <c r="AQ79" s="219">
        <f t="shared" si="341"/>
        <v>0</v>
      </c>
      <c r="AR79" s="221">
        <f t="shared" si="341"/>
        <v>0</v>
      </c>
      <c r="AS79" s="221">
        <f t="shared" si="341"/>
        <v>47.6</v>
      </c>
      <c r="AT79" s="221">
        <f t="shared" si="341"/>
        <v>51.9</v>
      </c>
      <c r="AU79" s="219">
        <f t="shared" si="341"/>
        <v>45.9</v>
      </c>
      <c r="AV79" s="221">
        <f t="shared" si="341"/>
        <v>0</v>
      </c>
      <c r="AW79" s="221">
        <f t="shared" si="341"/>
        <v>0</v>
      </c>
      <c r="AX79" s="221">
        <f t="shared" ref="AX79:BC79" si="342">AX30+AX24</f>
        <v>58.3</v>
      </c>
      <c r="AY79" s="219">
        <f t="shared" si="342"/>
        <v>41.6</v>
      </c>
      <c r="AZ79" s="221">
        <f t="shared" si="342"/>
        <v>45.3</v>
      </c>
      <c r="BA79" s="221">
        <f t="shared" si="342"/>
        <v>48.6</v>
      </c>
      <c r="BB79" s="221">
        <f t="shared" si="342"/>
        <v>55.5</v>
      </c>
      <c r="BC79" s="219">
        <f t="shared" si="342"/>
        <v>71</v>
      </c>
      <c r="BD79" s="221">
        <f t="shared" ref="BD79:BG79" si="343">BD30+BD24</f>
        <v>55.4</v>
      </c>
      <c r="BE79" s="221">
        <f t="shared" si="343"/>
        <v>59.8</v>
      </c>
      <c r="BF79" s="221">
        <f t="shared" si="343"/>
        <v>59.8</v>
      </c>
      <c r="BG79" s="219">
        <f t="shared" si="343"/>
        <v>69.199999999999989</v>
      </c>
      <c r="BH79" s="221">
        <f>BH30+BH24</f>
        <v>72.400000000000006</v>
      </c>
      <c r="BI79" s="221">
        <f>BI30+BI24</f>
        <v>78.599999999999994</v>
      </c>
      <c r="BJ79" s="218">
        <f>BJ30+BJ24</f>
        <v>82.8</v>
      </c>
      <c r="BK79" s="219">
        <f t="shared" ref="BK79" si="344">BK30+BK24</f>
        <v>92.9</v>
      </c>
      <c r="BL79" s="221">
        <f t="shared" ref="BL79:BS79" si="345">BL30+BL24</f>
        <v>92.9</v>
      </c>
      <c r="BM79" s="221">
        <f t="shared" si="345"/>
        <v>92.9</v>
      </c>
      <c r="BN79" s="221">
        <f t="shared" si="345"/>
        <v>92.9</v>
      </c>
      <c r="BO79" s="218">
        <f t="shared" si="345"/>
        <v>92.9</v>
      </c>
      <c r="BP79" s="220">
        <f t="shared" si="345"/>
        <v>92.9</v>
      </c>
      <c r="BQ79" s="221">
        <f t="shared" si="345"/>
        <v>92.9</v>
      </c>
      <c r="BR79" s="221">
        <f t="shared" si="345"/>
        <v>92.9</v>
      </c>
      <c r="BS79" s="218">
        <f t="shared" si="345"/>
        <v>92.9</v>
      </c>
      <c r="BT79" s="220">
        <f t="shared" ref="BT79:BW79" si="346">BT30+BT24</f>
        <v>92.9</v>
      </c>
      <c r="BU79" s="221">
        <f t="shared" si="346"/>
        <v>92.9</v>
      </c>
      <c r="BV79" s="221">
        <f t="shared" si="346"/>
        <v>92.9</v>
      </c>
      <c r="BW79" s="219">
        <f t="shared" si="346"/>
        <v>92.9</v>
      </c>
      <c r="BX79" s="131"/>
      <c r="BY79" s="220">
        <f>BY30+BY24</f>
        <v>316.68099999999998</v>
      </c>
      <c r="BZ79" s="218">
        <f>BZ30+BZ24</f>
        <v>280</v>
      </c>
      <c r="CA79" s="218">
        <f>CA30+CA24</f>
        <v>280</v>
      </c>
      <c r="CB79" s="218">
        <f>CB30+CB24</f>
        <v>229.33500000000001</v>
      </c>
      <c r="CC79" s="218">
        <f>CB30+CB24</f>
        <v>229.33500000000001</v>
      </c>
      <c r="CD79" s="218">
        <f t="shared" si="341"/>
        <v>187.61600000000001</v>
      </c>
      <c r="CE79" s="218">
        <f t="shared" si="341"/>
        <v>123.34799999999998</v>
      </c>
      <c r="CF79" s="218">
        <f t="shared" si="341"/>
        <v>74.742999999999995</v>
      </c>
      <c r="CG79" s="218">
        <f t="shared" si="341"/>
        <v>26.088999999999999</v>
      </c>
      <c r="CH79" s="218">
        <f t="shared" si="341"/>
        <v>0</v>
      </c>
      <c r="CI79" s="218">
        <f t="shared" si="341"/>
        <v>45.9</v>
      </c>
      <c r="CJ79" s="218">
        <f t="shared" si="341"/>
        <v>41.6</v>
      </c>
      <c r="CK79" s="218">
        <f t="shared" si="341"/>
        <v>71</v>
      </c>
      <c r="CL79" s="218">
        <f t="shared" si="341"/>
        <v>69.199999999999989</v>
      </c>
      <c r="CM79" s="218">
        <f t="shared" si="341"/>
        <v>92.9</v>
      </c>
      <c r="CN79" s="218">
        <f t="shared" si="341"/>
        <v>92.9</v>
      </c>
      <c r="CO79" s="218">
        <f>CO30+CO24</f>
        <v>92.9</v>
      </c>
      <c r="CP79" s="219">
        <f>CP30+CP24</f>
        <v>92.9</v>
      </c>
      <c r="CQ79" s="131"/>
      <c r="CR79" s="220">
        <f>CR30+CR24</f>
        <v>280</v>
      </c>
      <c r="CS79" s="218">
        <f>CS30+CS24</f>
        <v>229.33500000000001</v>
      </c>
      <c r="CT79" s="218">
        <f>CT30+CT24</f>
        <v>250</v>
      </c>
      <c r="CU79" s="218">
        <f t="shared" si="341"/>
        <v>147.11599999999999</v>
      </c>
      <c r="CV79" s="218">
        <f t="shared" si="341"/>
        <v>119.38300000000001</v>
      </c>
      <c r="CW79" s="218">
        <f t="shared" si="341"/>
        <v>25.071000000000002</v>
      </c>
      <c r="CX79" s="218">
        <f t="shared" si="341"/>
        <v>17.123000000000001</v>
      </c>
      <c r="CY79" s="218">
        <f t="shared" si="341"/>
        <v>0</v>
      </c>
      <c r="CZ79" s="219">
        <f t="shared" si="341"/>
        <v>0</v>
      </c>
      <c r="DA79" s="218">
        <f t="shared" ref="DA79:DF79" si="347">DA30+DA24</f>
        <v>45.3</v>
      </c>
      <c r="DB79" s="218">
        <f t="shared" si="347"/>
        <v>55.4</v>
      </c>
      <c r="DC79" s="218">
        <f t="shared" si="347"/>
        <v>72.400000000000006</v>
      </c>
      <c r="DD79" s="218">
        <f t="shared" si="347"/>
        <v>92.9</v>
      </c>
      <c r="DE79" s="218">
        <f t="shared" si="347"/>
        <v>92.9</v>
      </c>
      <c r="DF79" s="219">
        <f t="shared" si="347"/>
        <v>92.9</v>
      </c>
      <c r="DG79" s="110"/>
      <c r="DH79" s="110"/>
      <c r="DI79" s="110"/>
      <c r="DJ79" s="110"/>
      <c r="DK79"/>
      <c r="DL79"/>
      <c r="DM79"/>
      <c r="DN79"/>
      <c r="DO79"/>
      <c r="DP79"/>
      <c r="DS79" s="3"/>
    </row>
    <row r="80" spans="1:123" s="109" customFormat="1" ht="14.25">
      <c r="B80" s="14" t="s">
        <v>459</v>
      </c>
      <c r="C80" s="24"/>
      <c r="D80" s="221">
        <f>+D79/IS!D126</f>
        <v>1.9952282879851486</v>
      </c>
      <c r="E80" s="221">
        <f>+E79/IS!E126</f>
        <v>1.9914362861134638</v>
      </c>
      <c r="F80" s="221">
        <f>+F79/IS!F126</f>
        <v>1.9827433341262461</v>
      </c>
      <c r="G80" s="219">
        <f>+G79/IS!G126</f>
        <v>2.2223539979508486</v>
      </c>
      <c r="H80" s="221">
        <f>+H79/IS!H126</f>
        <v>2.079544626714438</v>
      </c>
      <c r="I80" s="221">
        <f>+I79/IS!I126</f>
        <v>2.1423197408230474</v>
      </c>
      <c r="J80" s="221">
        <f>+J79/IS!J126</f>
        <v>1.803263907672888</v>
      </c>
      <c r="K80" s="219">
        <f>+K79/IS!K126</f>
        <v>1.7768639620258788</v>
      </c>
      <c r="L80" s="221">
        <f>+L79/IS!L126</f>
        <v>1.7620590919102608</v>
      </c>
      <c r="M80" s="221">
        <f>+M79/IS!M126</f>
        <v>1.7623504907375265</v>
      </c>
      <c r="N80" s="221">
        <f>+N79/IS!N126</f>
        <v>1.7645353600282327</v>
      </c>
      <c r="O80" s="219">
        <f>+O79/IS!O126</f>
        <v>1.7521573437294669</v>
      </c>
      <c r="P80" s="221">
        <f>+P79/IS!P126</f>
        <v>1.7629244397992785</v>
      </c>
      <c r="Q80" s="221">
        <f>+Q79/IS!Q126</f>
        <v>1.4366750402495789</v>
      </c>
      <c r="R80" s="221">
        <f>+R79/IS!R126</f>
        <v>1.4255389243889705</v>
      </c>
      <c r="S80" s="219">
        <f>+S79/IS!S126</f>
        <v>1.430857634859432</v>
      </c>
      <c r="T80" s="221">
        <f>+T79/IS!T126</f>
        <v>1.4079997544204323</v>
      </c>
      <c r="U80" s="221">
        <f>+U79/IS!U126</f>
        <v>1.7867656138097943</v>
      </c>
      <c r="V80" s="221">
        <f>+V79/IS!V126</f>
        <v>1.8704696560687859</v>
      </c>
      <c r="W80" s="219">
        <f>+W79/IS!W126</f>
        <v>1.7923607535058619</v>
      </c>
      <c r="X80" s="221">
        <f>+X79/IS!X126</f>
        <v>1.5352870372644869</v>
      </c>
      <c r="Y80" s="221">
        <f>+Y79/IS!Y126</f>
        <v>1.5339117203126726</v>
      </c>
      <c r="Z80" s="221">
        <f>+Z79/IS!Z126</f>
        <v>1.5183815267629928</v>
      </c>
      <c r="AA80" s="219">
        <f>+AA79/IS!AA126</f>
        <v>1.1387575490880399</v>
      </c>
      <c r="AB80" s="218">
        <f>+AB79/IS!AB126</f>
        <v>0.89059737995496036</v>
      </c>
      <c r="AC80" s="221">
        <f>+AC79/IS!AC126</f>
        <v>0.88625698054784108</v>
      </c>
      <c r="AD80" s="221">
        <f>+AD79/IS!AD126</f>
        <v>0.86781300693113095</v>
      </c>
      <c r="AE80" s="219">
        <f>+AE79/IS!AE126</f>
        <v>0.69640921409214085</v>
      </c>
      <c r="AF80" s="218">
        <f>+AF79/IS!AF126</f>
        <v>0.66544224209047742</v>
      </c>
      <c r="AG80" s="221">
        <f>+AG79/IS!AG126</f>
        <v>0.506073560604404</v>
      </c>
      <c r="AH80" s="221">
        <f>+AH79/IS!AH126</f>
        <v>0.40470609987546829</v>
      </c>
      <c r="AI80" s="219">
        <f>+AI79/IS!AI126</f>
        <v>0.40459796247577595</v>
      </c>
      <c r="AJ80" s="218">
        <f>+AJ79/IS!AJ126</f>
        <v>0.13297372985186248</v>
      </c>
      <c r="AK80" s="221">
        <f>+AK79/IS!AK126</f>
        <v>0.13234459082834535</v>
      </c>
      <c r="AL80" s="221">
        <f>+AL79/IS!AL126</f>
        <v>0.13451771344968128</v>
      </c>
      <c r="AM80" s="219">
        <f>+AM79/IS!AM126</f>
        <v>0.13674483452664241</v>
      </c>
      <c r="AN80" s="221">
        <f>+AN79/IS!AN126</f>
        <v>9.0272139686422545E-2</v>
      </c>
      <c r="AO80" s="221">
        <f>+AO79/IS!AO126</f>
        <v>0</v>
      </c>
      <c r="AP80" s="221">
        <f>+AP79/IS!AP126</f>
        <v>0</v>
      </c>
      <c r="AQ80" s="219">
        <f>+AQ79/IS!AQ126</f>
        <v>0</v>
      </c>
      <c r="AR80" s="221">
        <f>+AR79/IS!AR126</f>
        <v>0</v>
      </c>
      <c r="AS80" s="221">
        <f>+AS79/IS!AS126</f>
        <v>0.24650440186431902</v>
      </c>
      <c r="AT80" s="221">
        <f>+AT79/IS!AT126</f>
        <v>0.27144351464435146</v>
      </c>
      <c r="AU80" s="219">
        <f>+AU79/IS!AU126</f>
        <v>0.24119810825013135</v>
      </c>
      <c r="AV80" s="221">
        <f>+AV79/IS!AV126</f>
        <v>0</v>
      </c>
      <c r="AW80" s="221">
        <f>+AW79/IS!AW126</f>
        <v>0</v>
      </c>
      <c r="AX80" s="221">
        <f>+AX79/IS!AX126</f>
        <v>0.30175983436853004</v>
      </c>
      <c r="AY80" s="219">
        <f>+AY79/IS!AY126</f>
        <v>0.21465428276573786</v>
      </c>
      <c r="AZ80" s="221">
        <f>+AZ79/IS!AZ126</f>
        <v>0.23326467559217301</v>
      </c>
      <c r="BA80" s="221">
        <f>+BA79/IS!BA126</f>
        <v>0.24897540983606559</v>
      </c>
      <c r="BB80" s="221">
        <f>+BB79/IS!BB126</f>
        <v>0.28403275332650973</v>
      </c>
      <c r="BC80" s="219">
        <f>+BC79/IS!BC126</f>
        <v>0.36428937916880449</v>
      </c>
      <c r="BD80" s="221">
        <f>+BD79/IS!BD126</f>
        <v>0.28454031843862354</v>
      </c>
      <c r="BE80" s="221">
        <f>+BE79/IS!BE126</f>
        <v>0.30936368339368853</v>
      </c>
      <c r="BF80" s="221">
        <f>+BF79/IS!BF126</f>
        <v>0.31194574856546686</v>
      </c>
      <c r="BG80" s="219">
        <f>+BG79/IS!BG126</f>
        <v>0.36652542372881347</v>
      </c>
      <c r="BH80" s="221">
        <f>+BH79/IS!BH126</f>
        <v>0.38654564869193808</v>
      </c>
      <c r="BI80" s="221">
        <f>+BI79/IS!BI126</f>
        <v>0.42009620523784069</v>
      </c>
      <c r="BJ80" s="218">
        <f>+BJ79/IS!BJ126</f>
        <v>0.4437299035369775</v>
      </c>
      <c r="BK80" s="219">
        <f>+BK79/IS!BK126</f>
        <v>0.50026925148088319</v>
      </c>
      <c r="BL80" s="221">
        <f>+BL79/IS!BL126</f>
        <v>0.50080862533692727</v>
      </c>
      <c r="BM80" s="221">
        <f>+BM79/IS!BM126</f>
        <v>0.50216216216216214</v>
      </c>
      <c r="BN80" s="221">
        <f>+BN79/IS!BN126</f>
        <v>0.50420624151967441</v>
      </c>
      <c r="BO80" s="218">
        <f>+BO79/IS!BO126</f>
        <v>0.50626702997275208</v>
      </c>
      <c r="BP80" s="220">
        <f>+BP79/IS!BP126</f>
        <v>0.50834473324213414</v>
      </c>
      <c r="BQ80" s="221">
        <f>+BQ79/IS!BQ126</f>
        <v>0.51043956043956051</v>
      </c>
      <c r="BR80" s="221">
        <f>+BR79/IS!BR126</f>
        <v>0.51255172413793104</v>
      </c>
      <c r="BS80" s="218">
        <f>+BS79/IS!BS126</f>
        <v>0.51468144044321329</v>
      </c>
      <c r="BT80" s="220">
        <f>+BT79/IS!BT126</f>
        <v>0.51682892906815026</v>
      </c>
      <c r="BU80" s="221">
        <f>+BU79/IS!BU126</f>
        <v>0.51899441340782126</v>
      </c>
      <c r="BV80" s="221">
        <f>+BV79/IS!BV126</f>
        <v>0.52117812061711088</v>
      </c>
      <c r="BW80" s="218">
        <f>+BW79/IS!BW126</f>
        <v>0.52338028169014084</v>
      </c>
      <c r="BX80" s="131"/>
      <c r="BY80" s="220">
        <f>+BY79/IS!BY126</f>
        <v>2.2731129231387639</v>
      </c>
      <c r="BZ80" s="218">
        <f>+BZ79/IS!BZ126</f>
        <v>1.6503303607740047</v>
      </c>
      <c r="CA80" s="218">
        <f>+CA79/IS!CA126</f>
        <v>1.5322483555691755</v>
      </c>
      <c r="CB80" s="218">
        <f>+CB79/IS!CB126</f>
        <v>1.2682055528750777</v>
      </c>
      <c r="CC80" s="218">
        <f>+CC79/IS!CC126</f>
        <v>1.212424796726477</v>
      </c>
      <c r="CD80" s="218">
        <f>+CD79/IS!CD126</f>
        <v>1.1387575490880399</v>
      </c>
      <c r="CE80" s="218">
        <f>+CE79/IS!CE126</f>
        <v>0.72701767621697111</v>
      </c>
      <c r="CF80" s="218">
        <f>+CF79/IS!CF126</f>
        <v>0.40901728157252459</v>
      </c>
      <c r="CG80" s="218">
        <f>+CG79/IS!CG126</f>
        <v>0.13683018036681752</v>
      </c>
      <c r="CH80" s="218">
        <f>+CH79/IS!CH126</f>
        <v>0</v>
      </c>
      <c r="CI80" s="218">
        <f>+CI79/IS!CI126</f>
        <v>0.23887556742705254</v>
      </c>
      <c r="CJ80" s="218">
        <f>+CJ79/IS!CJ126</f>
        <v>0.21599169262720669</v>
      </c>
      <c r="CK80" s="218">
        <f>+CK79/IS!CK126</f>
        <v>0.36863966770508833</v>
      </c>
      <c r="CL80" s="218">
        <f>+CL79/IS!CL126</f>
        <v>0.36018217306441114</v>
      </c>
      <c r="CM80" s="218">
        <f>+CM79/IS!CM126</f>
        <v>0.49765635462702557</v>
      </c>
      <c r="CN80" s="218">
        <f>+CN79/IS!CN126</f>
        <v>0.50335252285811038</v>
      </c>
      <c r="CO80" s="218">
        <f>+CO79/IS!CO126</f>
        <v>0.51149346180316591</v>
      </c>
      <c r="CP80" s="219">
        <f>+CP79/IS!CP126</f>
        <v>0.52008397480755775</v>
      </c>
      <c r="CQ80" s="131"/>
      <c r="CR80" s="218">
        <f>+CR79/IS!CR126</f>
        <v>1.7629244397992785</v>
      </c>
      <c r="CS80" s="218">
        <f>+CS79/IS!CS126</f>
        <v>1.4079997544204323</v>
      </c>
      <c r="CT80" s="218">
        <f>+CT79/IS!CT126</f>
        <v>1.5352870372644869</v>
      </c>
      <c r="CU80" s="218">
        <f>+CU79/IS!CU126</f>
        <v>0.89059737995496036</v>
      </c>
      <c r="CV80" s="218">
        <f>+CV79/IS!CV126</f>
        <v>0.66544224209047742</v>
      </c>
      <c r="CW80" s="218">
        <f>+CW79/IS!CW126</f>
        <v>0.13297372985186248</v>
      </c>
      <c r="CX80" s="218">
        <f>+CX79/IS!CX126</f>
        <v>9.0272139686422545E-2</v>
      </c>
      <c r="CY80" s="218">
        <f>+CY79/IS!CY126</f>
        <v>0</v>
      </c>
      <c r="CZ80" s="219">
        <f>+CZ79/IS!CZ126</f>
        <v>0</v>
      </c>
      <c r="DA80" s="218">
        <f>+DA79/IS!DA126</f>
        <v>0.23326467559217301</v>
      </c>
      <c r="DB80" s="218">
        <f>+DB79/IS!DB126</f>
        <v>0.28402973596513714</v>
      </c>
      <c r="DC80" s="218">
        <f>+DC79/IS!DC126</f>
        <v>0.38050190513730137</v>
      </c>
      <c r="DD80" s="218">
        <f>+DD79/IS!DD126</f>
        <v>0.49885890723587062</v>
      </c>
      <c r="DE80" s="218">
        <f>+DE79/IS!DE126</f>
        <v>0.50523453433038756</v>
      </c>
      <c r="DF80" s="219">
        <f>+DF79/IS!DF126</f>
        <v>0.51361437456807191</v>
      </c>
      <c r="DG80" s="110"/>
      <c r="DH80" s="110"/>
      <c r="DI80" s="110"/>
      <c r="DJ80" s="110"/>
      <c r="DK80"/>
      <c r="DL80"/>
      <c r="DM80"/>
      <c r="DN80"/>
      <c r="DO80"/>
      <c r="DP80"/>
      <c r="DS80" s="3"/>
    </row>
    <row r="81" spans="2:123" s="109" customFormat="1" ht="14.25">
      <c r="B81" s="14" t="s">
        <v>404</v>
      </c>
      <c r="C81" s="24"/>
      <c r="D81" s="221">
        <f>D79-D77</f>
        <v>180.87100000000001</v>
      </c>
      <c r="E81" s="221">
        <f t="shared" ref="E81:CB81" si="348">E79-E77</f>
        <v>190.77199999999999</v>
      </c>
      <c r="F81" s="221">
        <f t="shared" si="348"/>
        <v>209.84100000000001</v>
      </c>
      <c r="G81" s="219">
        <f t="shared" si="348"/>
        <v>145.87499999999997</v>
      </c>
      <c r="H81" s="221">
        <f t="shared" si="348"/>
        <v>132.44199999999998</v>
      </c>
      <c r="I81" s="221">
        <f t="shared" si="348"/>
        <v>122.96899999999997</v>
      </c>
      <c r="J81" s="221">
        <f t="shared" si="348"/>
        <v>77.799999999999983</v>
      </c>
      <c r="K81" s="219">
        <f t="shared" si="348"/>
        <v>65.448000000000008</v>
      </c>
      <c r="L81" s="221">
        <f t="shared" si="348"/>
        <v>64.304999999999978</v>
      </c>
      <c r="M81" s="221">
        <f t="shared" si="348"/>
        <v>59.865000000000009</v>
      </c>
      <c r="N81" s="221">
        <f t="shared" si="348"/>
        <v>44.521000000000015</v>
      </c>
      <c r="O81" s="219">
        <f t="shared" si="348"/>
        <v>44.139999999999986</v>
      </c>
      <c r="P81" s="221">
        <f t="shared" si="348"/>
        <v>35.525000000000006</v>
      </c>
      <c r="Q81" s="221">
        <f t="shared" si="348"/>
        <v>46.312999999999988</v>
      </c>
      <c r="R81" s="221">
        <f t="shared" si="348"/>
        <v>74.824999999999989</v>
      </c>
      <c r="S81" s="219">
        <f t="shared" si="348"/>
        <v>58.134000000000015</v>
      </c>
      <c r="T81" s="221">
        <f t="shared" si="348"/>
        <v>46.001000000000005</v>
      </c>
      <c r="U81" s="221">
        <f t="shared" si="348"/>
        <v>66.607000000000028</v>
      </c>
      <c r="V81" s="221">
        <f t="shared" si="348"/>
        <v>64.737999999999971</v>
      </c>
      <c r="W81" s="219">
        <f t="shared" si="348"/>
        <v>45.555999999999983</v>
      </c>
      <c r="X81" s="221">
        <f t="shared" si="348"/>
        <v>42.52000000000001</v>
      </c>
      <c r="Y81" s="221">
        <f t="shared" si="348"/>
        <v>21.540999999999997</v>
      </c>
      <c r="Z81" s="221">
        <f t="shared" si="348"/>
        <v>-3.9769999999999754</v>
      </c>
      <c r="AA81" s="219">
        <f t="shared" si="348"/>
        <v>-43.449999999999989</v>
      </c>
      <c r="AB81" s="221">
        <f t="shared" si="348"/>
        <v>-102.541</v>
      </c>
      <c r="AC81" s="221">
        <f t="shared" si="348"/>
        <v>-120.79700000000003</v>
      </c>
      <c r="AD81" s="221">
        <f t="shared" si="348"/>
        <v>-161.25000000000006</v>
      </c>
      <c r="AE81" s="219">
        <f t="shared" si="348"/>
        <v>-246.73600000000002</v>
      </c>
      <c r="AF81" s="221">
        <f t="shared" si="348"/>
        <v>-283.07100000000003</v>
      </c>
      <c r="AG81" s="221">
        <f t="shared" si="348"/>
        <v>-318.96400000000006</v>
      </c>
      <c r="AH81" s="221">
        <f t="shared" si="348"/>
        <v>-315.53000000000003</v>
      </c>
      <c r="AI81" s="219">
        <f t="shared" si="348"/>
        <v>-384.642</v>
      </c>
      <c r="AJ81" s="221">
        <f t="shared" si="348"/>
        <v>-425.64499999999992</v>
      </c>
      <c r="AK81" s="221">
        <f t="shared" si="348"/>
        <v>-479.05799999999999</v>
      </c>
      <c r="AL81" s="221">
        <f t="shared" si="348"/>
        <v>-284.61299999999994</v>
      </c>
      <c r="AM81" s="219">
        <f t="shared" si="348"/>
        <v>-384.71</v>
      </c>
      <c r="AN81" s="221">
        <f t="shared" si="348"/>
        <v>-429.37500000000006</v>
      </c>
      <c r="AO81" s="221">
        <f t="shared" si="348"/>
        <v>-307.33600000000001</v>
      </c>
      <c r="AP81" s="221">
        <f t="shared" si="348"/>
        <v>-327.91500000000002</v>
      </c>
      <c r="AQ81" s="219">
        <f t="shared" si="348"/>
        <v>-307.11</v>
      </c>
      <c r="AR81" s="221">
        <f t="shared" si="348"/>
        <v>-378.35500000000002</v>
      </c>
      <c r="AS81" s="221">
        <f t="shared" si="348"/>
        <v>-411.2</v>
      </c>
      <c r="AT81" s="221">
        <f t="shared" si="348"/>
        <v>-348.40000000000003</v>
      </c>
      <c r="AU81" s="219">
        <f t="shared" si="348"/>
        <v>-465.20000000000005</v>
      </c>
      <c r="AV81" s="221">
        <f t="shared" si="348"/>
        <v>-648.6</v>
      </c>
      <c r="AW81" s="221">
        <f t="shared" si="348"/>
        <v>-797.8</v>
      </c>
      <c r="AX81" s="221">
        <f t="shared" si="348"/>
        <v>-835</v>
      </c>
      <c r="AY81" s="219">
        <f t="shared" si="348"/>
        <v>-764.19999999999993</v>
      </c>
      <c r="AZ81" s="221">
        <f t="shared" si="348"/>
        <v>-1004.6000000000001</v>
      </c>
      <c r="BA81" s="221">
        <f t="shared" si="348"/>
        <v>-1005.6</v>
      </c>
      <c r="BB81" s="221">
        <f t="shared" si="348"/>
        <v>-1050.5</v>
      </c>
      <c r="BC81" s="219">
        <f t="shared" si="348"/>
        <v>-972.59999999999991</v>
      </c>
      <c r="BD81" s="221">
        <f t="shared" si="348"/>
        <v>-1177.8</v>
      </c>
      <c r="BE81" s="221">
        <f t="shared" si="348"/>
        <v>-1117.7</v>
      </c>
      <c r="BF81" s="221">
        <f t="shared" ref="BF81:BK81" si="349">BF79-BF77</f>
        <v>-913.90000000000009</v>
      </c>
      <c r="BG81" s="219">
        <f t="shared" si="349"/>
        <v>-1014.5999999999999</v>
      </c>
      <c r="BH81" s="221">
        <f t="shared" si="349"/>
        <v>-1278.0999999999999</v>
      </c>
      <c r="BI81" s="221">
        <f t="shared" si="349"/>
        <v>-1328.3000000000002</v>
      </c>
      <c r="BJ81" s="221">
        <f t="shared" si="349"/>
        <v>-1361.2</v>
      </c>
      <c r="BK81" s="219">
        <f t="shared" si="349"/>
        <v>-1523.8999999999999</v>
      </c>
      <c r="BL81" s="221">
        <f t="shared" si="348"/>
        <v>-1588.6</v>
      </c>
      <c r="BM81" s="221">
        <f t="shared" si="348"/>
        <v>-1835.3767426868233</v>
      </c>
      <c r="BN81" s="221">
        <f t="shared" si="348"/>
        <v>-2001.9824747554435</v>
      </c>
      <c r="BO81" s="218">
        <f t="shared" si="348"/>
        <v>-2070.1770075521677</v>
      </c>
      <c r="BP81" s="220">
        <f t="shared" ref="BP81:BW81" si="350">BP79-BP77</f>
        <v>-2337.0337069430429</v>
      </c>
      <c r="BQ81" s="221">
        <f t="shared" si="350"/>
        <v>-2614.2147633303412</v>
      </c>
      <c r="BR81" s="221">
        <f t="shared" si="350"/>
        <v>-2828.019234788811</v>
      </c>
      <c r="BS81" s="218">
        <f t="shared" si="350"/>
        <v>-3015.5396618615464</v>
      </c>
      <c r="BT81" s="220">
        <f t="shared" si="350"/>
        <v>-3264.5863955569052</v>
      </c>
      <c r="BU81" s="221">
        <f t="shared" si="350"/>
        <v>-3544.0823057250818</v>
      </c>
      <c r="BV81" s="221">
        <f t="shared" si="350"/>
        <v>-3781.439096346086</v>
      </c>
      <c r="BW81" s="219">
        <f t="shared" si="350"/>
        <v>-3997.2602011960471</v>
      </c>
      <c r="BX81" s="799"/>
      <c r="BY81" s="220">
        <f>BY79-BY77</f>
        <v>145.87499999999997</v>
      </c>
      <c r="BZ81" s="221">
        <f>BZ79-BZ77</f>
        <v>65.448000000000008</v>
      </c>
      <c r="CA81" s="221">
        <f t="shared" si="348"/>
        <v>44.139999999999986</v>
      </c>
      <c r="CB81" s="221">
        <f t="shared" si="348"/>
        <v>58.134000000000015</v>
      </c>
      <c r="CC81" s="221">
        <f t="shared" ref="CC81:CN81" si="351">CC79-CC77</f>
        <v>58.134000000000015</v>
      </c>
      <c r="CD81" s="221">
        <f t="shared" si="351"/>
        <v>-43.449999999999989</v>
      </c>
      <c r="CE81" s="221">
        <f t="shared" si="351"/>
        <v>-246.73600000000002</v>
      </c>
      <c r="CF81" s="221">
        <f t="shared" si="351"/>
        <v>-384.642</v>
      </c>
      <c r="CG81" s="221">
        <f t="shared" si="351"/>
        <v>-384.71</v>
      </c>
      <c r="CH81" s="221">
        <f t="shared" si="351"/>
        <v>-307.11</v>
      </c>
      <c r="CI81" s="221">
        <f t="shared" si="351"/>
        <v>-465.20000000000005</v>
      </c>
      <c r="CJ81" s="221">
        <f t="shared" si="351"/>
        <v>-764.19999999999993</v>
      </c>
      <c r="CK81" s="221">
        <f t="shared" si="351"/>
        <v>-972.59999999999991</v>
      </c>
      <c r="CL81" s="221">
        <f t="shared" si="351"/>
        <v>-1014.5999999999999</v>
      </c>
      <c r="CM81" s="221">
        <f t="shared" si="351"/>
        <v>-1523.8999999999999</v>
      </c>
      <c r="CN81" s="218">
        <f t="shared" si="351"/>
        <v>-2070.1770075521677</v>
      </c>
      <c r="CO81" s="218">
        <f>CO79-CO77</f>
        <v>-3015.5396618615464</v>
      </c>
      <c r="CP81" s="219">
        <f>CP79-CP77</f>
        <v>-3997.2602011960471</v>
      </c>
      <c r="CQ81" s="131"/>
      <c r="CR81" s="221">
        <f t="shared" ref="CR81:DD81" si="352">CR79-CR77</f>
        <v>35.525000000000006</v>
      </c>
      <c r="CS81" s="221">
        <f t="shared" si="352"/>
        <v>46.001000000000005</v>
      </c>
      <c r="CT81" s="221">
        <f t="shared" si="352"/>
        <v>42.52000000000001</v>
      </c>
      <c r="CU81" s="221">
        <f t="shared" si="352"/>
        <v>-102.541</v>
      </c>
      <c r="CV81" s="221">
        <f t="shared" si="352"/>
        <v>-283.07100000000003</v>
      </c>
      <c r="CW81" s="221">
        <f t="shared" si="352"/>
        <v>-425.64499999999992</v>
      </c>
      <c r="CX81" s="221">
        <f t="shared" si="352"/>
        <v>-429.37500000000006</v>
      </c>
      <c r="CY81" s="221">
        <f t="shared" si="352"/>
        <v>-378.35500000000002</v>
      </c>
      <c r="CZ81" s="219">
        <f t="shared" si="352"/>
        <v>-648.6</v>
      </c>
      <c r="DA81" s="221">
        <f t="shared" si="352"/>
        <v>-1004.6000000000001</v>
      </c>
      <c r="DB81" s="221">
        <f t="shared" si="352"/>
        <v>-1177.8</v>
      </c>
      <c r="DC81" s="221">
        <f t="shared" si="352"/>
        <v>-1278.0999999999999</v>
      </c>
      <c r="DD81" s="221">
        <f t="shared" si="352"/>
        <v>-1588.6</v>
      </c>
      <c r="DE81" s="218">
        <f>DE79-DE77</f>
        <v>-2337.0337069430429</v>
      </c>
      <c r="DF81" s="219">
        <f>DF79-DF77</f>
        <v>-3264.5863955569052</v>
      </c>
      <c r="DG81" s="110"/>
      <c r="DH81" s="110"/>
      <c r="DI81" s="110"/>
      <c r="DJ81" s="110"/>
      <c r="DK81"/>
      <c r="DL81"/>
      <c r="DM81"/>
      <c r="DN81"/>
      <c r="DO81"/>
      <c r="DP81"/>
      <c r="DS81" s="3"/>
    </row>
    <row r="82" spans="2:123" s="109" customFormat="1" ht="14.25">
      <c r="B82" s="14" t="s">
        <v>475</v>
      </c>
      <c r="C82" s="24"/>
      <c r="D82" s="788">
        <f>D81/IS!D126</f>
        <v>1.3116479085687767</v>
      </c>
      <c r="E82" s="788">
        <f>E81/IS!E126</f>
        <v>1.3809947806950869</v>
      </c>
      <c r="F82" s="788">
        <f>F81/IS!F126</f>
        <v>1.512596501092057</v>
      </c>
      <c r="G82" s="798">
        <f>G81/IS!G126</f>
        <v>1.0236985782256591</v>
      </c>
      <c r="H82" s="788">
        <f>H81/IS!H126</f>
        <v>0.87711676390921656</v>
      </c>
      <c r="I82" s="788">
        <f>I81/IS!I126</f>
        <v>0.82310771372727498</v>
      </c>
      <c r="J82" s="788">
        <f>J81/IS!J126</f>
        <v>0.50104975720339517</v>
      </c>
      <c r="K82" s="798">
        <f>K81/IS!K126</f>
        <v>0.41532925923810621</v>
      </c>
      <c r="L82" s="788">
        <f>L81/IS!L126</f>
        <v>0.40467574966174746</v>
      </c>
      <c r="M82" s="788">
        <f>M81/IS!M126</f>
        <v>0.37785211600972013</v>
      </c>
      <c r="N82" s="788">
        <f>N81/IS!N126</f>
        <v>0.28056742415648922</v>
      </c>
      <c r="O82" s="798">
        <f>O81/IS!O126</f>
        <v>0.27621508982935233</v>
      </c>
      <c r="P82" s="788">
        <f>P81/IS!P126</f>
        <v>0.2236710382995335</v>
      </c>
      <c r="Q82" s="788">
        <f>Q81/IS!Q126</f>
        <v>0.29012898658765007</v>
      </c>
      <c r="R82" s="788">
        <f>R81/IS!R126</f>
        <v>0.46510977398741882</v>
      </c>
      <c r="S82" s="798">
        <f>S81/IS!S126</f>
        <v>0.36270729607307317</v>
      </c>
      <c r="T82" s="788">
        <f>T81/IS!T126</f>
        <v>0.28242264243614934</v>
      </c>
      <c r="U82" s="788">
        <f>U81/IS!U126</f>
        <v>0.41122539698219462</v>
      </c>
      <c r="V82" s="788">
        <f>V81/IS!V126</f>
        <v>0.40453159368126351</v>
      </c>
      <c r="W82" s="798">
        <f>W81/IS!W126</f>
        <v>0.27278061866040731</v>
      </c>
      <c r="X82" s="788">
        <f>X81/IS!X126</f>
        <v>0.26112161929794397</v>
      </c>
      <c r="Y82" s="788">
        <f>Y81/IS!Y126</f>
        <v>0.1321679694690211</v>
      </c>
      <c r="Z82" s="788">
        <f>Z81/IS!Z126</f>
        <v>-2.4154413327745539E-2</v>
      </c>
      <c r="AA82" s="798">
        <f>AA81/IS!AA126</f>
        <v>-0.26372492488847071</v>
      </c>
      <c r="AB82" s="788">
        <f>AB81/IS!AB126</f>
        <v>-0.62075332348596757</v>
      </c>
      <c r="AC82" s="788">
        <f>AC81/IS!AC126</f>
        <v>-0.72770592239618792</v>
      </c>
      <c r="AD82" s="788">
        <f>AD81/IS!AD126</f>
        <v>-0.95118714053974374</v>
      </c>
      <c r="AE82" s="798">
        <f>AE81/IS!AE126</f>
        <v>-1.3930442637759712</v>
      </c>
      <c r="AF82" s="788">
        <f>AF81/IS!AF126</f>
        <v>-1.5778410737776194</v>
      </c>
      <c r="AG82" s="788">
        <f>AG81/IS!AG126</f>
        <v>-1.7436968358443947</v>
      </c>
      <c r="AH82" s="788">
        <f>AH81/IS!AH126</f>
        <v>-1.7158720750017675</v>
      </c>
      <c r="AI82" s="798">
        <f>AI81/IS!AI126</f>
        <v>-2.0821397252265417</v>
      </c>
      <c r="AJ82" s="788">
        <f>AJ81/IS!AJ126</f>
        <v>-2.2575726234612095</v>
      </c>
      <c r="AK82" s="788">
        <f>AK81/IS!AK126</f>
        <v>-2.4956006688858672</v>
      </c>
      <c r="AL82" s="788">
        <f>AL81/IS!AL126</f>
        <v>-1.4871616678858812</v>
      </c>
      <c r="AM82" s="798">
        <f>AM81/IS!AM126</f>
        <v>-2.0164477477383036</v>
      </c>
      <c r="AN82" s="788">
        <f>AN81/IS!AN126</f>
        <v>-2.2636570681456338</v>
      </c>
      <c r="AO82" s="788">
        <f>AO81/IS!AO126</f>
        <v>-1.6089542237299495</v>
      </c>
      <c r="AP82" s="788">
        <f>AP81/IS!AP126</f>
        <v>-1.7038351423954443</v>
      </c>
      <c r="AQ82" s="798">
        <f>AQ81/IS!AQ126</f>
        <v>-1.5811747988199496</v>
      </c>
      <c r="AR82" s="788">
        <f>AR81/IS!AR126</f>
        <v>-1.9502734521987</v>
      </c>
      <c r="AS82" s="788">
        <f>AS81/IS!AS126</f>
        <v>-2.1294665976178146</v>
      </c>
      <c r="AT82" s="788">
        <f>AT81/IS!AT126</f>
        <v>-1.8221757322175736</v>
      </c>
      <c r="AU82" s="798">
        <f>AU81/IS!AU126</f>
        <v>-2.4445612191276931</v>
      </c>
      <c r="AV82" s="788">
        <f>AV81/IS!AV126</f>
        <v>-3.3922594142259417</v>
      </c>
      <c r="AW82" s="788">
        <f>AW81/IS!AW126</f>
        <v>-4.1508844953173778</v>
      </c>
      <c r="AX82" s="788">
        <f>AX81/IS!AX126</f>
        <v>-4.3219461697722572</v>
      </c>
      <c r="AY82" s="798">
        <f>AY81/IS!AY126</f>
        <v>-3.9432404540763666</v>
      </c>
      <c r="AZ82" s="788">
        <f>AZ81/IS!AZ126</f>
        <v>-5.1730175077239968</v>
      </c>
      <c r="BA82" s="788">
        <f>BA81/IS!BA126</f>
        <v>-5.1516393442622954</v>
      </c>
      <c r="BB82" s="788">
        <f>BB81/IS!BB126</f>
        <v>-5.3761514841351072</v>
      </c>
      <c r="BC82" s="798">
        <f>BC81/IS!BC126</f>
        <v>-4.9902514109799894</v>
      </c>
      <c r="BD82" s="788">
        <f>BD81/IS!BD126</f>
        <v>-6.0493066255778123</v>
      </c>
      <c r="BE82" s="788">
        <f>BE81/IS!BE126</f>
        <v>-5.7822038282462493</v>
      </c>
      <c r="BF82" s="788">
        <f>BF81/IS!BF126</f>
        <v>-4.7673448095983311</v>
      </c>
      <c r="BG82" s="798">
        <f>BG81/IS!BG126</f>
        <v>-5.3739406779661012</v>
      </c>
      <c r="BH82" s="788">
        <f>BH81/IS!BH126</f>
        <v>-6.8238120662039501</v>
      </c>
      <c r="BI82" s="788">
        <f>BI81/IS!BI126</f>
        <v>-7.0994120791020858</v>
      </c>
      <c r="BJ82" s="788">
        <f>BJ81/IS!BJ126</f>
        <v>-7.294748124330118</v>
      </c>
      <c r="BK82" s="798">
        <f>BK81/IS!BK126</f>
        <v>-8.2062466343564893</v>
      </c>
      <c r="BL82" s="788">
        <f>BL81/IS!BL126</f>
        <v>-8.56388140161725</v>
      </c>
      <c r="BM82" s="788">
        <f>BM81/IS!BM126</f>
        <v>-9.92095536587472</v>
      </c>
      <c r="BN82" s="788">
        <f>BN81/IS!BN126</f>
        <v>-10.865576525131308</v>
      </c>
      <c r="BO82" s="789">
        <f>BO81/IS!BO126</f>
        <v>-11.281618569766581</v>
      </c>
      <c r="BP82" s="807">
        <f>BP81/IS!BP126</f>
        <v>-12.788146139223217</v>
      </c>
      <c r="BQ82" s="788">
        <f>BQ81/IS!BQ126</f>
        <v>-14.36381738093594</v>
      </c>
      <c r="BR82" s="788">
        <f>BR81/IS!BR126</f>
        <v>-15.602864743662405</v>
      </c>
      <c r="BS82" s="789">
        <f>BS81/IS!BS126</f>
        <v>-16.7065909244407</v>
      </c>
      <c r="BT82" s="807">
        <f>BT81/IS!BT126</f>
        <v>-18.161815830636467</v>
      </c>
      <c r="BU82" s="788">
        <f>BU81/IS!BU126</f>
        <v>-19.799342490084257</v>
      </c>
      <c r="BV82" s="788">
        <f>BV81/IS!BV126</f>
        <v>-21.214244579781688</v>
      </c>
      <c r="BW82" s="798">
        <f>BW81/IS!BW126</f>
        <v>-22.51977578138618</v>
      </c>
      <c r="BX82" s="800"/>
      <c r="BY82" s="807">
        <f>BY81/IS!BY126</f>
        <v>1.04708001952396</v>
      </c>
      <c r="BZ82" s="789">
        <f>BZ81/IS!BZ126</f>
        <v>0.38575293375691816</v>
      </c>
      <c r="CA82" s="789">
        <f>CA81/IS!CA126</f>
        <v>0.24154800862436923</v>
      </c>
      <c r="CB82" s="789">
        <f>CB81/IS!CB126</f>
        <v>0.32147671140837542</v>
      </c>
      <c r="CC82" s="789">
        <f>CC81/IS!CC126</f>
        <v>0.30733687894519818</v>
      </c>
      <c r="CD82" s="789">
        <f>CD81/IS!CD126</f>
        <v>-0.26372492488847071</v>
      </c>
      <c r="CE82" s="789">
        <f>CE81/IS!CE126</f>
        <v>-1.4542711139140532</v>
      </c>
      <c r="CF82" s="789">
        <f>CF81/IS!CF126</f>
        <v>-2.1048823999387101</v>
      </c>
      <c r="CG82" s="789">
        <f>CG81/IS!CG126</f>
        <v>-2.0177062627512883</v>
      </c>
      <c r="CH82" s="789">
        <f>CH81/IS!CH126</f>
        <v>-1.6008152372215214</v>
      </c>
      <c r="CI82" s="789">
        <f>CI81/IS!CI126</f>
        <v>-2.4210220907857267</v>
      </c>
      <c r="CJ82" s="789">
        <f>CJ81/IS!CJ126</f>
        <v>-3.9678089304257531</v>
      </c>
      <c r="CK82" s="789">
        <f>CK81/IS!CK126</f>
        <v>-5.0498442367601246</v>
      </c>
      <c r="CL82" s="789">
        <f>CL81/IS!CL126</f>
        <v>-5.2809368900455427</v>
      </c>
      <c r="CM82" s="789">
        <f>CM81/IS!CM126</f>
        <v>-8.1633855631445016</v>
      </c>
      <c r="CN82" s="789">
        <f>CN81/IS!CN126</f>
        <v>-11.216671900045609</v>
      </c>
      <c r="CO82" s="789">
        <f>CO81/IS!CO126</f>
        <v>-16.603108943490966</v>
      </c>
      <c r="CP82" s="219">
        <f>CP81/IS!CP126</f>
        <v>-22.377943743574793</v>
      </c>
      <c r="CQ82" s="131"/>
      <c r="CR82" s="789">
        <f>CR81/IS!CR126</f>
        <v>0.2236710382995335</v>
      </c>
      <c r="CS82" s="789">
        <f>CS81/IS!CS126</f>
        <v>0.28242264243614934</v>
      </c>
      <c r="CT82" s="789">
        <f>CT81/IS!CT126</f>
        <v>0.26112161929794397</v>
      </c>
      <c r="CU82" s="789">
        <f>CU81/IS!CU126</f>
        <v>-0.62075332348596757</v>
      </c>
      <c r="CV82" s="789">
        <f>CV81/IS!CV126</f>
        <v>-1.5778410737776194</v>
      </c>
      <c r="CW82" s="789">
        <f>CW81/IS!CW126</f>
        <v>-2.2575726234612095</v>
      </c>
      <c r="CX82" s="789">
        <f>CX81/IS!CX126</f>
        <v>-2.2636570681456338</v>
      </c>
      <c r="CY82" s="789">
        <f>CY81/IS!CY126</f>
        <v>-1.9502734521987</v>
      </c>
      <c r="CZ82" s="798">
        <f>CZ81/IS!CZ126</f>
        <v>-3.3922594142259417</v>
      </c>
      <c r="DA82" s="789">
        <f>DA81/IS!DA126</f>
        <v>-5.1730175077239968</v>
      </c>
      <c r="DB82" s="789">
        <f>DB81/IS!DB126</f>
        <v>-6.0384516790566511</v>
      </c>
      <c r="DC82" s="789">
        <f>DC81/IS!DC126</f>
        <v>-6.7171199579555907</v>
      </c>
      <c r="DD82" s="789">
        <f>DD81/IS!DD126</f>
        <v>-8.5305410122164052</v>
      </c>
      <c r="DE82" s="789">
        <f>DE81/IS!DE126</f>
        <v>-12.709904592484259</v>
      </c>
      <c r="DF82" s="798">
        <f>DF81/IS!DF126</f>
        <v>-18.048853603631819</v>
      </c>
      <c r="DG82" s="110"/>
      <c r="DH82" s="110"/>
      <c r="DI82" s="110"/>
      <c r="DJ82" s="110"/>
      <c r="DK82"/>
      <c r="DL82"/>
      <c r="DM82"/>
      <c r="DN82"/>
      <c r="DO82"/>
      <c r="DP82"/>
      <c r="DS82" s="3"/>
    </row>
    <row r="83" spans="2:123" s="109" customFormat="1" ht="14.25">
      <c r="B83" s="185" t="s">
        <v>164</v>
      </c>
      <c r="C83" s="186"/>
      <c r="D83" s="222">
        <f t="shared" ref="D83:O83" si="353">D14-D28</f>
        <v>163.93600000000004</v>
      </c>
      <c r="E83" s="222">
        <f t="shared" si="353"/>
        <v>153.20499999999998</v>
      </c>
      <c r="F83" s="222">
        <f t="shared" si="353"/>
        <v>154.02399999999997</v>
      </c>
      <c r="G83" s="223">
        <f t="shared" si="353"/>
        <v>249.27899999999997</v>
      </c>
      <c r="H83" s="222">
        <f t="shared" si="353"/>
        <v>251.23500000000001</v>
      </c>
      <c r="I83" s="222">
        <f t="shared" si="353"/>
        <v>261.2</v>
      </c>
      <c r="J83" s="222">
        <f t="shared" si="353"/>
        <v>263.61700000000002</v>
      </c>
      <c r="K83" s="223">
        <f t="shared" si="353"/>
        <v>282.61299999999994</v>
      </c>
      <c r="L83" s="222">
        <f t="shared" si="353"/>
        <v>308.67900000000009</v>
      </c>
      <c r="M83" s="222">
        <f t="shared" si="353"/>
        <v>319.06300000000005</v>
      </c>
      <c r="N83" s="222">
        <f t="shared" si="353"/>
        <v>330.84500000000003</v>
      </c>
      <c r="O83" s="223">
        <f t="shared" si="353"/>
        <v>337.74700000000007</v>
      </c>
      <c r="P83" s="222">
        <f t="shared" ref="P83:W83" si="354">P14-P28</f>
        <v>343.34100000000001</v>
      </c>
      <c r="Q83" s="222">
        <f t="shared" si="354"/>
        <v>299.70699999999999</v>
      </c>
      <c r="R83" s="222">
        <f t="shared" si="354"/>
        <v>309.01200000000006</v>
      </c>
      <c r="S83" s="223">
        <f t="shared" si="354"/>
        <v>245.22300000000001</v>
      </c>
      <c r="T83" s="222">
        <f t="shared" si="354"/>
        <v>87.200000000000045</v>
      </c>
      <c r="U83" s="222">
        <f t="shared" si="354"/>
        <v>271.01000000000005</v>
      </c>
      <c r="V83" s="222">
        <f t="shared" si="354"/>
        <v>289.01200000000006</v>
      </c>
      <c r="W83" s="223">
        <f t="shared" si="354"/>
        <v>316.49499999999995</v>
      </c>
      <c r="X83" s="222">
        <f t="shared" ref="X83:AW83" si="355">X14-X28</f>
        <v>309.96199999999999</v>
      </c>
      <c r="Y83" s="222">
        <f t="shared" si="355"/>
        <v>332.29699999999991</v>
      </c>
      <c r="Z83" s="222">
        <f t="shared" si="355"/>
        <v>372.81600000000003</v>
      </c>
      <c r="AA83" s="223">
        <f t="shared" si="355"/>
        <v>345.916</v>
      </c>
      <c r="AB83" s="222">
        <f t="shared" si="355"/>
        <v>334.13599999999997</v>
      </c>
      <c r="AC83" s="222">
        <f t="shared" si="355"/>
        <v>303.34100000000001</v>
      </c>
      <c r="AD83" s="222">
        <f t="shared" si="355"/>
        <v>334.38800000000003</v>
      </c>
      <c r="AE83" s="223">
        <f t="shared" si="355"/>
        <v>393.88400000000007</v>
      </c>
      <c r="AF83" s="222">
        <f t="shared" si="355"/>
        <v>439.05700000000007</v>
      </c>
      <c r="AG83" s="222">
        <f t="shared" si="355"/>
        <v>473.80500000000006</v>
      </c>
      <c r="AH83" s="222">
        <f t="shared" si="355"/>
        <v>492.53899999999999</v>
      </c>
      <c r="AI83" s="223">
        <f t="shared" si="355"/>
        <v>585.54099999999994</v>
      </c>
      <c r="AJ83" s="222">
        <f t="shared" si="355"/>
        <v>663.53699999999992</v>
      </c>
      <c r="AK83" s="222">
        <f t="shared" si="355"/>
        <v>696</v>
      </c>
      <c r="AL83" s="222">
        <f t="shared" si="355"/>
        <v>467.78399999999993</v>
      </c>
      <c r="AM83" s="223">
        <f>AM14-AM28</f>
        <v>569.23800000000006</v>
      </c>
      <c r="AN83" s="222">
        <f t="shared" si="355"/>
        <v>643.83999999999992</v>
      </c>
      <c r="AO83" s="222">
        <f t="shared" si="355"/>
        <v>509.69000000000011</v>
      </c>
      <c r="AP83" s="222">
        <f t="shared" si="355"/>
        <v>589.91899999999998</v>
      </c>
      <c r="AQ83" s="223">
        <f t="shared" si="355"/>
        <v>700.65900000000011</v>
      </c>
      <c r="AR83" s="222">
        <f t="shared" si="355"/>
        <v>743.86500000000001</v>
      </c>
      <c r="AS83" s="222">
        <f t="shared" si="355"/>
        <v>801.1</v>
      </c>
      <c r="AT83" s="222">
        <f t="shared" si="355"/>
        <v>800.6</v>
      </c>
      <c r="AU83" s="223">
        <f t="shared" si="355"/>
        <v>893.59999999999991</v>
      </c>
      <c r="AV83" s="222">
        <f t="shared" si="355"/>
        <v>1014.3000000000002</v>
      </c>
      <c r="AW83" s="222">
        <f t="shared" si="355"/>
        <v>1086.0999999999999</v>
      </c>
      <c r="AX83" s="222">
        <f t="shared" ref="AX83:BC83" si="356">AX14-AX28</f>
        <v>1152.5000000000002</v>
      </c>
      <c r="AY83" s="223">
        <f t="shared" si="356"/>
        <v>1131.5999999999999</v>
      </c>
      <c r="AZ83" s="222">
        <f t="shared" si="356"/>
        <v>1257.5</v>
      </c>
      <c r="BA83" s="222">
        <f t="shared" si="356"/>
        <v>1380.3000000000002</v>
      </c>
      <c r="BB83" s="222">
        <f t="shared" si="356"/>
        <v>1499.1000000000001</v>
      </c>
      <c r="BC83" s="223">
        <f t="shared" si="356"/>
        <v>1450.8</v>
      </c>
      <c r="BD83" s="222">
        <f t="shared" ref="BD83:BG83" si="357">BD14-BD28</f>
        <v>1746.8000000000002</v>
      </c>
      <c r="BE83" s="222">
        <f t="shared" si="357"/>
        <v>1802.3</v>
      </c>
      <c r="BF83" s="222">
        <f t="shared" si="357"/>
        <v>1731.1000000000004</v>
      </c>
      <c r="BG83" s="223">
        <f t="shared" si="357"/>
        <v>1791.9</v>
      </c>
      <c r="BH83" s="222">
        <f>BH14-BH28</f>
        <v>1895.1000000000004</v>
      </c>
      <c r="BI83" s="222">
        <f>BI14-BI28</f>
        <v>2041.1999999999998</v>
      </c>
      <c r="BJ83" s="222">
        <f>BJ14-BJ28</f>
        <v>2111.1999999999998</v>
      </c>
      <c r="BK83" s="223">
        <f t="shared" ref="BK83" si="358">BK14-BK28</f>
        <v>2245.7999999999997</v>
      </c>
      <c r="BL83" s="222">
        <f t="shared" ref="BL83:BS83" si="359">BL14-BL28</f>
        <v>2365.1</v>
      </c>
      <c r="BM83" s="222">
        <f t="shared" si="359"/>
        <v>2504.815706700037</v>
      </c>
      <c r="BN83" s="222">
        <f t="shared" si="359"/>
        <v>2645.4490101799856</v>
      </c>
      <c r="BO83" s="222">
        <f t="shared" si="359"/>
        <v>2836.5186717267416</v>
      </c>
      <c r="BP83" s="912">
        <f t="shared" si="359"/>
        <v>3075.6372138751071</v>
      </c>
      <c r="BQ83" s="222">
        <f t="shared" si="359"/>
        <v>3287.0674312131168</v>
      </c>
      <c r="BR83" s="222">
        <f t="shared" si="359"/>
        <v>3500.7090599390203</v>
      </c>
      <c r="BS83" s="222">
        <f t="shared" si="359"/>
        <v>3738.7143633217734</v>
      </c>
      <c r="BT83" s="912">
        <f t="shared" ref="BT83:BW83" si="360">BT14-BT28</f>
        <v>3993.4787044521172</v>
      </c>
      <c r="BU83" s="222">
        <f t="shared" si="360"/>
        <v>4232.9752790020493</v>
      </c>
      <c r="BV83" s="222">
        <f t="shared" si="360"/>
        <v>4478.8707306529286</v>
      </c>
      <c r="BW83" s="222">
        <f t="shared" si="360"/>
        <v>4751.7675094602955</v>
      </c>
      <c r="BX83" s="131"/>
      <c r="BY83" s="222">
        <f>BY14-BY28</f>
        <v>249.27899999999997</v>
      </c>
      <c r="BZ83" s="222">
        <f>BZ14-BZ28</f>
        <v>282.61299999999994</v>
      </c>
      <c r="CA83" s="222">
        <f>CA14-CA28</f>
        <v>337.74700000000007</v>
      </c>
      <c r="CB83" s="222">
        <f>CB14-CB28</f>
        <v>245.22300000000001</v>
      </c>
      <c r="CC83" s="222">
        <f>CB14-CB28</f>
        <v>245.22300000000001</v>
      </c>
      <c r="CD83" s="222">
        <f>CD14-CD28</f>
        <v>345.916</v>
      </c>
      <c r="CE83" s="222">
        <f>CE14-CE28</f>
        <v>393.88400000000007</v>
      </c>
      <c r="CF83" s="222">
        <f>CF14-CF28</f>
        <v>585.54099999999994</v>
      </c>
      <c r="CG83" s="222">
        <f>CG14-CG28</f>
        <v>569.23800000000006</v>
      </c>
      <c r="CH83" s="222">
        <f t="shared" ref="CH83:CZ83" si="361">CH14-CH28</f>
        <v>700.65900000000011</v>
      </c>
      <c r="CI83" s="222">
        <f t="shared" si="361"/>
        <v>893.59999999999991</v>
      </c>
      <c r="CJ83" s="222">
        <f t="shared" si="361"/>
        <v>1131.5999999999999</v>
      </c>
      <c r="CK83" s="222">
        <f t="shared" si="361"/>
        <v>1450.8</v>
      </c>
      <c r="CL83" s="222">
        <f t="shared" si="361"/>
        <v>1791.9</v>
      </c>
      <c r="CM83" s="222">
        <f t="shared" si="361"/>
        <v>2245.7999999999997</v>
      </c>
      <c r="CN83" s="222">
        <f t="shared" si="361"/>
        <v>2836.5186717267416</v>
      </c>
      <c r="CO83" s="222">
        <f>CO14-CO28</f>
        <v>3738.7143633217734</v>
      </c>
      <c r="CP83" s="223">
        <f>CP14-CP28</f>
        <v>4751.7675094602955</v>
      </c>
      <c r="CQ83" s="131"/>
      <c r="CR83" s="222">
        <f>CR14-CR28</f>
        <v>343.34100000000001</v>
      </c>
      <c r="CS83" s="222">
        <f>CS14-CS28</f>
        <v>87.200000000000045</v>
      </c>
      <c r="CT83" s="222">
        <f>CT14-CT28</f>
        <v>309.96199999999999</v>
      </c>
      <c r="CU83" s="222">
        <f t="shared" si="361"/>
        <v>334.13599999999997</v>
      </c>
      <c r="CV83" s="222">
        <f t="shared" si="361"/>
        <v>439.05700000000007</v>
      </c>
      <c r="CW83" s="222">
        <f t="shared" si="361"/>
        <v>663.53699999999992</v>
      </c>
      <c r="CX83" s="222">
        <f t="shared" si="361"/>
        <v>643.83999999999992</v>
      </c>
      <c r="CY83" s="222">
        <f t="shared" si="361"/>
        <v>743.86500000000001</v>
      </c>
      <c r="CZ83" s="223">
        <f t="shared" si="361"/>
        <v>1014.3000000000002</v>
      </c>
      <c r="DA83" s="222">
        <f t="shared" ref="DA83:DF83" si="362">DA14-DA28</f>
        <v>1257.5</v>
      </c>
      <c r="DB83" s="222">
        <f t="shared" si="362"/>
        <v>1746.8000000000002</v>
      </c>
      <c r="DC83" s="222">
        <f t="shared" si="362"/>
        <v>1895.1000000000004</v>
      </c>
      <c r="DD83" s="222">
        <f t="shared" si="362"/>
        <v>2365.1</v>
      </c>
      <c r="DE83" s="222">
        <f t="shared" si="362"/>
        <v>3075.6372138751071</v>
      </c>
      <c r="DF83" s="223">
        <f t="shared" si="362"/>
        <v>3993.4787044521172</v>
      </c>
      <c r="DG83" s="110"/>
      <c r="DH83" s="110"/>
      <c r="DI83" s="110"/>
      <c r="DJ83" s="110"/>
      <c r="DK83"/>
      <c r="DL83"/>
      <c r="DM83"/>
      <c r="DN83"/>
      <c r="DO83"/>
      <c r="DP83"/>
      <c r="DS83" s="3"/>
    </row>
    <row r="84" spans="2:123" s="109" customFormat="1" ht="14.25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785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217"/>
      <c r="CG84" s="217"/>
      <c r="CH84" s="217"/>
      <c r="CI84" s="6"/>
      <c r="CJ84" s="6"/>
      <c r="CK84" s="6"/>
      <c r="CL84" s="6"/>
      <c r="CM84" s="6"/>
      <c r="CN84" s="6"/>
      <c r="CO84" s="6"/>
      <c r="CP84" s="785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110"/>
      <c r="DH84" s="110"/>
      <c r="DI84" s="110"/>
      <c r="DJ84" s="110"/>
      <c r="DK84"/>
      <c r="DL84"/>
      <c r="DM84"/>
      <c r="DN84"/>
      <c r="DO84"/>
      <c r="DP84"/>
      <c r="DS84" s="3"/>
    </row>
    <row r="85" spans="2:123" s="109" customFormat="1" ht="15">
      <c r="B85" s="801" t="s">
        <v>476</v>
      </c>
      <c r="C85" s="802"/>
      <c r="D85" s="790">
        <f>D81/SUM(IS!A142:D142)</f>
        <v>14.100802993685202</v>
      </c>
      <c r="E85" s="790">
        <f>E81/SUM(IS!B142:E142)</f>
        <v>6.4890642538861867</v>
      </c>
      <c r="F85" s="790">
        <f>F81/SUM(IS!C142:F142)</f>
        <v>5.3970062498392517</v>
      </c>
      <c r="G85" s="791">
        <f>G81/SUM(IS!D142:G142)</f>
        <v>3.456425931191355</v>
      </c>
      <c r="H85" s="790">
        <f>H81/SUM(IS!E142:H142)</f>
        <v>2.6949780237668874</v>
      </c>
      <c r="I85" s="790">
        <f>I81/SUM(IS!F142:I142)</f>
        <v>2.2720285276130276</v>
      </c>
      <c r="J85" s="790">
        <f>J81/SUM(IS!G142:J142)</f>
        <v>1.0773832603999329</v>
      </c>
      <c r="K85" s="791">
        <f>K81/SUM(IS!H142:K142)</f>
        <v>0.65537130497476592</v>
      </c>
      <c r="L85" s="790">
        <f>L81/SUM(IS!I142:L142)</f>
        <v>0.56796000741911834</v>
      </c>
      <c r="M85" s="790">
        <f>M81/SUM(IS!J142:M142)</f>
        <v>2.3053373382624818</v>
      </c>
      <c r="N85" s="790">
        <f>N81/SUM(IS!K142:N142)</f>
        <v>2.2550270982120311</v>
      </c>
      <c r="O85" s="791">
        <f>O81/SUM(IS!L142:O142)</f>
        <v>0.4802262960343795</v>
      </c>
      <c r="P85" s="790">
        <f>P81/SUM(IS!M142:P142)</f>
        <v>0.43428033544412126</v>
      </c>
      <c r="Q85" s="790">
        <f>Q81/SUM(IS!N142:Q142)</f>
        <v>0.28332925486357508</v>
      </c>
      <c r="R85" s="790">
        <f>R81/SUM(IS!O142:R142)</f>
        <v>0.4622051183850463</v>
      </c>
      <c r="S85" s="791">
        <f>S81/SUM(IS!P142:S142)</f>
        <v>0.72273878389819468</v>
      </c>
      <c r="T85" s="790">
        <f>T81/SUM(IS!Q142:T142)</f>
        <v>0.51209691334729313</v>
      </c>
      <c r="U85" s="790">
        <f>U81/SUM(IS!R142:U142)</f>
        <v>0.66068737991582593</v>
      </c>
      <c r="V85" s="790">
        <f>V81/SUM(IS!S142:V142)</f>
        <v>0.59921675489204185</v>
      </c>
      <c r="W85" s="791">
        <f>W81/SUM(IS!T142:W142)</f>
        <v>0.38129514467219644</v>
      </c>
      <c r="X85" s="790">
        <f>X81/SUM(IS!U142:X142)</f>
        <v>0.33594589469692215</v>
      </c>
      <c r="Y85" s="790">
        <f>Y81/SUM(IS!V142:Y142)</f>
        <v>0.1576709120187382</v>
      </c>
      <c r="Z85" s="790">
        <f>Z81/SUM(IS!W142:Z142)</f>
        <v>-2.6267296324427713E-2</v>
      </c>
      <c r="AA85" s="791">
        <f>AA81/SUM(IS!X142:AA142)</f>
        <v>-0.26241091919313903</v>
      </c>
      <c r="AB85" s="790">
        <f>AB81/SUM(IS!Y142:AB142)</f>
        <v>-0.61801098112957331</v>
      </c>
      <c r="AC85" s="790">
        <f>AC81/SUM(IS!Z142:AC142)</f>
        <v>-0.74680836594518685</v>
      </c>
      <c r="AD85" s="790">
        <f>AD81/SUM(IS!AA142:AD142)</f>
        <v>-1.0095603012715759</v>
      </c>
      <c r="AE85" s="791">
        <f>AE81/SUM(IS!AB142:AE142)</f>
        <v>-1.4922134394523101</v>
      </c>
      <c r="AF85" s="790">
        <f>AF81/SUM(IS!AC142:AF142)</f>
        <v>-1.500318008840646</v>
      </c>
      <c r="AG85" s="790">
        <f>AG81/SUM(IS!AD142:AG142)</f>
        <v>-1.4771296918054051</v>
      </c>
      <c r="AH85" s="790">
        <f>AH81/SUM(IS!AE142:AH142)</f>
        <v>-1.2539542499244922</v>
      </c>
      <c r="AI85" s="791">
        <f>AI81/SUM(IS!AF142:AI142)</f>
        <v>-1.3131881450426246</v>
      </c>
      <c r="AJ85" s="790">
        <f>AJ81/SUM(IS!AG142:AJ142)</f>
        <v>-1.2661599785822648</v>
      </c>
      <c r="AK85" s="790">
        <f>AK81/SUM(IS!AH142:AK142)</f>
        <v>-1.2766845398629127</v>
      </c>
      <c r="AL85" s="790">
        <f>AL81/SUM(IS!AI142:AL142)</f>
        <v>-0.68984046652996511</v>
      </c>
      <c r="AM85" s="791">
        <f>AM81/SUM(IS!AJ142:AM142)</f>
        <v>-0.86565874535623411</v>
      </c>
      <c r="AN85" s="790">
        <f>AN81/SUM(IS!AK142:AN142)</f>
        <v>-0.93253395129430849</v>
      </c>
      <c r="AO85" s="790">
        <f>AO81/SUM(IS!AL142:AO142)</f>
        <v>-0.66403599678054859</v>
      </c>
      <c r="AP85" s="790">
        <f>AP81/SUM(IS!AM142:AP142)</f>
        <v>-0.71456848604558043</v>
      </c>
      <c r="AQ85" s="791">
        <f>AQ81/SUM(IS!AN142:AQ142)</f>
        <v>-0.67661271760209296</v>
      </c>
      <c r="AR85" s="790">
        <f>AR81/SUM(IS!AO142:AR142)</f>
        <v>-0.81412479881687305</v>
      </c>
      <c r="AS85" s="790">
        <f>AS81/SUM(IS!AP142:AS142)</f>
        <v>-0.85421435960928838</v>
      </c>
      <c r="AT85" s="790">
        <f>AT81/SUM(IS!AQ142:AT142)</f>
        <v>-0.69289071061073437</v>
      </c>
      <c r="AU85" s="791">
        <f>AU81/SUM(IS!AR142:AU142)</f>
        <v>-0.8761208112592449</v>
      </c>
      <c r="AV85" s="790">
        <f>AV81/SUM(IS!AS142:AV142)</f>
        <v>-1.1576313356488339</v>
      </c>
      <c r="AW85" s="790">
        <f>AW81/SUM(IS!AT142:AW142)</f>
        <v>-1.3428715704426863</v>
      </c>
      <c r="AX85" s="790">
        <f>AX81/SUM(IS!AU142:AX142)</f>
        <v>-1.2518740629685159</v>
      </c>
      <c r="AY85" s="791">
        <f>AY81/SUM(IS!AV142:AY142)</f>
        <v>-0.9749936208216381</v>
      </c>
      <c r="AZ85" s="790">
        <f>AZ81/SUM(IS!AW142:AZ142)</f>
        <v>-1.0699755032484823</v>
      </c>
      <c r="BA85" s="790">
        <f>BA81/SUM(IS!AX142:BA142)</f>
        <v>-0.92716208740549499</v>
      </c>
      <c r="BB85" s="790">
        <f>BB81/SUM(IS!AY142:BB142)</f>
        <v>-0.86198408139821103</v>
      </c>
      <c r="BC85" s="791">
        <f>BC81/SUM(IS!AZ142:BC142)</f>
        <v>-0.72919478182636066</v>
      </c>
      <c r="BD85" s="790">
        <f>BD81/SUM(IS!BA142:BD142)</f>
        <v>-0.82122437595872255</v>
      </c>
      <c r="BE85" s="790">
        <f>BE81/SUM(IS!BB142:BE142)</f>
        <v>-0.7577627118644068</v>
      </c>
      <c r="BF85" s="790">
        <f>BF81/SUM(IS!BC142:BF142)</f>
        <v>-0.62297205180640769</v>
      </c>
      <c r="BG85" s="791">
        <f>BG81/SUM(IS!BD142:BG142)</f>
        <v>-0.69536015351929259</v>
      </c>
      <c r="BH85" s="790">
        <f>BH81/SUM(IS!BE142:BH142)</f>
        <v>-0.88108368950778992</v>
      </c>
      <c r="BI85" s="790">
        <f>BI81/SUM(IS!BF142:BI142)</f>
        <v>-0.8971968929415739</v>
      </c>
      <c r="BJ85" s="790">
        <f>BJ81/SUM(IS!BG142:BJ142)</f>
        <v>-0.88395350347425183</v>
      </c>
      <c r="BK85" s="791">
        <f>BK81/SUM(IS!BH142:BK142)</f>
        <v>-0.94870198593039912</v>
      </c>
      <c r="BL85" s="790">
        <f>BL81/SUM(IS!BI142:BL142)</f>
        <v>-0.94881442991100751</v>
      </c>
      <c r="BM85" s="790">
        <f>BM81/SUM(IS!BJ142:BM142)</f>
        <v>-1.0821154825780053</v>
      </c>
      <c r="BN85" s="790">
        <f>BN81/SUM(IS!BK142:BN142)</f>
        <v>-1.1867004136370307</v>
      </c>
      <c r="BO85" s="791">
        <f>BO81/SUM(IS!BL142:BO142)</f>
        <v>-1.2151733551367574</v>
      </c>
      <c r="BP85" s="790">
        <f>BP81/SUM(IS!BM142:BP142)</f>
        <v>-1.3716630056092638</v>
      </c>
      <c r="BQ85" s="790">
        <f>BQ81/SUM(IS!BN142:BQ142)</f>
        <v>-1.4930543254576223</v>
      </c>
      <c r="BR85" s="790">
        <f>BR81/SUM(IS!BO142:BR142)</f>
        <v>-1.5611721556375442</v>
      </c>
      <c r="BS85" s="791">
        <f>BS81/SUM(IS!BP142:BS142)</f>
        <v>-1.648818099922517</v>
      </c>
      <c r="BT85" s="790">
        <f>BT81/SUM(IS!BQ142:BT142)</f>
        <v>-1.7684526500186</v>
      </c>
      <c r="BU85" s="790">
        <f>BU81/SUM(IS!BR142:BU142)</f>
        <v>-1.8848218240360357</v>
      </c>
      <c r="BV85" s="790">
        <f>BV81/SUM(IS!BS142:BV142)</f>
        <v>-1.9693322587610642</v>
      </c>
      <c r="BW85" s="791">
        <f>BW81/SUM(IS!BT142:BW142)</f>
        <v>-2.0354148929812328</v>
      </c>
      <c r="BX85" s="131"/>
      <c r="BY85" s="790">
        <f>G85</f>
        <v>3.456425931191355</v>
      </c>
      <c r="BZ85" s="790">
        <f>K85</f>
        <v>0.65537130497476592</v>
      </c>
      <c r="CA85" s="790">
        <f>O85</f>
        <v>0.4802262960343795</v>
      </c>
      <c r="CB85" s="790">
        <f>S85</f>
        <v>0.72273878389819468</v>
      </c>
      <c r="CC85" s="790">
        <f>W85</f>
        <v>0.38129514467219644</v>
      </c>
      <c r="CD85" s="790">
        <f>AA85</f>
        <v>-0.26241091919313903</v>
      </c>
      <c r="CE85" s="790">
        <f>AE85</f>
        <v>-1.4922134394523101</v>
      </c>
      <c r="CF85" s="790">
        <f>AI85</f>
        <v>-1.3131881450426246</v>
      </c>
      <c r="CG85" s="790">
        <f>AM85</f>
        <v>-0.86565874535623411</v>
      </c>
      <c r="CH85" s="790">
        <f>AQ85</f>
        <v>-0.67661271760209296</v>
      </c>
      <c r="CI85" s="790">
        <f>AU85</f>
        <v>-0.8761208112592449</v>
      </c>
      <c r="CJ85" s="790">
        <f>AY85</f>
        <v>-0.9749936208216381</v>
      </c>
      <c r="CK85" s="790">
        <f>BC85</f>
        <v>-0.72919478182636066</v>
      </c>
      <c r="CL85" s="790">
        <f>BG85</f>
        <v>-0.69536015351929259</v>
      </c>
      <c r="CM85" s="790">
        <f>BK85</f>
        <v>-0.94870198593039912</v>
      </c>
      <c r="CN85" s="790">
        <f>BO85</f>
        <v>-1.2151733551367574</v>
      </c>
      <c r="CO85" s="790">
        <f>BS85</f>
        <v>-1.648818099922517</v>
      </c>
      <c r="CP85" s="790">
        <f>BW85</f>
        <v>-2.0354148929812328</v>
      </c>
      <c r="CQ85" s="131"/>
      <c r="CR85" s="790">
        <f>P85</f>
        <v>0.43428033544412126</v>
      </c>
      <c r="CS85" s="790">
        <f>T85</f>
        <v>0.51209691334729313</v>
      </c>
      <c r="CT85" s="790">
        <f>X85</f>
        <v>0.33594589469692215</v>
      </c>
      <c r="CU85" s="790">
        <f>AB85</f>
        <v>-0.61801098112957331</v>
      </c>
      <c r="CV85" s="790">
        <f>AF85</f>
        <v>-1.500318008840646</v>
      </c>
      <c r="CW85" s="790">
        <f>AJ85</f>
        <v>-1.2661599785822648</v>
      </c>
      <c r="CX85" s="790">
        <f>AN85</f>
        <v>-0.93253395129430849</v>
      </c>
      <c r="CY85" s="790">
        <f>AR85</f>
        <v>-0.81412479881687305</v>
      </c>
      <c r="CZ85" s="791">
        <f>AV85</f>
        <v>-1.1576313356488339</v>
      </c>
      <c r="DA85" s="790">
        <f>AZ85</f>
        <v>-1.0699755032484823</v>
      </c>
      <c r="DB85" s="790">
        <f>BD85</f>
        <v>-0.82122437595872255</v>
      </c>
      <c r="DC85" s="790">
        <f>BH85</f>
        <v>-0.88108368950778992</v>
      </c>
      <c r="DD85" s="790">
        <f>BL85</f>
        <v>-0.94881442991100751</v>
      </c>
      <c r="DE85" s="790">
        <f>BP85</f>
        <v>-1.3716630056092638</v>
      </c>
      <c r="DF85" s="791">
        <f>BT85</f>
        <v>-1.7684526500186</v>
      </c>
      <c r="DG85" s="110"/>
      <c r="DH85" s="110"/>
      <c r="DI85" s="110"/>
      <c r="DJ85" s="110"/>
      <c r="DK85"/>
      <c r="DL85"/>
      <c r="DM85"/>
      <c r="DN85"/>
      <c r="DO85"/>
      <c r="DP85"/>
      <c r="DS85" s="3"/>
    </row>
    <row r="86" spans="2:123" s="109" customFormat="1" ht="14.25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775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217"/>
      <c r="CG86" s="217"/>
      <c r="CH86" s="217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110"/>
      <c r="DH86" s="110"/>
      <c r="DI86" s="110"/>
      <c r="DJ86" s="110"/>
      <c r="DK86"/>
      <c r="DL86"/>
      <c r="DM86"/>
      <c r="DN86"/>
      <c r="DO86"/>
      <c r="DP86"/>
      <c r="DS86" s="3"/>
    </row>
    <row r="87" spans="2:123" s="109" customFormat="1" ht="14.25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217"/>
      <c r="CG87" s="217"/>
      <c r="CH87" s="217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110"/>
      <c r="DH87" s="110"/>
      <c r="DI87" s="110"/>
      <c r="DJ87" s="110"/>
      <c r="DK87"/>
      <c r="DL87"/>
      <c r="DM87"/>
      <c r="DN87"/>
      <c r="DO87"/>
      <c r="DP87"/>
      <c r="DS87" s="3"/>
    </row>
    <row r="88" spans="2:123" s="109" customFormat="1" ht="14.25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217"/>
      <c r="CG88" s="217"/>
      <c r="CH88" s="217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110"/>
      <c r="DH88" s="110"/>
      <c r="DI88" s="110"/>
      <c r="DJ88" s="110"/>
      <c r="DK88"/>
      <c r="DL88"/>
      <c r="DM88"/>
      <c r="DN88"/>
      <c r="DO88"/>
      <c r="DP88"/>
      <c r="DS88" s="3"/>
    </row>
    <row r="89" spans="2:123" s="109" customFormat="1" ht="14.25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217"/>
      <c r="CG89" s="217"/>
      <c r="CH89" s="217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110"/>
      <c r="DH89" s="110"/>
      <c r="DI89" s="110"/>
      <c r="DJ89" s="110"/>
      <c r="DK89"/>
      <c r="DL89"/>
      <c r="DM89"/>
      <c r="DN89"/>
      <c r="DO89"/>
      <c r="DP89"/>
      <c r="DS89" s="3"/>
    </row>
    <row r="90" spans="2:123" s="109" customFormat="1" ht="14.25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217"/>
      <c r="CG90" s="217"/>
      <c r="CH90" s="217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110"/>
      <c r="DH90" s="110"/>
      <c r="DI90" s="110"/>
      <c r="DJ90" s="110"/>
      <c r="DK90"/>
      <c r="DL90"/>
      <c r="DM90"/>
      <c r="DN90"/>
      <c r="DO90"/>
      <c r="DP90"/>
      <c r="DS90" s="3"/>
    </row>
    <row r="91" spans="2:123" s="109" customFormat="1" ht="14.25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217"/>
      <c r="CG91" s="217"/>
      <c r="CH91" s="217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110"/>
      <c r="DH91" s="110"/>
      <c r="DI91" s="110"/>
      <c r="DJ91" s="110"/>
      <c r="DK91"/>
      <c r="DL91"/>
      <c r="DM91"/>
      <c r="DN91"/>
      <c r="DO91"/>
      <c r="DP91"/>
      <c r="DS91" s="3"/>
    </row>
    <row r="92" spans="2:123" s="109" customFormat="1" ht="14.25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217"/>
      <c r="CG92" s="217"/>
      <c r="CH92" s="217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110"/>
      <c r="DH92" s="110"/>
      <c r="DI92" s="110"/>
      <c r="DJ92" s="110"/>
      <c r="DK92"/>
      <c r="DL92"/>
      <c r="DM92"/>
      <c r="DN92"/>
      <c r="DO92"/>
      <c r="DP92"/>
      <c r="DS92" s="3"/>
    </row>
    <row r="93" spans="2:123" s="109" customFormat="1" ht="14.25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217"/>
      <c r="CG93" s="217"/>
      <c r="CH93" s="217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110"/>
      <c r="DH93" s="110"/>
      <c r="DI93" s="110"/>
      <c r="DJ93" s="110"/>
      <c r="DK93"/>
      <c r="DL93"/>
      <c r="DM93"/>
      <c r="DN93"/>
      <c r="DO93"/>
      <c r="DP93"/>
      <c r="DS93" s="3"/>
    </row>
    <row r="94" spans="2:123" s="109" customFormat="1" ht="14.25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217"/>
      <c r="CG94" s="217"/>
      <c r="CH94" s="217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110"/>
      <c r="DH94" s="110"/>
      <c r="DI94" s="110"/>
      <c r="DJ94" s="110"/>
      <c r="DK94"/>
      <c r="DL94"/>
      <c r="DM94"/>
      <c r="DN94"/>
      <c r="DO94"/>
      <c r="DP94"/>
      <c r="DS94" s="3"/>
    </row>
    <row r="95" spans="2:123" s="109" customFormat="1" ht="14.25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217"/>
      <c r="CG95" s="217"/>
      <c r="CH95" s="217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110"/>
      <c r="DH95" s="110"/>
      <c r="DI95" s="110"/>
      <c r="DJ95" s="110"/>
      <c r="DK95"/>
      <c r="DL95"/>
      <c r="DM95"/>
      <c r="DN95"/>
      <c r="DO95"/>
      <c r="DP95"/>
      <c r="DS95" s="3"/>
    </row>
    <row r="96" spans="2:123" s="109" customFormat="1" ht="14.25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217"/>
      <c r="CG96" s="217"/>
      <c r="CH96" s="217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110"/>
      <c r="DH96" s="110"/>
      <c r="DI96" s="110"/>
      <c r="DJ96" s="110"/>
      <c r="DK96"/>
      <c r="DL96"/>
      <c r="DM96"/>
      <c r="DN96"/>
      <c r="DO96"/>
      <c r="DP96"/>
      <c r="DS96" s="3"/>
    </row>
    <row r="97" spans="2:123" s="109" customFormat="1" ht="14.25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217"/>
      <c r="CG97" s="217"/>
      <c r="CH97" s="217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110"/>
      <c r="DH97" s="110"/>
      <c r="DI97" s="110"/>
      <c r="DJ97" s="110"/>
      <c r="DK97"/>
      <c r="DL97"/>
      <c r="DM97"/>
      <c r="DN97"/>
      <c r="DO97"/>
      <c r="DP97"/>
      <c r="DS97" s="3"/>
    </row>
    <row r="98" spans="2:123" s="109" customFormat="1" ht="14.25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217"/>
      <c r="CG98" s="217"/>
      <c r="CH98" s="217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110"/>
      <c r="DH98" s="110"/>
      <c r="DI98" s="110"/>
      <c r="DJ98" s="110"/>
      <c r="DK98"/>
      <c r="DL98"/>
      <c r="DM98"/>
      <c r="DN98"/>
      <c r="DO98"/>
      <c r="DP98"/>
      <c r="DS98" s="3"/>
    </row>
    <row r="99" spans="2:123" s="109" customFormat="1" ht="14.25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217"/>
      <c r="CG99" s="217"/>
      <c r="CH99" s="217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110"/>
      <c r="DH99" s="110"/>
      <c r="DI99" s="110"/>
      <c r="DJ99" s="110"/>
      <c r="DK99"/>
      <c r="DL99"/>
      <c r="DM99"/>
      <c r="DN99"/>
      <c r="DO99"/>
      <c r="DP99"/>
      <c r="DS99" s="3"/>
    </row>
    <row r="100" spans="2:123" s="109" customFormat="1" ht="14.25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217"/>
      <c r="CG100" s="217"/>
      <c r="CH100" s="217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110"/>
      <c r="DH100" s="110"/>
      <c r="DI100" s="110"/>
      <c r="DJ100" s="110"/>
      <c r="DK100"/>
      <c r="DL100"/>
      <c r="DM100"/>
      <c r="DN100"/>
      <c r="DO100"/>
      <c r="DP100"/>
      <c r="DS100" s="3"/>
    </row>
    <row r="101" spans="2:123" s="109" customFormat="1" ht="14.25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217"/>
      <c r="CG101" s="217"/>
      <c r="CH101" s="217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110"/>
      <c r="DH101" s="110"/>
      <c r="DI101" s="110"/>
      <c r="DJ101" s="110"/>
      <c r="DK101"/>
      <c r="DL101"/>
      <c r="DM101"/>
      <c r="DN101"/>
      <c r="DO101"/>
      <c r="DP101"/>
      <c r="DS101" s="3"/>
    </row>
    <row r="102" spans="2:123" s="109" customFormat="1" ht="14.25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217"/>
      <c r="CG102" s="217"/>
      <c r="CH102" s="217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110"/>
      <c r="DH102" s="110"/>
      <c r="DI102" s="110"/>
      <c r="DJ102" s="110"/>
      <c r="DK102"/>
      <c r="DL102"/>
      <c r="DM102"/>
      <c r="DN102"/>
      <c r="DO102"/>
      <c r="DP102"/>
      <c r="DS102" s="3"/>
    </row>
    <row r="103" spans="2:123" s="109" customFormat="1" ht="14.25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217"/>
      <c r="CG103" s="217"/>
      <c r="CH103" s="217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110"/>
      <c r="DH103" s="110"/>
      <c r="DI103" s="110"/>
      <c r="DJ103" s="110"/>
      <c r="DK103"/>
      <c r="DL103"/>
      <c r="DM103"/>
      <c r="DN103"/>
      <c r="DO103"/>
      <c r="DP103"/>
      <c r="DS103" s="3"/>
    </row>
    <row r="104" spans="2:123" s="109" customFormat="1" ht="14.25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217"/>
      <c r="CG104" s="217"/>
      <c r="CH104" s="217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110"/>
      <c r="DH104" s="110"/>
      <c r="DI104" s="110"/>
      <c r="DJ104" s="110"/>
      <c r="DK104"/>
      <c r="DL104"/>
      <c r="DM104"/>
      <c r="DN104"/>
      <c r="DO104"/>
      <c r="DP104"/>
      <c r="DS104" s="3"/>
    </row>
    <row r="105" spans="2:123" s="109" customFormat="1" ht="14.25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217"/>
      <c r="CG105" s="217"/>
      <c r="CH105" s="217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110"/>
      <c r="DH105" s="110"/>
      <c r="DI105" s="110"/>
      <c r="DJ105" s="110"/>
      <c r="DK105"/>
      <c r="DL105"/>
      <c r="DM105"/>
      <c r="DN105"/>
      <c r="DO105"/>
      <c r="DP105"/>
      <c r="DS105" s="3"/>
    </row>
    <row r="106" spans="2:123" s="109" customFormat="1" ht="14.25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217"/>
      <c r="CG106" s="217"/>
      <c r="CH106" s="217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110"/>
      <c r="DH106" s="110"/>
      <c r="DI106" s="110"/>
      <c r="DJ106" s="110"/>
      <c r="DK106"/>
      <c r="DL106"/>
      <c r="DM106"/>
      <c r="DN106"/>
      <c r="DO106"/>
      <c r="DP106"/>
      <c r="DS106" s="3"/>
    </row>
    <row r="107" spans="2:123" s="109" customFormat="1" ht="14.25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217"/>
      <c r="CG107" s="217"/>
      <c r="CH107" s="217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110"/>
      <c r="DH107" s="110"/>
      <c r="DI107" s="110"/>
      <c r="DJ107" s="110"/>
      <c r="DK107"/>
      <c r="DL107"/>
      <c r="DM107"/>
      <c r="DN107"/>
      <c r="DO107"/>
      <c r="DP107"/>
      <c r="DS107" s="3"/>
    </row>
    <row r="108" spans="2:123" s="109" customFormat="1" ht="14.25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217"/>
      <c r="CG108" s="217"/>
      <c r="CH108" s="217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110"/>
      <c r="DH108" s="110"/>
      <c r="DI108" s="110"/>
      <c r="DJ108" s="110"/>
      <c r="DK108"/>
      <c r="DL108"/>
      <c r="DM108"/>
      <c r="DN108"/>
      <c r="DO108"/>
      <c r="DP108"/>
      <c r="DS108" s="3"/>
    </row>
    <row r="109" spans="2:123" s="109" customFormat="1" ht="14.25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217"/>
      <c r="CG109" s="217"/>
      <c r="CH109" s="217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110"/>
      <c r="DH109" s="110"/>
      <c r="DI109" s="110"/>
      <c r="DJ109" s="110"/>
      <c r="DK109"/>
      <c r="DL109"/>
      <c r="DM109"/>
      <c r="DN109"/>
      <c r="DO109"/>
      <c r="DP109"/>
      <c r="DS109" s="3"/>
    </row>
    <row r="110" spans="2:123" s="109" customFormat="1" ht="14.25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217"/>
      <c r="CG110" s="217"/>
      <c r="CH110" s="217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110"/>
      <c r="DH110" s="110"/>
      <c r="DI110" s="110"/>
      <c r="DJ110" s="110"/>
      <c r="DK110"/>
      <c r="DL110"/>
      <c r="DM110"/>
      <c r="DN110"/>
      <c r="DO110"/>
      <c r="DP110"/>
      <c r="DS110" s="3"/>
    </row>
    <row r="111" spans="2:123" s="109" customFormat="1" ht="14.25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217"/>
      <c r="CG111" s="217"/>
      <c r="CH111" s="217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110"/>
      <c r="DH111" s="110"/>
      <c r="DI111" s="110"/>
      <c r="DJ111" s="110"/>
      <c r="DK111"/>
      <c r="DL111"/>
      <c r="DM111"/>
      <c r="DN111"/>
      <c r="DO111"/>
      <c r="DP111"/>
      <c r="DS111" s="3"/>
    </row>
    <row r="112" spans="2:123" s="109" customFormat="1" ht="14.25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217"/>
      <c r="CG112" s="217"/>
      <c r="CH112" s="217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110"/>
      <c r="DH112" s="110"/>
      <c r="DI112" s="110"/>
      <c r="DJ112" s="110"/>
      <c r="DK112"/>
      <c r="DL112"/>
      <c r="DM112"/>
      <c r="DN112"/>
      <c r="DO112"/>
      <c r="DP112"/>
      <c r="DS112" s="3"/>
    </row>
    <row r="113" spans="2:123" s="109" customFormat="1" ht="14.25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217"/>
      <c r="CG113" s="217"/>
      <c r="CH113" s="217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110"/>
      <c r="DH113" s="110"/>
      <c r="DI113" s="110"/>
      <c r="DJ113" s="110"/>
      <c r="DK113"/>
      <c r="DL113"/>
      <c r="DM113"/>
      <c r="DN113"/>
      <c r="DO113"/>
      <c r="DP113"/>
      <c r="DS113" s="3"/>
    </row>
    <row r="114" spans="2:123" s="109" customFormat="1" ht="14.25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217"/>
      <c r="CG114" s="217"/>
      <c r="CH114" s="217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110"/>
      <c r="DH114" s="110"/>
      <c r="DI114" s="110"/>
      <c r="DJ114" s="110"/>
      <c r="DK114"/>
      <c r="DL114"/>
      <c r="DM114"/>
      <c r="DN114"/>
      <c r="DO114"/>
      <c r="DP114"/>
      <c r="DS114" s="3"/>
    </row>
    <row r="115" spans="2:123" s="109" customFormat="1" ht="14.25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217"/>
      <c r="CG115" s="217"/>
      <c r="CH115" s="217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110"/>
      <c r="DH115" s="110"/>
      <c r="DI115" s="110"/>
      <c r="DJ115" s="110"/>
      <c r="DK115"/>
      <c r="DL115"/>
      <c r="DM115"/>
      <c r="DN115"/>
      <c r="DO115"/>
      <c r="DP115"/>
      <c r="DS115" s="3"/>
    </row>
    <row r="116" spans="2:123" s="109" customFormat="1" ht="14.25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217"/>
      <c r="CG116" s="217"/>
      <c r="CH116" s="217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110"/>
      <c r="DH116" s="110"/>
      <c r="DI116" s="110"/>
      <c r="DJ116" s="110"/>
      <c r="DK116"/>
      <c r="DL116"/>
      <c r="DM116"/>
      <c r="DN116"/>
      <c r="DO116"/>
      <c r="DP116"/>
      <c r="DS116" s="3"/>
    </row>
    <row r="117" spans="2:123" s="109" customFormat="1" ht="14.25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217"/>
      <c r="CG117" s="217"/>
      <c r="CH117" s="217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110"/>
      <c r="DH117" s="110"/>
      <c r="DI117" s="110"/>
      <c r="DJ117" s="110"/>
      <c r="DK117"/>
      <c r="DL117"/>
      <c r="DM117"/>
      <c r="DN117"/>
      <c r="DO117"/>
      <c r="DP117"/>
      <c r="DS117" s="3"/>
    </row>
    <row r="118" spans="2:123" s="109" customFormat="1" ht="14.25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217"/>
      <c r="CG118" s="217"/>
      <c r="CH118" s="217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110"/>
      <c r="DH118" s="110"/>
      <c r="DI118" s="110"/>
      <c r="DJ118" s="110"/>
      <c r="DK118"/>
      <c r="DL118"/>
      <c r="DM118"/>
      <c r="DN118"/>
      <c r="DO118"/>
      <c r="DP118"/>
      <c r="DS118" s="3"/>
    </row>
    <row r="119" spans="2:123" s="109" customFormat="1" ht="14.25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217"/>
      <c r="CG119" s="217"/>
      <c r="CH119" s="217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110"/>
      <c r="DH119" s="110"/>
      <c r="DI119" s="110"/>
      <c r="DJ119" s="110"/>
      <c r="DK119"/>
      <c r="DL119"/>
      <c r="DM119"/>
      <c r="DN119"/>
      <c r="DO119"/>
      <c r="DP119"/>
      <c r="DS119" s="3"/>
    </row>
    <row r="120" spans="2:123" s="109" customFormat="1" ht="14.25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217"/>
      <c r="CG120" s="217"/>
      <c r="CH120" s="217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110"/>
      <c r="DH120" s="110"/>
      <c r="DI120" s="110"/>
      <c r="DJ120" s="110"/>
      <c r="DK120"/>
      <c r="DL120"/>
      <c r="DM120"/>
      <c r="DN120"/>
      <c r="DO120"/>
      <c r="DP120"/>
      <c r="DS120" s="3"/>
    </row>
    <row r="121" spans="2:123" s="109" customFormat="1" ht="14.2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217"/>
      <c r="CG121" s="217"/>
      <c r="CH121" s="217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110"/>
      <c r="DH121" s="110"/>
      <c r="DI121" s="110"/>
      <c r="DJ121" s="110"/>
      <c r="DK121"/>
      <c r="DL121"/>
      <c r="DM121"/>
      <c r="DN121"/>
      <c r="DO121"/>
      <c r="DP121"/>
      <c r="DS121" s="3"/>
    </row>
    <row r="122" spans="2:123" s="109" customFormat="1" ht="14.25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217"/>
      <c r="CG122" s="217"/>
      <c r="CH122" s="217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110"/>
      <c r="DH122" s="110"/>
      <c r="DI122" s="110"/>
      <c r="DJ122" s="110"/>
      <c r="DK122"/>
      <c r="DL122"/>
      <c r="DM122"/>
      <c r="DN122"/>
      <c r="DO122"/>
      <c r="DP122"/>
      <c r="DS122" s="3"/>
    </row>
    <row r="123" spans="2:123" s="109" customFormat="1" ht="14.2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217"/>
      <c r="CG123" s="217"/>
      <c r="CH123" s="217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110"/>
      <c r="DH123" s="110"/>
      <c r="DI123" s="110"/>
      <c r="DJ123" s="110"/>
      <c r="DK123"/>
      <c r="DL123"/>
      <c r="DM123"/>
      <c r="DN123"/>
      <c r="DO123"/>
      <c r="DP123"/>
      <c r="DS123" s="3"/>
    </row>
    <row r="124" spans="2:123" s="109" customFormat="1" ht="14.2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217"/>
      <c r="CG124" s="217"/>
      <c r="CH124" s="217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110"/>
      <c r="DH124" s="110"/>
      <c r="DI124" s="110"/>
      <c r="DJ124" s="110"/>
      <c r="DK124"/>
      <c r="DL124"/>
      <c r="DM124"/>
      <c r="DN124"/>
      <c r="DO124"/>
      <c r="DP124"/>
      <c r="DS124" s="3"/>
    </row>
    <row r="125" spans="2:123" s="109" customFormat="1" ht="14.2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217"/>
      <c r="CG125" s="217"/>
      <c r="CH125" s="217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110"/>
      <c r="DH125" s="110"/>
      <c r="DI125" s="110"/>
      <c r="DJ125" s="110"/>
      <c r="DK125"/>
      <c r="DL125"/>
      <c r="DM125"/>
      <c r="DN125"/>
      <c r="DO125"/>
      <c r="DP125"/>
      <c r="DS125" s="3"/>
    </row>
    <row r="126" spans="2:123" s="109" customFormat="1" ht="14.2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217"/>
      <c r="CG126" s="217"/>
      <c r="CH126" s="217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110"/>
      <c r="DH126" s="110"/>
      <c r="DI126" s="110"/>
      <c r="DJ126" s="110"/>
      <c r="DK126"/>
      <c r="DL126"/>
      <c r="DM126"/>
      <c r="DN126"/>
      <c r="DO126"/>
      <c r="DP126"/>
      <c r="DS126" s="3"/>
    </row>
    <row r="127" spans="2:123" s="109" customFormat="1" ht="14.2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217"/>
      <c r="CG127" s="217"/>
      <c r="CH127" s="217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110"/>
      <c r="DH127" s="110"/>
      <c r="DI127" s="110"/>
      <c r="DJ127" s="110"/>
      <c r="DK127"/>
      <c r="DL127"/>
      <c r="DM127"/>
      <c r="DN127"/>
      <c r="DO127"/>
      <c r="DP127"/>
      <c r="DS127" s="3"/>
    </row>
    <row r="128" spans="2:123" s="109" customFormat="1" ht="14.2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217"/>
      <c r="CG128" s="217"/>
      <c r="CH128" s="217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110"/>
      <c r="DH128" s="110"/>
      <c r="DI128" s="110"/>
      <c r="DJ128" s="110"/>
      <c r="DK128"/>
      <c r="DL128"/>
      <c r="DM128"/>
      <c r="DN128"/>
      <c r="DO128"/>
      <c r="DP128"/>
      <c r="DS128" s="3"/>
    </row>
    <row r="129" spans="2:123" s="109" customFormat="1" ht="14.2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217"/>
      <c r="CG129" s="217"/>
      <c r="CH129" s="217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110"/>
      <c r="DH129" s="110"/>
      <c r="DI129" s="110"/>
      <c r="DJ129" s="110"/>
      <c r="DK129"/>
      <c r="DL129"/>
      <c r="DM129"/>
      <c r="DN129"/>
      <c r="DO129"/>
      <c r="DP129"/>
      <c r="DS129" s="3"/>
    </row>
    <row r="130" spans="2:123" s="109" customFormat="1" ht="14.2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217"/>
      <c r="CG130" s="217"/>
      <c r="CH130" s="217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110"/>
      <c r="DH130" s="110"/>
      <c r="DI130" s="110"/>
      <c r="DJ130" s="110"/>
      <c r="DK130"/>
      <c r="DL130"/>
      <c r="DM130"/>
      <c r="DN130"/>
      <c r="DO130"/>
      <c r="DP130"/>
      <c r="DS130" s="3"/>
    </row>
    <row r="131" spans="2:123" s="109" customFormat="1" ht="14.2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217"/>
      <c r="CG131" s="217"/>
      <c r="CH131" s="217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110"/>
      <c r="DH131" s="110"/>
      <c r="DI131" s="110"/>
      <c r="DJ131" s="110"/>
      <c r="DK131"/>
      <c r="DL131"/>
      <c r="DM131"/>
      <c r="DN131"/>
      <c r="DO131"/>
      <c r="DP131"/>
      <c r="DS131" s="3"/>
    </row>
    <row r="132" spans="2:123" s="109" customFormat="1" ht="14.2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217"/>
      <c r="CG132" s="217"/>
      <c r="CH132" s="217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110"/>
      <c r="DH132" s="110"/>
      <c r="DI132" s="110"/>
      <c r="DJ132" s="110"/>
      <c r="DK132"/>
      <c r="DL132"/>
      <c r="DM132"/>
      <c r="DN132"/>
      <c r="DO132"/>
      <c r="DP132"/>
      <c r="DS132" s="3"/>
    </row>
    <row r="133" spans="2:123" s="109" customFormat="1" ht="14.2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217"/>
      <c r="CG133" s="217"/>
      <c r="CH133" s="217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110"/>
      <c r="DH133" s="110"/>
      <c r="DI133" s="110"/>
      <c r="DJ133" s="110"/>
      <c r="DK133"/>
      <c r="DL133"/>
      <c r="DM133"/>
      <c r="DN133"/>
      <c r="DO133"/>
      <c r="DP133"/>
      <c r="DS133" s="3"/>
    </row>
    <row r="134" spans="2:123" s="109" customFormat="1" ht="14.2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217"/>
      <c r="CG134" s="217"/>
      <c r="CH134" s="217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110"/>
      <c r="DH134" s="110"/>
      <c r="DI134" s="110"/>
      <c r="DJ134" s="110"/>
      <c r="DK134"/>
      <c r="DL134"/>
      <c r="DM134"/>
      <c r="DN134"/>
      <c r="DO134"/>
      <c r="DP134"/>
      <c r="DS134" s="3"/>
    </row>
    <row r="135" spans="2:123" s="109" customFormat="1" ht="14.2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217"/>
      <c r="CG135" s="217"/>
      <c r="CH135" s="217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110"/>
      <c r="DH135" s="110"/>
      <c r="DI135" s="110"/>
      <c r="DJ135" s="110"/>
      <c r="DK135"/>
      <c r="DL135"/>
      <c r="DM135"/>
      <c r="DN135"/>
      <c r="DO135"/>
      <c r="DP135"/>
      <c r="DS135" s="3"/>
    </row>
    <row r="136" spans="2:123" s="109" customFormat="1" ht="14.2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217"/>
      <c r="CG136" s="217"/>
      <c r="CH136" s="217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110"/>
      <c r="DH136" s="110"/>
      <c r="DI136" s="110"/>
      <c r="DJ136" s="110"/>
      <c r="DK136"/>
      <c r="DL136"/>
      <c r="DM136"/>
      <c r="DN136"/>
      <c r="DO136"/>
      <c r="DP136"/>
      <c r="DS136" s="3"/>
    </row>
    <row r="137" spans="2:123" s="109" customFormat="1" ht="14.2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217"/>
      <c r="CG137" s="217"/>
      <c r="CH137" s="217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110"/>
      <c r="DH137" s="110"/>
      <c r="DI137" s="110"/>
      <c r="DJ137" s="110"/>
      <c r="DK137"/>
      <c r="DL137"/>
      <c r="DM137"/>
      <c r="DN137"/>
      <c r="DO137"/>
      <c r="DP137"/>
      <c r="DS137" s="3"/>
    </row>
    <row r="138" spans="2:123" s="109" customFormat="1" ht="14.2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217"/>
      <c r="CG138" s="217"/>
      <c r="CH138" s="217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110"/>
      <c r="DH138" s="110"/>
      <c r="DI138" s="110"/>
      <c r="DJ138" s="110"/>
      <c r="DK138"/>
      <c r="DL138"/>
      <c r="DM138"/>
      <c r="DN138"/>
      <c r="DO138"/>
      <c r="DP138"/>
      <c r="DS138" s="3"/>
    </row>
    <row r="139" spans="2:123" s="109" customFormat="1" ht="14.2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217"/>
      <c r="CG139" s="217"/>
      <c r="CH139" s="217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110"/>
      <c r="DH139" s="110"/>
      <c r="DI139" s="110"/>
      <c r="DJ139" s="110"/>
      <c r="DK139"/>
      <c r="DL139"/>
      <c r="DM139"/>
      <c r="DN139"/>
      <c r="DO139"/>
      <c r="DP139"/>
      <c r="DS139" s="3"/>
    </row>
    <row r="140" spans="2:123" s="109" customFormat="1" ht="14.2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217"/>
      <c r="CG140" s="217"/>
      <c r="CH140" s="217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110"/>
      <c r="DH140" s="110"/>
      <c r="DI140" s="110"/>
      <c r="DJ140" s="110"/>
      <c r="DK140"/>
      <c r="DL140"/>
      <c r="DM140"/>
      <c r="DN140"/>
      <c r="DO140"/>
      <c r="DP140"/>
      <c r="DS140" s="3"/>
    </row>
    <row r="141" spans="2:123" s="109" customFormat="1" ht="14.2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217"/>
      <c r="CG141" s="217"/>
      <c r="CH141" s="217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110"/>
      <c r="DH141" s="110"/>
      <c r="DI141" s="110"/>
      <c r="DJ141" s="110"/>
      <c r="DK141"/>
      <c r="DL141"/>
      <c r="DM141"/>
      <c r="DN141"/>
      <c r="DO141"/>
      <c r="DP141"/>
      <c r="DS141" s="3"/>
    </row>
    <row r="142" spans="2:123" s="109" customFormat="1" ht="14.2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217"/>
      <c r="CG142" s="217"/>
      <c r="CH142" s="217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110"/>
      <c r="DH142" s="110"/>
      <c r="DI142" s="110"/>
      <c r="DJ142" s="110"/>
      <c r="DK142"/>
      <c r="DL142"/>
      <c r="DM142"/>
      <c r="DN142"/>
      <c r="DO142"/>
      <c r="DP142"/>
      <c r="DS142" s="3"/>
    </row>
    <row r="143" spans="2:123" s="109" customFormat="1" ht="14.2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217"/>
      <c r="CG143" s="217"/>
      <c r="CH143" s="217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110"/>
      <c r="DH143" s="110"/>
      <c r="DI143" s="110"/>
      <c r="DJ143" s="110"/>
      <c r="DK143"/>
      <c r="DL143"/>
      <c r="DM143"/>
      <c r="DN143"/>
      <c r="DO143"/>
      <c r="DP143"/>
      <c r="DS143" s="3"/>
    </row>
    <row r="144" spans="2:123" s="109" customFormat="1" ht="14.2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217"/>
      <c r="CG144" s="217"/>
      <c r="CH144" s="217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110"/>
      <c r="DH144" s="110"/>
      <c r="DI144" s="110"/>
      <c r="DJ144" s="110"/>
      <c r="DK144"/>
      <c r="DL144"/>
      <c r="DM144"/>
      <c r="DN144"/>
      <c r="DO144"/>
      <c r="DP144"/>
      <c r="DS144" s="3"/>
    </row>
    <row r="145" spans="2:123" s="109" customFormat="1" ht="14.2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217"/>
      <c r="CG145" s="217"/>
      <c r="CH145" s="217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110"/>
      <c r="DH145" s="110"/>
      <c r="DI145" s="110"/>
      <c r="DJ145" s="110"/>
      <c r="DK145"/>
      <c r="DL145"/>
      <c r="DM145"/>
      <c r="DN145"/>
      <c r="DO145"/>
      <c r="DP145"/>
      <c r="DS145" s="3"/>
    </row>
    <row r="146" spans="2:123" s="109" customFormat="1" ht="14.2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217"/>
      <c r="CG146" s="217"/>
      <c r="CH146" s="217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110"/>
      <c r="DH146" s="110"/>
      <c r="DI146" s="110"/>
      <c r="DJ146" s="110"/>
      <c r="DK146"/>
      <c r="DL146"/>
      <c r="DM146"/>
      <c r="DN146"/>
      <c r="DO146"/>
      <c r="DP146"/>
      <c r="DS146" s="3"/>
    </row>
    <row r="147" spans="2:123" s="109" customFormat="1" ht="14.2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217"/>
      <c r="CG147" s="217"/>
      <c r="CH147" s="217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110"/>
      <c r="DH147" s="110"/>
      <c r="DI147" s="110"/>
      <c r="DJ147" s="110"/>
      <c r="DK147"/>
      <c r="DL147"/>
      <c r="DM147"/>
      <c r="DN147"/>
      <c r="DO147"/>
      <c r="DP147"/>
      <c r="DS147" s="3"/>
    </row>
    <row r="148" spans="2:123" s="109" customFormat="1" ht="14.2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217"/>
      <c r="CG148" s="217"/>
      <c r="CH148" s="217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110"/>
      <c r="DH148" s="110"/>
      <c r="DI148" s="110"/>
      <c r="DJ148" s="110"/>
      <c r="DK148"/>
      <c r="DL148"/>
      <c r="DM148"/>
      <c r="DN148"/>
      <c r="DO148"/>
      <c r="DP148"/>
      <c r="DS148" s="3"/>
    </row>
    <row r="149" spans="2:123" s="109" customFormat="1" ht="14.2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217"/>
      <c r="CG149" s="217"/>
      <c r="CH149" s="217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110"/>
      <c r="DH149" s="110"/>
      <c r="DI149" s="110"/>
      <c r="DJ149" s="110"/>
      <c r="DK149"/>
      <c r="DL149"/>
      <c r="DM149"/>
      <c r="DN149"/>
      <c r="DO149"/>
      <c r="DP149"/>
      <c r="DS149" s="3"/>
    </row>
    <row r="150" spans="2:123" s="109" customFormat="1" ht="14.2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217"/>
      <c r="CG150" s="217"/>
      <c r="CH150" s="217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110"/>
      <c r="DH150" s="110"/>
      <c r="DI150" s="110"/>
      <c r="DJ150" s="110"/>
      <c r="DK150"/>
      <c r="DL150"/>
      <c r="DM150"/>
      <c r="DN150"/>
      <c r="DO150"/>
      <c r="DP150"/>
      <c r="DS150" s="3"/>
    </row>
    <row r="151" spans="2:123" s="109" customFormat="1" ht="14.2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217"/>
      <c r="CG151" s="217"/>
      <c r="CH151" s="217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110"/>
      <c r="DH151" s="110"/>
      <c r="DI151" s="110"/>
      <c r="DJ151" s="110"/>
      <c r="DK151"/>
      <c r="DL151"/>
      <c r="DM151"/>
      <c r="DN151"/>
      <c r="DO151"/>
      <c r="DP151"/>
      <c r="DS151" s="3"/>
    </row>
    <row r="152" spans="2:123" s="109" customFormat="1" ht="14.2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217"/>
      <c r="CG152" s="217"/>
      <c r="CH152" s="217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110"/>
      <c r="DH152" s="110"/>
      <c r="DI152" s="110"/>
      <c r="DJ152" s="110"/>
      <c r="DK152"/>
      <c r="DL152"/>
      <c r="DM152"/>
      <c r="DN152"/>
      <c r="DO152"/>
      <c r="DP152"/>
      <c r="DS152" s="3"/>
    </row>
    <row r="153" spans="2:123" s="109" customFormat="1" ht="14.2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217"/>
      <c r="CG153" s="217"/>
      <c r="CH153" s="217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110"/>
      <c r="DH153" s="110"/>
      <c r="DI153" s="110"/>
      <c r="DJ153" s="110"/>
      <c r="DK153"/>
      <c r="DL153"/>
      <c r="DM153"/>
      <c r="DN153"/>
      <c r="DO153"/>
      <c r="DP153"/>
      <c r="DS153" s="3"/>
    </row>
    <row r="154" spans="2:123" s="109" customFormat="1" ht="14.2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217"/>
      <c r="CG154" s="217"/>
      <c r="CH154" s="217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110"/>
      <c r="DH154" s="110"/>
      <c r="DI154" s="110"/>
      <c r="DJ154" s="110"/>
      <c r="DK154"/>
      <c r="DL154"/>
      <c r="DM154"/>
      <c r="DN154"/>
      <c r="DO154"/>
      <c r="DP154"/>
      <c r="DS154" s="3"/>
    </row>
    <row r="155" spans="2:123" s="109" customFormat="1" ht="14.2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217"/>
      <c r="CG155" s="217"/>
      <c r="CH155" s="217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110"/>
      <c r="DH155" s="110"/>
      <c r="DI155" s="110"/>
      <c r="DJ155" s="110"/>
      <c r="DK155"/>
      <c r="DL155"/>
      <c r="DM155"/>
      <c r="DN155"/>
      <c r="DO155"/>
      <c r="DP155"/>
      <c r="DS155" s="3"/>
    </row>
    <row r="156" spans="2:123" s="109" customFormat="1" ht="14.2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217"/>
      <c r="CG156" s="217"/>
      <c r="CH156" s="217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110"/>
      <c r="DH156" s="110"/>
      <c r="DI156" s="110"/>
      <c r="DJ156" s="110"/>
      <c r="DK156"/>
      <c r="DL156"/>
      <c r="DM156"/>
      <c r="DN156"/>
      <c r="DO156"/>
      <c r="DP156"/>
      <c r="DS156" s="3"/>
    </row>
    <row r="157" spans="2:123" s="109" customFormat="1" ht="14.2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217"/>
      <c r="CG157" s="217"/>
      <c r="CH157" s="217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110"/>
      <c r="DH157" s="110"/>
      <c r="DI157" s="110"/>
      <c r="DJ157" s="110"/>
      <c r="DK157"/>
      <c r="DL157"/>
      <c r="DM157"/>
      <c r="DN157"/>
      <c r="DO157"/>
      <c r="DP157"/>
      <c r="DS157" s="3"/>
    </row>
    <row r="158" spans="2:123" s="109" customFormat="1" ht="14.2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217"/>
      <c r="CG158" s="217"/>
      <c r="CH158" s="217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110"/>
      <c r="DH158" s="110"/>
      <c r="DI158" s="110"/>
      <c r="DJ158" s="110"/>
      <c r="DK158"/>
      <c r="DL158"/>
      <c r="DM158"/>
      <c r="DN158"/>
      <c r="DO158"/>
      <c r="DP158"/>
      <c r="DS158" s="3"/>
    </row>
    <row r="159" spans="2:123" s="109" customFormat="1" ht="14.2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217"/>
      <c r="CG159" s="217"/>
      <c r="CH159" s="217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110"/>
      <c r="DH159" s="110"/>
      <c r="DI159" s="110"/>
      <c r="DJ159" s="110"/>
      <c r="DK159"/>
      <c r="DL159"/>
      <c r="DM159"/>
      <c r="DN159"/>
      <c r="DO159"/>
      <c r="DP159"/>
      <c r="DS159" s="3"/>
    </row>
    <row r="160" spans="2:123" s="109" customFormat="1" ht="14.2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217"/>
      <c r="CG160" s="217"/>
      <c r="CH160" s="217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110"/>
      <c r="DH160" s="110"/>
      <c r="DI160" s="110"/>
      <c r="DJ160" s="110"/>
      <c r="DK160"/>
      <c r="DL160"/>
      <c r="DM160"/>
      <c r="DN160"/>
      <c r="DO160"/>
      <c r="DP160"/>
      <c r="DS160" s="3"/>
    </row>
    <row r="161" spans="2:123" s="109" customFormat="1" ht="14.2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217"/>
      <c r="CG161" s="217"/>
      <c r="CH161" s="217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110"/>
      <c r="DH161" s="110"/>
      <c r="DI161" s="110"/>
      <c r="DJ161" s="110"/>
      <c r="DK161"/>
      <c r="DL161"/>
      <c r="DM161"/>
      <c r="DN161"/>
      <c r="DO161"/>
      <c r="DP161"/>
      <c r="DS161" s="3"/>
    </row>
    <row r="162" spans="2:123" s="109" customFormat="1" ht="14.2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217"/>
      <c r="CG162" s="217"/>
      <c r="CH162" s="217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110"/>
      <c r="DH162" s="110"/>
      <c r="DI162" s="110"/>
      <c r="DJ162" s="110"/>
      <c r="DK162"/>
      <c r="DL162"/>
      <c r="DM162"/>
      <c r="DN162"/>
      <c r="DO162"/>
      <c r="DP162"/>
      <c r="DS162" s="3"/>
    </row>
    <row r="163" spans="2:123" s="109" customFormat="1" ht="14.2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217"/>
      <c r="CG163" s="217"/>
      <c r="CH163" s="217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110"/>
      <c r="DH163" s="110"/>
      <c r="DI163" s="110"/>
      <c r="DJ163" s="110"/>
      <c r="DK163"/>
      <c r="DL163"/>
      <c r="DM163"/>
      <c r="DN163"/>
      <c r="DO163"/>
      <c r="DP163"/>
      <c r="DS163" s="3"/>
    </row>
    <row r="164" spans="2:123" s="109" customFormat="1" ht="14.2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217"/>
      <c r="CG164" s="217"/>
      <c r="CH164" s="217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110"/>
      <c r="DH164" s="110"/>
      <c r="DI164" s="110"/>
      <c r="DJ164" s="110"/>
      <c r="DK164"/>
      <c r="DL164"/>
      <c r="DM164"/>
      <c r="DN164"/>
      <c r="DO164"/>
      <c r="DP164"/>
      <c r="DS164" s="3"/>
    </row>
    <row r="165" spans="2:123" s="109" customFormat="1" ht="14.2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217"/>
      <c r="CG165" s="217"/>
      <c r="CH165" s="217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110"/>
      <c r="DH165" s="110"/>
      <c r="DI165" s="110"/>
      <c r="DJ165" s="110"/>
      <c r="DK165"/>
      <c r="DL165"/>
      <c r="DM165"/>
      <c r="DN165"/>
      <c r="DO165"/>
      <c r="DP165"/>
      <c r="DS165" s="3"/>
    </row>
    <row r="166" spans="2:123" s="109" customFormat="1" ht="14.2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217"/>
      <c r="CG166" s="217"/>
      <c r="CH166" s="217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110"/>
      <c r="DH166" s="110"/>
      <c r="DI166" s="110"/>
      <c r="DJ166" s="110"/>
      <c r="DK166"/>
      <c r="DL166"/>
      <c r="DM166"/>
      <c r="DN166"/>
      <c r="DO166"/>
      <c r="DP166"/>
      <c r="DS166" s="3"/>
    </row>
    <row r="167" spans="2:123" s="109" customFormat="1" ht="14.2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217"/>
      <c r="CG167" s="217"/>
      <c r="CH167" s="217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110"/>
      <c r="DH167" s="110"/>
      <c r="DI167" s="110"/>
      <c r="DJ167" s="110"/>
      <c r="DK167"/>
      <c r="DL167"/>
      <c r="DM167"/>
      <c r="DN167"/>
      <c r="DO167"/>
      <c r="DP167"/>
      <c r="DS167" s="3"/>
    </row>
    <row r="168" spans="2:123" s="109" customFormat="1" ht="14.2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217"/>
      <c r="CG168" s="217"/>
      <c r="CH168" s="217"/>
      <c r="CI168" s="6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110"/>
      <c r="DH168" s="110"/>
      <c r="DI168" s="110"/>
      <c r="DJ168" s="110"/>
      <c r="DK168"/>
      <c r="DL168"/>
      <c r="DM168"/>
      <c r="DN168"/>
      <c r="DO168"/>
      <c r="DP168"/>
      <c r="DS168" s="3"/>
    </row>
    <row r="169" spans="2:123" s="109" customFormat="1" ht="14.2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217"/>
      <c r="CG169" s="217"/>
      <c r="CH169" s="217"/>
      <c r="CI169" s="6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110"/>
      <c r="DH169" s="110"/>
      <c r="DI169" s="110"/>
      <c r="DJ169" s="110"/>
      <c r="DK169"/>
      <c r="DL169"/>
      <c r="DM169"/>
      <c r="DN169"/>
      <c r="DO169"/>
      <c r="DP169"/>
      <c r="DS169" s="3"/>
    </row>
    <row r="170" spans="2:123" s="109" customFormat="1" ht="14.2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217"/>
      <c r="CG170" s="217"/>
      <c r="CH170" s="217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110"/>
      <c r="DH170" s="110"/>
      <c r="DI170" s="110"/>
      <c r="DJ170" s="110"/>
      <c r="DK170"/>
      <c r="DL170"/>
      <c r="DM170"/>
      <c r="DN170"/>
      <c r="DO170"/>
      <c r="DP170"/>
      <c r="DS170" s="3"/>
    </row>
    <row r="171" spans="2:123" s="109" customFormat="1" ht="14.2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217"/>
      <c r="CG171" s="217"/>
      <c r="CH171" s="217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110"/>
      <c r="DH171" s="110"/>
      <c r="DI171" s="110"/>
      <c r="DJ171" s="110"/>
      <c r="DK171"/>
      <c r="DL171"/>
      <c r="DM171"/>
      <c r="DN171"/>
      <c r="DO171"/>
      <c r="DP171"/>
      <c r="DS171" s="3"/>
    </row>
    <row r="172" spans="2:123" s="109" customFormat="1" ht="14.2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217"/>
      <c r="CG172" s="217"/>
      <c r="CH172" s="217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110"/>
      <c r="DH172" s="110"/>
      <c r="DI172" s="110"/>
      <c r="DJ172" s="110"/>
      <c r="DK172"/>
      <c r="DL172"/>
      <c r="DM172"/>
      <c r="DN172"/>
      <c r="DO172"/>
      <c r="DP172"/>
      <c r="DS172" s="3"/>
    </row>
    <row r="173" spans="2:123" s="109" customFormat="1" ht="14.2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217"/>
      <c r="CG173" s="217"/>
      <c r="CH173" s="217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110"/>
      <c r="DH173" s="110"/>
      <c r="DI173" s="110"/>
      <c r="DJ173" s="110"/>
      <c r="DK173"/>
      <c r="DL173"/>
      <c r="DM173"/>
      <c r="DN173"/>
      <c r="DO173"/>
      <c r="DP173"/>
      <c r="DS173" s="3"/>
    </row>
    <row r="174" spans="2:123" s="109" customFormat="1" ht="14.2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217"/>
      <c r="CG174" s="217"/>
      <c r="CH174" s="217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110"/>
      <c r="DH174" s="110"/>
      <c r="DI174" s="110"/>
      <c r="DJ174" s="110"/>
      <c r="DK174"/>
      <c r="DL174"/>
      <c r="DM174"/>
      <c r="DN174"/>
      <c r="DO174"/>
      <c r="DP174"/>
      <c r="DS174" s="3"/>
    </row>
    <row r="175" spans="2:123" s="109" customFormat="1" ht="14.2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217"/>
      <c r="CG175" s="217"/>
      <c r="CH175" s="217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110"/>
      <c r="DH175" s="110"/>
      <c r="DI175" s="110"/>
      <c r="DJ175" s="110"/>
      <c r="DK175"/>
      <c r="DL175"/>
      <c r="DM175"/>
      <c r="DN175"/>
      <c r="DO175"/>
      <c r="DP175"/>
      <c r="DS175" s="3"/>
    </row>
    <row r="176" spans="2:123" s="109" customFormat="1" ht="14.2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217"/>
      <c r="CG176" s="217"/>
      <c r="CH176" s="217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110"/>
      <c r="DH176" s="110"/>
      <c r="DI176" s="110"/>
      <c r="DJ176" s="110"/>
      <c r="DK176"/>
      <c r="DL176"/>
      <c r="DM176"/>
      <c r="DN176"/>
      <c r="DO176"/>
      <c r="DP176"/>
      <c r="DS176" s="3"/>
    </row>
    <row r="177" spans="2:123" s="109" customFormat="1" ht="14.2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75"/>
      <c r="CF177" s="217"/>
      <c r="CG177" s="217"/>
      <c r="CH177" s="217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110"/>
      <c r="DH177" s="110"/>
      <c r="DI177" s="110"/>
      <c r="DJ177" s="110"/>
      <c r="DK177"/>
      <c r="DL177"/>
      <c r="DM177"/>
      <c r="DN177"/>
      <c r="DO177"/>
      <c r="DP177"/>
      <c r="DS177" s="3"/>
    </row>
    <row r="178" spans="2:123" s="109" customFormat="1" ht="14.2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137"/>
      <c r="CF178" s="217"/>
      <c r="CG178" s="217"/>
      <c r="CH178" s="217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110"/>
      <c r="DH178" s="110"/>
      <c r="DI178" s="110"/>
      <c r="DJ178" s="110"/>
      <c r="DK178"/>
      <c r="DL178"/>
      <c r="DM178"/>
      <c r="DN178"/>
      <c r="DO178"/>
      <c r="DP178"/>
      <c r="DS178" s="3"/>
    </row>
    <row r="179" spans="2:123" s="109" customFormat="1" ht="14.2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137"/>
      <c r="CF179" s="217"/>
      <c r="CG179" s="182"/>
      <c r="CH179" s="217"/>
      <c r="CI179" s="6"/>
      <c r="CJ179" s="6"/>
      <c r="CK179" s="6"/>
      <c r="CL179" s="6"/>
      <c r="CM179" s="6"/>
      <c r="CN179" s="6"/>
      <c r="CO179" s="6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110"/>
      <c r="DH179" s="110"/>
      <c r="DI179" s="110"/>
      <c r="DJ179" s="110"/>
      <c r="DK179"/>
      <c r="DL179"/>
      <c r="DM179"/>
      <c r="DN179"/>
      <c r="DO179"/>
      <c r="DP179"/>
      <c r="DS179" s="3"/>
    </row>
    <row r="180" spans="2:123" s="109" customFormat="1" ht="14.2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137"/>
      <c r="CF180" s="6"/>
      <c r="CG180" s="217"/>
      <c r="CH180" s="217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110"/>
      <c r="DH180" s="110"/>
      <c r="DI180" s="110"/>
      <c r="DJ180" s="110"/>
      <c r="DK180"/>
      <c r="DL180"/>
      <c r="DM180"/>
      <c r="DN180"/>
      <c r="DO180"/>
      <c r="DP180"/>
      <c r="DS180" s="3"/>
    </row>
    <row r="181" spans="2:123" s="109" customFormat="1" ht="14.2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137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110"/>
      <c r="DH181" s="110"/>
      <c r="DI181" s="110"/>
      <c r="DJ181" s="110"/>
      <c r="DK181"/>
      <c r="DL181"/>
      <c r="DM181"/>
      <c r="DN181"/>
      <c r="DO181"/>
      <c r="DP181"/>
      <c r="DS181" s="3"/>
    </row>
    <row r="182" spans="2:123" s="109" customFormat="1" ht="14.2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137"/>
      <c r="CF182" s="6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110"/>
      <c r="DH182" s="110"/>
      <c r="DI182" s="110"/>
      <c r="DJ182" s="110"/>
      <c r="DK182"/>
      <c r="DL182"/>
      <c r="DM182"/>
      <c r="DN182"/>
      <c r="DO182"/>
      <c r="DP182"/>
      <c r="DS182" s="3"/>
    </row>
    <row r="183" spans="2:123" s="109" customFormat="1" ht="14.2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137"/>
      <c r="CF183" s="6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110"/>
      <c r="DH183" s="110"/>
      <c r="DI183" s="110"/>
      <c r="DJ183" s="110"/>
      <c r="DK183"/>
      <c r="DL183"/>
      <c r="DM183"/>
      <c r="DN183"/>
      <c r="DO183"/>
      <c r="DP183"/>
      <c r="DS183" s="3"/>
    </row>
    <row r="184" spans="2:123" s="109" customFormat="1" ht="14.2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137"/>
      <c r="CF184" s="6"/>
      <c r="CG184" s="6"/>
      <c r="CH184" s="6"/>
      <c r="CI184" s="6"/>
      <c r="CJ184" s="6"/>
      <c r="CK184" s="6"/>
      <c r="CL184" s="6"/>
      <c r="CM184" s="6"/>
      <c r="CN184" s="6"/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110"/>
      <c r="DH184" s="110"/>
      <c r="DI184" s="110"/>
      <c r="DJ184" s="110"/>
      <c r="DK184"/>
      <c r="DL184"/>
      <c r="DM184"/>
      <c r="DN184"/>
      <c r="DO184"/>
      <c r="DP184"/>
      <c r="DS184" s="3"/>
    </row>
    <row r="185" spans="2:123" s="109" customFormat="1" ht="14.2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137"/>
      <c r="CF185" s="6"/>
      <c r="CG185" s="6"/>
      <c r="CH185" s="6"/>
      <c r="CI185" s="6"/>
      <c r="CJ185" s="6"/>
      <c r="CK185" s="6"/>
      <c r="CL185" s="6"/>
      <c r="CM185" s="6"/>
      <c r="CN185" s="6"/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110"/>
      <c r="DH185" s="110"/>
      <c r="DI185" s="110"/>
      <c r="DJ185" s="110"/>
      <c r="DK185"/>
      <c r="DL185"/>
      <c r="DM185"/>
      <c r="DN185"/>
      <c r="DO185"/>
      <c r="DP185"/>
      <c r="DS185" s="3"/>
    </row>
    <row r="186" spans="2:123" s="109" customFormat="1" ht="14.2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137"/>
      <c r="CF186" s="6"/>
      <c r="CG186" s="6"/>
      <c r="CH186" s="6"/>
      <c r="CI186" s="6"/>
      <c r="CJ186" s="6"/>
      <c r="CK186" s="6"/>
      <c r="CL186" s="6"/>
      <c r="CM186" s="6"/>
      <c r="CN186" s="6"/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110"/>
      <c r="DH186" s="110"/>
      <c r="DI186" s="110"/>
      <c r="DJ186" s="110"/>
      <c r="DK186"/>
      <c r="DL186"/>
      <c r="DM186"/>
      <c r="DN186"/>
      <c r="DO186"/>
      <c r="DP186"/>
      <c r="DS186" s="3"/>
    </row>
    <row r="187" spans="2:123" s="109" customFormat="1" ht="14.2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137"/>
      <c r="CF187" s="6"/>
      <c r="CG187" s="6"/>
      <c r="CH187" s="6"/>
      <c r="CI187" s="6"/>
      <c r="CJ187" s="6"/>
      <c r="CK187" s="6"/>
      <c r="CL187" s="6"/>
      <c r="CM187" s="6"/>
      <c r="CN187" s="6"/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110"/>
      <c r="DH187" s="110"/>
      <c r="DI187" s="110"/>
      <c r="DJ187" s="110"/>
      <c r="DK187"/>
      <c r="DL187"/>
      <c r="DM187"/>
      <c r="DN187"/>
      <c r="DO187"/>
      <c r="DP187"/>
      <c r="DS187" s="3"/>
    </row>
    <row r="188" spans="2:123" s="109" customFormat="1" ht="14.2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137"/>
      <c r="CF188" s="6"/>
      <c r="CG188" s="6"/>
      <c r="CH188" s="6"/>
      <c r="CI188" s="6"/>
      <c r="CJ188" s="6"/>
      <c r="CK188" s="6"/>
      <c r="CL188" s="6"/>
      <c r="CM188" s="6"/>
      <c r="CN188" s="6"/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110"/>
      <c r="DH188" s="110"/>
      <c r="DI188" s="110"/>
      <c r="DJ188" s="110"/>
      <c r="DK188"/>
      <c r="DL188"/>
      <c r="DM188"/>
      <c r="DN188"/>
      <c r="DO188"/>
      <c r="DP188"/>
      <c r="DS188" s="3"/>
    </row>
    <row r="189" spans="2:123" s="109" customFormat="1" ht="14.2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137"/>
      <c r="CF189" s="6"/>
      <c r="CG189" s="6"/>
      <c r="CH189" s="6"/>
      <c r="CI189" s="6"/>
      <c r="CJ189" s="6"/>
      <c r="CK189" s="6"/>
      <c r="CL189" s="6"/>
      <c r="CM189" s="6"/>
      <c r="CN189" s="6"/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110"/>
      <c r="DH189" s="110"/>
      <c r="DI189" s="110"/>
      <c r="DJ189" s="110"/>
      <c r="DK189"/>
      <c r="DL189"/>
      <c r="DM189"/>
      <c r="DN189"/>
      <c r="DO189"/>
      <c r="DP189"/>
      <c r="DS189" s="3"/>
    </row>
    <row r="190" spans="2:123" s="109" customFormat="1" ht="14.2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137"/>
      <c r="CF190" s="6"/>
      <c r="CG190" s="6"/>
      <c r="CH190" s="6"/>
      <c r="CI190" s="6"/>
      <c r="CJ190" s="6"/>
      <c r="CK190" s="6"/>
      <c r="CL190" s="6"/>
      <c r="CM190" s="6"/>
      <c r="CN190" s="6"/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110"/>
      <c r="DH190" s="110"/>
      <c r="DI190" s="110"/>
      <c r="DJ190" s="110"/>
      <c r="DK190"/>
      <c r="DL190"/>
      <c r="DM190"/>
      <c r="DN190"/>
      <c r="DO190"/>
      <c r="DP190"/>
      <c r="DS190" s="3"/>
    </row>
    <row r="191" spans="2:123" s="109" customFormat="1" ht="14.2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137"/>
      <c r="CF191" s="6"/>
      <c r="CG191" s="6"/>
      <c r="CH191" s="6"/>
      <c r="CI191" s="6"/>
      <c r="CJ191" s="6"/>
      <c r="CK191" s="6"/>
      <c r="CL191" s="6"/>
      <c r="CM191" s="6"/>
      <c r="CN191" s="6"/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110"/>
      <c r="DH191" s="110"/>
      <c r="DI191" s="110"/>
      <c r="DJ191" s="110"/>
      <c r="DK191"/>
      <c r="DL191"/>
      <c r="DM191"/>
      <c r="DN191"/>
      <c r="DO191"/>
      <c r="DP191"/>
      <c r="DS191" s="3"/>
    </row>
    <row r="192" spans="2:123" s="109" customFormat="1" ht="14.2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137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110"/>
      <c r="DH192" s="110"/>
      <c r="DI192" s="110"/>
      <c r="DJ192" s="110"/>
      <c r="DK192"/>
      <c r="DL192"/>
      <c r="DM192"/>
      <c r="DN192"/>
      <c r="DO192"/>
      <c r="DP192"/>
      <c r="DS192" s="3"/>
    </row>
    <row r="193" spans="2:123" s="109" customFormat="1" ht="14.2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137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110"/>
      <c r="DH193" s="110"/>
      <c r="DI193" s="110"/>
      <c r="DJ193" s="110"/>
      <c r="DK193"/>
      <c r="DL193"/>
      <c r="DM193"/>
      <c r="DN193"/>
      <c r="DO193"/>
      <c r="DP193"/>
      <c r="DS193" s="3"/>
    </row>
    <row r="194" spans="2:123" s="109" customFormat="1" ht="14.2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137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110"/>
      <c r="DH194" s="110"/>
      <c r="DI194" s="110"/>
      <c r="DJ194" s="110"/>
      <c r="DK194"/>
      <c r="DL194"/>
      <c r="DM194"/>
      <c r="DN194"/>
      <c r="DO194"/>
      <c r="DP194"/>
      <c r="DS194" s="3"/>
    </row>
    <row r="195" spans="2:123" s="109" customFormat="1" ht="14.2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137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110"/>
      <c r="DH195" s="110"/>
      <c r="DI195" s="110"/>
      <c r="DJ195" s="110"/>
      <c r="DK195"/>
      <c r="DL195"/>
      <c r="DM195"/>
      <c r="DN195"/>
      <c r="DO195"/>
      <c r="DP195"/>
      <c r="DS195" s="3"/>
    </row>
    <row r="196" spans="2:123" s="109" customFormat="1" ht="14.2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137"/>
      <c r="CF196" s="6"/>
      <c r="CG196" s="6"/>
      <c r="CH196" s="6"/>
      <c r="CI196" s="6"/>
      <c r="CJ196" s="6"/>
      <c r="CK196" s="6"/>
      <c r="CL196" s="6"/>
      <c r="CM196" s="6"/>
      <c r="CN196" s="6"/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110"/>
      <c r="DH196" s="110"/>
      <c r="DI196" s="110"/>
      <c r="DJ196" s="110"/>
      <c r="DK196"/>
      <c r="DL196"/>
      <c r="DM196"/>
      <c r="DN196"/>
      <c r="DO196"/>
      <c r="DP196"/>
      <c r="DS196" s="3"/>
    </row>
    <row r="197" spans="2:123" s="109" customFormat="1" ht="14.2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137"/>
      <c r="CF197" s="6"/>
      <c r="CG197" s="6"/>
      <c r="CH197" s="6"/>
      <c r="CI197" s="6"/>
      <c r="CJ197" s="6"/>
      <c r="CK197" s="6"/>
      <c r="CL197" s="6"/>
      <c r="CM197" s="6"/>
      <c r="CN197" s="6"/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110"/>
      <c r="DH197" s="110"/>
      <c r="DI197" s="110"/>
      <c r="DJ197" s="110"/>
      <c r="DK197"/>
      <c r="DL197"/>
      <c r="DM197"/>
      <c r="DN197"/>
      <c r="DO197"/>
      <c r="DP197"/>
      <c r="DS197" s="3"/>
    </row>
    <row r="198" spans="2:123" s="109" customFormat="1" ht="14.2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137"/>
      <c r="CF198" s="6"/>
      <c r="CG198" s="6"/>
      <c r="CH198" s="6"/>
      <c r="CI198" s="6"/>
      <c r="CJ198" s="6"/>
      <c r="CK198" s="6"/>
      <c r="CL198" s="6"/>
      <c r="CM198" s="6"/>
      <c r="CN198" s="6"/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110"/>
      <c r="DH198" s="110"/>
      <c r="DI198" s="110"/>
      <c r="DJ198" s="110"/>
      <c r="DK198"/>
      <c r="DL198"/>
      <c r="DM198"/>
      <c r="DN198"/>
      <c r="DO198"/>
      <c r="DP198"/>
      <c r="DS198" s="3"/>
    </row>
    <row r="199" spans="2:123" s="109" customFormat="1" ht="14.2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137"/>
      <c r="CF199" s="6"/>
      <c r="CG199" s="6"/>
      <c r="CH199" s="6"/>
      <c r="CI199" s="6"/>
      <c r="CJ199" s="6"/>
      <c r="CK199" s="6"/>
      <c r="CL199" s="6"/>
      <c r="CM199" s="6"/>
      <c r="CN199" s="6"/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110"/>
      <c r="DH199" s="110"/>
      <c r="DI199" s="110"/>
      <c r="DJ199" s="110"/>
      <c r="DK199"/>
      <c r="DL199"/>
      <c r="DM199"/>
      <c r="DN199"/>
      <c r="DO199"/>
      <c r="DP199"/>
      <c r="DS199" s="3"/>
    </row>
    <row r="200" spans="2:123" s="109" customFormat="1" ht="14.2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137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110"/>
      <c r="DH200" s="110"/>
      <c r="DI200" s="110"/>
      <c r="DJ200" s="110"/>
      <c r="DK200"/>
      <c r="DL200"/>
      <c r="DM200"/>
      <c r="DN200"/>
      <c r="DO200"/>
      <c r="DP200"/>
      <c r="DS200" s="3"/>
    </row>
    <row r="201" spans="2:123" s="109" customFormat="1" ht="14.2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137"/>
      <c r="CF201" s="6"/>
      <c r="CG201" s="6"/>
      <c r="CH201" s="6"/>
      <c r="CI201" s="6"/>
      <c r="CJ201" s="6"/>
      <c r="CK201" s="6"/>
      <c r="CL201" s="6"/>
      <c r="CM201" s="6"/>
      <c r="CN201" s="6"/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110"/>
      <c r="DH201" s="110"/>
      <c r="DI201" s="110"/>
      <c r="DJ201" s="110"/>
      <c r="DK201"/>
      <c r="DL201"/>
      <c r="DM201"/>
      <c r="DN201"/>
      <c r="DO201"/>
      <c r="DP201"/>
      <c r="DS201" s="3"/>
    </row>
    <row r="202" spans="2:123" s="109" customFormat="1" ht="14.2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137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110"/>
      <c r="DH202" s="110"/>
      <c r="DI202" s="110"/>
      <c r="DJ202" s="110"/>
      <c r="DK202"/>
      <c r="DL202"/>
      <c r="DM202"/>
      <c r="DN202"/>
      <c r="DO202"/>
      <c r="DP202"/>
      <c r="DS202" s="3"/>
    </row>
    <row r="203" spans="2:123" s="109" customFormat="1" ht="14.2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137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110"/>
      <c r="DH203" s="110"/>
      <c r="DI203" s="110"/>
      <c r="DJ203" s="110"/>
      <c r="DK203"/>
      <c r="DL203"/>
      <c r="DM203"/>
      <c r="DN203"/>
      <c r="DO203"/>
      <c r="DP203"/>
      <c r="DS203" s="3"/>
    </row>
    <row r="204" spans="2:123" s="109" customFormat="1" ht="14.2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137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110"/>
      <c r="DH204" s="110"/>
      <c r="DI204" s="110"/>
      <c r="DJ204" s="110"/>
      <c r="DK204"/>
      <c r="DL204"/>
      <c r="DM204"/>
      <c r="DN204"/>
      <c r="DO204"/>
      <c r="DP204"/>
      <c r="DS204" s="3"/>
    </row>
    <row r="205" spans="2:123" s="109" customFormat="1" ht="14.2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137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110"/>
      <c r="DH205" s="110"/>
      <c r="DI205" s="110"/>
      <c r="DJ205" s="110"/>
      <c r="DK205"/>
      <c r="DL205"/>
      <c r="DM205"/>
      <c r="DN205"/>
      <c r="DO205"/>
      <c r="DP205"/>
      <c r="DS205" s="3"/>
    </row>
    <row r="206" spans="2:123" s="109" customFormat="1" ht="14.2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137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110"/>
      <c r="DH206" s="110"/>
      <c r="DI206" s="110"/>
      <c r="DJ206" s="110"/>
      <c r="DK206"/>
      <c r="DL206"/>
      <c r="DM206"/>
      <c r="DN206"/>
      <c r="DO206"/>
      <c r="DP206"/>
      <c r="DS206" s="3"/>
    </row>
    <row r="207" spans="2:123" s="109" customFormat="1" ht="14.2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137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110"/>
      <c r="DH207" s="110"/>
      <c r="DI207" s="110"/>
      <c r="DJ207" s="110"/>
      <c r="DK207"/>
      <c r="DL207"/>
      <c r="DM207"/>
      <c r="DN207"/>
      <c r="DO207"/>
      <c r="DP207"/>
      <c r="DS207" s="3"/>
    </row>
    <row r="208" spans="2:123" s="109" customFormat="1" ht="14.2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137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110"/>
      <c r="DH208" s="110"/>
      <c r="DI208" s="110"/>
      <c r="DJ208" s="110"/>
      <c r="DK208"/>
      <c r="DL208"/>
      <c r="DM208"/>
      <c r="DN208"/>
      <c r="DO208"/>
      <c r="DP208"/>
      <c r="DS208" s="3"/>
    </row>
    <row r="209" spans="2:123" s="109" customFormat="1" ht="14.2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137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110"/>
      <c r="DH209" s="110"/>
      <c r="DI209" s="110"/>
      <c r="DJ209" s="110"/>
      <c r="DK209"/>
      <c r="DL209"/>
      <c r="DM209"/>
      <c r="DN209"/>
      <c r="DO209"/>
      <c r="DP209"/>
      <c r="DS209" s="3"/>
    </row>
    <row r="210" spans="2:123" s="109" customFormat="1" ht="14.2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137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110"/>
      <c r="DH210" s="110"/>
      <c r="DI210" s="110"/>
      <c r="DJ210" s="110"/>
      <c r="DK210"/>
      <c r="DL210"/>
      <c r="DM210"/>
      <c r="DN210"/>
      <c r="DO210"/>
      <c r="DP210"/>
      <c r="DS210" s="3"/>
    </row>
    <row r="211" spans="2:123" s="109" customFormat="1" ht="14.2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137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110"/>
      <c r="DH211" s="110"/>
      <c r="DI211" s="110"/>
      <c r="DJ211" s="110"/>
      <c r="DK211"/>
      <c r="DL211"/>
      <c r="DM211"/>
      <c r="DN211"/>
      <c r="DO211"/>
      <c r="DP211"/>
      <c r="DS211" s="3"/>
    </row>
    <row r="212" spans="2:123" s="109" customFormat="1" ht="14.2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137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110"/>
      <c r="DH212" s="110"/>
      <c r="DI212" s="110"/>
      <c r="DJ212" s="110"/>
      <c r="DK212"/>
      <c r="DL212"/>
      <c r="DM212"/>
      <c r="DN212"/>
      <c r="DO212"/>
      <c r="DP212"/>
      <c r="DS212" s="3"/>
    </row>
    <row r="213" spans="2:123" s="109" customFormat="1" ht="14.2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137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110"/>
      <c r="DH213" s="110"/>
      <c r="DI213" s="110"/>
      <c r="DJ213" s="110"/>
      <c r="DK213"/>
      <c r="DL213"/>
      <c r="DM213"/>
      <c r="DN213"/>
      <c r="DO213"/>
      <c r="DP213"/>
      <c r="DS213" s="3"/>
    </row>
    <row r="214" spans="2:123" s="109" customFormat="1" ht="14.2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137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110"/>
      <c r="DH214" s="110"/>
      <c r="DI214" s="110"/>
      <c r="DJ214" s="110"/>
      <c r="DK214"/>
      <c r="DL214"/>
      <c r="DM214"/>
      <c r="DN214"/>
      <c r="DO214"/>
      <c r="DP214"/>
      <c r="DS214" s="3"/>
    </row>
    <row r="215" spans="2:123" s="109" customFormat="1" ht="14.2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137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110"/>
      <c r="DH215" s="110"/>
      <c r="DI215" s="110"/>
      <c r="DJ215" s="110"/>
      <c r="DK215"/>
      <c r="DL215"/>
      <c r="DM215"/>
      <c r="DN215"/>
      <c r="DO215"/>
      <c r="DP215"/>
      <c r="DS215" s="3"/>
    </row>
    <row r="216" spans="2:123" s="109" customFormat="1" ht="14.2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137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110"/>
      <c r="DH216" s="110"/>
      <c r="DI216" s="110"/>
      <c r="DJ216" s="110"/>
      <c r="DK216"/>
      <c r="DL216"/>
      <c r="DM216"/>
      <c r="DN216"/>
      <c r="DO216"/>
      <c r="DP216"/>
      <c r="DS216" s="3"/>
    </row>
    <row r="217" spans="2:123" s="109" customFormat="1" ht="14.2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137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110"/>
      <c r="DH217" s="110"/>
      <c r="DI217" s="110"/>
      <c r="DJ217" s="110"/>
      <c r="DK217"/>
      <c r="DL217"/>
      <c r="DM217"/>
      <c r="DN217"/>
      <c r="DO217"/>
      <c r="DP217"/>
      <c r="DS217" s="3"/>
    </row>
    <row r="218" spans="2:123" s="109" customFormat="1" ht="14.2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137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110"/>
      <c r="DH218" s="110"/>
      <c r="DI218" s="110"/>
      <c r="DJ218" s="110"/>
      <c r="DK218"/>
      <c r="DL218"/>
      <c r="DM218"/>
      <c r="DN218"/>
      <c r="DO218"/>
      <c r="DP218"/>
      <c r="DS218" s="3"/>
    </row>
    <row r="219" spans="2:123" s="109" customFormat="1" ht="14.2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137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110"/>
      <c r="DH219" s="110"/>
      <c r="DI219" s="110"/>
      <c r="DJ219" s="110"/>
      <c r="DK219"/>
      <c r="DL219"/>
      <c r="DM219"/>
      <c r="DN219"/>
      <c r="DO219"/>
      <c r="DP219"/>
      <c r="DS219" s="3"/>
    </row>
    <row r="220" spans="2:123" s="109" customFormat="1" ht="14.2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137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110"/>
      <c r="DH220" s="110"/>
      <c r="DI220" s="110"/>
      <c r="DJ220" s="110"/>
      <c r="DK220"/>
      <c r="DL220"/>
      <c r="DM220"/>
      <c r="DN220"/>
      <c r="DO220"/>
      <c r="DP220"/>
      <c r="DS220" s="3"/>
    </row>
    <row r="221" spans="2:123" s="109" customFormat="1" ht="14.2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137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110"/>
      <c r="DH221" s="110"/>
      <c r="DI221" s="110"/>
      <c r="DJ221" s="110"/>
      <c r="DK221"/>
      <c r="DL221"/>
      <c r="DM221"/>
      <c r="DN221"/>
      <c r="DO221"/>
      <c r="DP221"/>
      <c r="DS221" s="3"/>
    </row>
    <row r="222" spans="2:123" s="109" customFormat="1" ht="14.2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137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110"/>
      <c r="DH222" s="110"/>
      <c r="DI222" s="110"/>
      <c r="DJ222" s="110"/>
      <c r="DK222"/>
      <c r="DL222"/>
      <c r="DM222"/>
      <c r="DN222"/>
      <c r="DO222"/>
      <c r="DP222"/>
      <c r="DS222" s="3"/>
    </row>
    <row r="223" spans="2:123" s="109" customFormat="1" ht="14.2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137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110"/>
      <c r="DH223" s="110"/>
      <c r="DI223" s="110"/>
      <c r="DJ223" s="110"/>
      <c r="DK223"/>
      <c r="DL223"/>
      <c r="DM223"/>
      <c r="DN223"/>
      <c r="DO223"/>
      <c r="DP223"/>
      <c r="DS223" s="3"/>
    </row>
    <row r="224" spans="2:123" s="109" customFormat="1" ht="14.2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137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110"/>
      <c r="DH224" s="110"/>
      <c r="DI224" s="110"/>
      <c r="DJ224" s="110"/>
      <c r="DK224"/>
      <c r="DL224"/>
      <c r="DM224"/>
      <c r="DN224"/>
      <c r="DO224"/>
      <c r="DP224"/>
      <c r="DS224" s="3"/>
    </row>
    <row r="225" spans="2:123" s="109" customFormat="1" ht="14.2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137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110"/>
      <c r="DH225" s="110"/>
      <c r="DI225" s="110"/>
      <c r="DJ225" s="110"/>
      <c r="DK225"/>
      <c r="DL225"/>
      <c r="DM225"/>
      <c r="DN225"/>
      <c r="DO225"/>
      <c r="DP225"/>
      <c r="DS225" s="3"/>
    </row>
    <row r="226" spans="2:123" s="109" customFormat="1" ht="14.2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137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110"/>
      <c r="DH226" s="110"/>
      <c r="DI226" s="110"/>
      <c r="DJ226" s="110"/>
      <c r="DK226"/>
      <c r="DL226"/>
      <c r="DM226"/>
      <c r="DN226"/>
      <c r="DO226"/>
      <c r="DP226"/>
      <c r="DS226" s="3"/>
    </row>
    <row r="227" spans="2:123" s="109" customFormat="1" ht="14.2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137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110"/>
      <c r="DH227" s="110"/>
      <c r="DI227" s="110"/>
      <c r="DJ227" s="110"/>
      <c r="DK227"/>
      <c r="DL227"/>
      <c r="DM227"/>
      <c r="DN227"/>
      <c r="DO227"/>
      <c r="DP227"/>
      <c r="DS227" s="3"/>
    </row>
    <row r="228" spans="2:123" s="109" customFormat="1" ht="14.2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137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110"/>
      <c r="DH228" s="110"/>
      <c r="DI228" s="110"/>
      <c r="DJ228" s="110"/>
      <c r="DK228"/>
      <c r="DL228"/>
      <c r="DM228"/>
      <c r="DN228"/>
      <c r="DO228"/>
      <c r="DP228"/>
      <c r="DS228" s="3"/>
    </row>
    <row r="229" spans="2:123" s="109" customFormat="1" ht="14.2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137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110"/>
      <c r="DH229" s="110"/>
      <c r="DI229" s="110"/>
      <c r="DJ229" s="110"/>
      <c r="DK229"/>
      <c r="DL229"/>
      <c r="DM229"/>
      <c r="DN229"/>
      <c r="DO229"/>
      <c r="DP229"/>
      <c r="DS229" s="3"/>
    </row>
    <row r="230" spans="2:123" s="109" customFormat="1" ht="14.2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137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110"/>
      <c r="DH230" s="110"/>
      <c r="DI230" s="110"/>
      <c r="DJ230" s="110"/>
      <c r="DK230"/>
      <c r="DL230"/>
      <c r="DM230"/>
      <c r="DN230"/>
      <c r="DO230"/>
      <c r="DP230"/>
      <c r="DS230" s="3"/>
    </row>
    <row r="231" spans="2:123" s="109" customFormat="1" ht="14.2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137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110"/>
      <c r="DH231" s="110"/>
      <c r="DI231" s="110"/>
      <c r="DJ231" s="110"/>
      <c r="DK231"/>
      <c r="DL231"/>
      <c r="DM231"/>
      <c r="DN231"/>
      <c r="DO231"/>
      <c r="DP231"/>
      <c r="DS231" s="3"/>
    </row>
    <row r="232" spans="2:123" s="109" customFormat="1" ht="14.2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137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110"/>
      <c r="DH232" s="110"/>
      <c r="DI232" s="110"/>
      <c r="DJ232" s="110"/>
      <c r="DK232"/>
      <c r="DL232"/>
      <c r="DM232"/>
      <c r="DN232"/>
      <c r="DO232"/>
      <c r="DP232"/>
      <c r="DS232" s="3"/>
    </row>
    <row r="233" spans="2:123" s="109" customFormat="1" ht="14.2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137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110"/>
      <c r="DH233" s="110"/>
      <c r="DI233" s="110"/>
      <c r="DJ233" s="110"/>
      <c r="DK233"/>
      <c r="DL233"/>
      <c r="DM233"/>
      <c r="DN233"/>
      <c r="DO233"/>
      <c r="DP233"/>
      <c r="DS233" s="3"/>
    </row>
    <row r="234" spans="2:123" s="109" customFormat="1" ht="14.2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137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110"/>
      <c r="DH234" s="110"/>
      <c r="DI234" s="110"/>
      <c r="DJ234" s="110"/>
      <c r="DK234"/>
      <c r="DL234"/>
      <c r="DM234"/>
      <c r="DN234"/>
      <c r="DO234"/>
      <c r="DP234"/>
      <c r="DS234" s="3"/>
    </row>
    <row r="235" spans="2:123" s="109" customFormat="1" ht="14.2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137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110"/>
      <c r="DH235" s="110"/>
      <c r="DI235" s="110"/>
      <c r="DJ235" s="110"/>
      <c r="DK235"/>
      <c r="DL235"/>
      <c r="DM235"/>
      <c r="DN235"/>
      <c r="DO235"/>
      <c r="DP235"/>
      <c r="DS235" s="3"/>
    </row>
    <row r="236" spans="2:123" s="109" customFormat="1" ht="14.2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137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110"/>
      <c r="DH236" s="110"/>
      <c r="DI236" s="110"/>
      <c r="DJ236" s="110"/>
      <c r="DK236"/>
      <c r="DL236"/>
      <c r="DM236"/>
      <c r="DN236"/>
      <c r="DO236"/>
      <c r="DP236"/>
      <c r="DS236" s="3"/>
    </row>
    <row r="237" spans="2:123" s="109" customFormat="1" ht="14.2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137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110"/>
      <c r="DH237" s="110"/>
      <c r="DI237" s="110"/>
      <c r="DJ237" s="110"/>
      <c r="DK237"/>
      <c r="DL237"/>
      <c r="DM237"/>
      <c r="DN237"/>
      <c r="DO237"/>
      <c r="DP237"/>
      <c r="DS237" s="3"/>
    </row>
    <row r="238" spans="2:123" s="109" customFormat="1" ht="14.2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137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110"/>
      <c r="DH238" s="110"/>
      <c r="DI238" s="110"/>
      <c r="DJ238" s="110"/>
      <c r="DK238"/>
      <c r="DL238"/>
      <c r="DM238"/>
      <c r="DN238"/>
      <c r="DO238"/>
      <c r="DP238"/>
      <c r="DS238" s="3"/>
    </row>
    <row r="239" spans="2:123" s="109" customFormat="1" ht="14.2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137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110"/>
      <c r="DH239" s="110"/>
      <c r="DI239" s="110"/>
      <c r="DJ239" s="110"/>
      <c r="DK239"/>
      <c r="DL239"/>
      <c r="DM239"/>
      <c r="DN239"/>
      <c r="DO239"/>
      <c r="DP239"/>
      <c r="DS239" s="3"/>
    </row>
    <row r="240" spans="2:123" s="109" customFormat="1" ht="14.2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137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110"/>
      <c r="DH240" s="110"/>
      <c r="DI240" s="110"/>
      <c r="DJ240" s="110"/>
      <c r="DK240"/>
      <c r="DL240"/>
      <c r="DM240"/>
      <c r="DN240"/>
      <c r="DO240"/>
      <c r="DP240"/>
      <c r="DS240" s="3"/>
    </row>
    <row r="241" spans="2:123" s="109" customFormat="1" ht="14.2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137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110"/>
      <c r="DH241" s="110"/>
      <c r="DI241" s="110"/>
      <c r="DJ241" s="110"/>
      <c r="DK241"/>
      <c r="DL241"/>
      <c r="DM241"/>
      <c r="DN241"/>
      <c r="DO241"/>
      <c r="DP241"/>
      <c r="DS241" s="3"/>
    </row>
    <row r="242" spans="2:123" s="109" customFormat="1" ht="14.2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137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110"/>
      <c r="DH242" s="110"/>
      <c r="DI242" s="110"/>
      <c r="DJ242" s="110"/>
      <c r="DK242"/>
      <c r="DL242"/>
      <c r="DM242"/>
      <c r="DN242"/>
      <c r="DO242"/>
      <c r="DP242"/>
      <c r="DS242" s="3"/>
    </row>
    <row r="243" spans="2:123" s="109" customFormat="1" ht="14.2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137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110"/>
      <c r="DH243" s="110"/>
      <c r="DI243" s="110"/>
      <c r="DJ243" s="110"/>
      <c r="DK243"/>
      <c r="DL243"/>
      <c r="DM243"/>
      <c r="DN243"/>
      <c r="DO243"/>
      <c r="DP243"/>
      <c r="DS243" s="3"/>
    </row>
    <row r="244" spans="2:123" s="109" customFormat="1" ht="14.2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137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110"/>
      <c r="DH244" s="110"/>
      <c r="DI244" s="110"/>
      <c r="DJ244" s="110"/>
      <c r="DK244"/>
      <c r="DL244"/>
      <c r="DM244"/>
      <c r="DN244"/>
      <c r="DO244"/>
      <c r="DP244"/>
      <c r="DS244" s="3"/>
    </row>
    <row r="245" spans="2:123" s="109" customFormat="1" ht="14.2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137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110"/>
      <c r="DH245" s="110"/>
      <c r="DI245" s="110"/>
      <c r="DJ245" s="110"/>
      <c r="DK245"/>
      <c r="DL245"/>
      <c r="DM245"/>
      <c r="DN245"/>
      <c r="DO245"/>
      <c r="DP245"/>
      <c r="DS245" s="3"/>
    </row>
    <row r="246" spans="2:123" s="109" customFormat="1" ht="14.2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137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110"/>
      <c r="DH246" s="110"/>
      <c r="DI246" s="110"/>
      <c r="DJ246" s="110"/>
      <c r="DK246"/>
      <c r="DL246"/>
      <c r="DM246"/>
      <c r="DN246"/>
      <c r="DO246"/>
      <c r="DP246"/>
      <c r="DS246" s="3"/>
    </row>
    <row r="247" spans="2:123" s="109" customFormat="1" ht="14.2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137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110"/>
      <c r="DH247" s="110"/>
      <c r="DI247" s="110"/>
      <c r="DJ247" s="110"/>
      <c r="DK247"/>
      <c r="DL247"/>
      <c r="DM247"/>
      <c r="DN247"/>
      <c r="DO247"/>
      <c r="DP247"/>
      <c r="DS247" s="3"/>
    </row>
    <row r="248" spans="2:123" s="109" customFormat="1" ht="14.2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137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110"/>
      <c r="DH248" s="110"/>
      <c r="DI248" s="110"/>
      <c r="DJ248" s="110"/>
      <c r="DK248"/>
      <c r="DL248"/>
      <c r="DM248"/>
      <c r="DN248"/>
      <c r="DO248"/>
      <c r="DP248"/>
      <c r="DS248" s="3"/>
    </row>
    <row r="249" spans="2:123" s="109" customFormat="1" ht="14.2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137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110"/>
      <c r="DH249" s="110"/>
      <c r="DI249" s="110"/>
      <c r="DJ249" s="110"/>
      <c r="DK249"/>
      <c r="DL249"/>
      <c r="DM249"/>
      <c r="DN249"/>
      <c r="DO249"/>
      <c r="DP249"/>
      <c r="DS249" s="3"/>
    </row>
    <row r="250" spans="2:123" s="109" customFormat="1" ht="14.2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137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110"/>
      <c r="DH250" s="110"/>
      <c r="DI250" s="110"/>
      <c r="DJ250" s="110"/>
      <c r="DK250"/>
      <c r="DL250"/>
      <c r="DM250"/>
      <c r="DN250"/>
      <c r="DO250"/>
      <c r="DP250"/>
      <c r="DS250" s="3"/>
    </row>
    <row r="251" spans="2:123" s="109" customFormat="1" ht="14.2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137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110"/>
      <c r="DH251" s="110"/>
      <c r="DI251" s="110"/>
      <c r="DJ251" s="110"/>
      <c r="DK251"/>
      <c r="DL251"/>
      <c r="DM251"/>
      <c r="DN251"/>
      <c r="DO251"/>
      <c r="DP251"/>
      <c r="DS251" s="3"/>
    </row>
    <row r="252" spans="2:123" s="109" customFormat="1" ht="14.2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137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110"/>
      <c r="DH252" s="110"/>
      <c r="DI252" s="110"/>
      <c r="DJ252" s="110"/>
      <c r="DK252"/>
      <c r="DL252"/>
      <c r="DM252"/>
      <c r="DN252"/>
      <c r="DO252"/>
      <c r="DP252"/>
      <c r="DS252" s="3"/>
    </row>
    <row r="253" spans="2:123" s="109" customFormat="1" ht="14.2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137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110"/>
      <c r="DH253" s="110"/>
      <c r="DI253" s="110"/>
      <c r="DJ253" s="110"/>
      <c r="DK253"/>
      <c r="DL253"/>
      <c r="DM253"/>
      <c r="DN253"/>
      <c r="DO253"/>
      <c r="DP253"/>
      <c r="DS253" s="3"/>
    </row>
    <row r="254" spans="2:123" s="109" customFormat="1" ht="14.2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137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110"/>
      <c r="DH254" s="110"/>
      <c r="DI254" s="110"/>
      <c r="DJ254" s="110"/>
      <c r="DK254"/>
      <c r="DL254"/>
      <c r="DM254"/>
      <c r="DN254"/>
      <c r="DO254"/>
      <c r="DP254"/>
      <c r="DS254" s="3"/>
    </row>
    <row r="255" spans="2:123" s="109" customFormat="1" ht="14.2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137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110"/>
      <c r="DH255" s="110"/>
      <c r="DI255" s="110"/>
      <c r="DJ255" s="110"/>
      <c r="DK255"/>
      <c r="DL255"/>
      <c r="DM255"/>
      <c r="DN255"/>
      <c r="DO255"/>
      <c r="DP255"/>
      <c r="DS255" s="3"/>
    </row>
    <row r="256" spans="2:123" s="109" customFormat="1" ht="14.2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137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110"/>
      <c r="DH256" s="110"/>
      <c r="DI256" s="110"/>
      <c r="DJ256" s="110"/>
      <c r="DK256"/>
      <c r="DL256"/>
      <c r="DM256"/>
      <c r="DN256"/>
      <c r="DO256"/>
      <c r="DP256"/>
      <c r="DS256" s="3"/>
    </row>
    <row r="257" spans="2:123" s="109" customFormat="1" ht="14.2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137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110"/>
      <c r="DH257" s="110"/>
      <c r="DI257" s="110"/>
      <c r="DJ257" s="110"/>
      <c r="DK257"/>
      <c r="DL257"/>
      <c r="DM257"/>
      <c r="DN257"/>
      <c r="DO257"/>
      <c r="DP257"/>
      <c r="DS257" s="3"/>
    </row>
    <row r="258" spans="2:123" s="109" customFormat="1" ht="14.2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137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110"/>
      <c r="DH258" s="110"/>
      <c r="DI258" s="110"/>
      <c r="DJ258" s="110"/>
      <c r="DK258"/>
      <c r="DL258"/>
      <c r="DM258"/>
      <c r="DN258"/>
      <c r="DO258"/>
      <c r="DP258"/>
      <c r="DS258" s="3"/>
    </row>
    <row r="259" spans="2:123" s="109" customFormat="1" ht="14.2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137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110"/>
      <c r="DH259" s="110"/>
      <c r="DI259" s="110"/>
      <c r="DJ259" s="110"/>
      <c r="DK259"/>
      <c r="DL259"/>
      <c r="DM259"/>
      <c r="DN259"/>
      <c r="DO259"/>
      <c r="DP259"/>
      <c r="DS259" s="3"/>
    </row>
    <row r="260" spans="2:123" s="109" customFormat="1" ht="14.2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137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110"/>
      <c r="DH260" s="110"/>
      <c r="DI260" s="110"/>
      <c r="DJ260" s="110"/>
      <c r="DK260"/>
      <c r="DL260"/>
      <c r="DM260"/>
      <c r="DN260"/>
      <c r="DO260"/>
      <c r="DP260"/>
      <c r="DS260" s="3"/>
    </row>
    <row r="261" spans="2:123" s="109" customFormat="1" ht="14.2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137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110"/>
      <c r="DH261" s="110"/>
      <c r="DI261" s="110"/>
      <c r="DJ261" s="110"/>
      <c r="DK261"/>
      <c r="DL261"/>
      <c r="DM261"/>
      <c r="DN261"/>
      <c r="DO261"/>
      <c r="DP261"/>
      <c r="DS261" s="3"/>
    </row>
    <row r="262" spans="2:123" s="109" customFormat="1" ht="14.2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137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110"/>
      <c r="DH262" s="110"/>
      <c r="DI262" s="110"/>
      <c r="DJ262" s="110"/>
      <c r="DK262"/>
      <c r="DL262"/>
      <c r="DM262"/>
      <c r="DN262"/>
      <c r="DO262"/>
      <c r="DP262"/>
      <c r="DS262" s="3"/>
    </row>
    <row r="263" spans="2:123" s="109" customFormat="1" ht="14.2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137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110"/>
      <c r="DH263" s="110"/>
      <c r="DI263" s="110"/>
      <c r="DJ263" s="110"/>
      <c r="DK263"/>
      <c r="DL263"/>
      <c r="DM263"/>
      <c r="DN263"/>
      <c r="DO263"/>
      <c r="DP263"/>
      <c r="DS263" s="3"/>
    </row>
    <row r="264" spans="2:123" s="109" customFormat="1" ht="14.2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137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110"/>
      <c r="DH264" s="110"/>
      <c r="DI264" s="110"/>
      <c r="DJ264" s="110"/>
      <c r="DK264"/>
      <c r="DL264"/>
      <c r="DM264"/>
      <c r="DN264"/>
      <c r="DO264"/>
      <c r="DP264"/>
      <c r="DS264" s="3"/>
    </row>
    <row r="265" spans="2:123" s="109" customFormat="1" ht="14.2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137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110"/>
      <c r="DH265" s="110"/>
      <c r="DI265" s="110"/>
      <c r="DJ265" s="110"/>
      <c r="DK265"/>
      <c r="DL265"/>
      <c r="DM265"/>
      <c r="DN265"/>
      <c r="DO265"/>
      <c r="DP265"/>
      <c r="DS265" s="3"/>
    </row>
    <row r="266" spans="2:123" s="109" customFormat="1" ht="14.2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137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110"/>
      <c r="DH266" s="110"/>
      <c r="DI266" s="110"/>
      <c r="DJ266" s="110"/>
      <c r="DK266"/>
      <c r="DL266"/>
      <c r="DM266"/>
      <c r="DN266"/>
      <c r="DO266"/>
      <c r="DP266"/>
      <c r="DS266" s="3"/>
    </row>
    <row r="267" spans="2:123" s="109" customFormat="1" ht="14.2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137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110"/>
      <c r="DH267" s="110"/>
      <c r="DI267" s="110"/>
      <c r="DJ267" s="110"/>
      <c r="DK267"/>
      <c r="DL267"/>
      <c r="DM267"/>
      <c r="DN267"/>
      <c r="DO267"/>
      <c r="DP267"/>
      <c r="DS267" s="3"/>
    </row>
    <row r="268" spans="2:123" s="109" customFormat="1" ht="14.2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137"/>
      <c r="CF268" s="6"/>
      <c r="CG268" s="6"/>
      <c r="CH268" s="6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110"/>
      <c r="DH268" s="110"/>
      <c r="DI268" s="110"/>
      <c r="DJ268" s="110"/>
      <c r="DK268"/>
      <c r="DL268"/>
      <c r="DM268"/>
      <c r="DN268"/>
      <c r="DO268"/>
      <c r="DP268"/>
      <c r="DS268" s="3"/>
    </row>
    <row r="269" spans="2:123" s="109" customFormat="1" ht="14.2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137"/>
      <c r="CF269" s="6"/>
      <c r="CG269" s="6"/>
      <c r="CH269" s="6"/>
      <c r="CI269" s="6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110"/>
      <c r="DH269" s="110"/>
      <c r="DI269" s="110"/>
      <c r="DJ269" s="110"/>
      <c r="DK269"/>
      <c r="DL269"/>
      <c r="DM269"/>
      <c r="DN269"/>
      <c r="DO269"/>
      <c r="DP269"/>
      <c r="DS269" s="3"/>
    </row>
    <row r="270" spans="2:123" s="109" customFormat="1" ht="14.2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137"/>
      <c r="CF270" s="6"/>
      <c r="CG270" s="6"/>
      <c r="CH270" s="6"/>
      <c r="CI270" s="6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110"/>
      <c r="DH270" s="110"/>
      <c r="DI270" s="110"/>
      <c r="DJ270" s="110"/>
      <c r="DK270"/>
      <c r="DL270"/>
      <c r="DM270"/>
      <c r="DN270"/>
      <c r="DO270"/>
      <c r="DP270"/>
      <c r="DS270" s="3"/>
    </row>
    <row r="271" spans="2:123" s="109" customFormat="1" ht="14.2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137"/>
      <c r="CF271" s="6"/>
      <c r="CG271" s="6"/>
      <c r="CH271" s="6"/>
      <c r="CI271" s="6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110"/>
      <c r="DH271" s="110"/>
      <c r="DI271" s="110"/>
      <c r="DJ271" s="110"/>
      <c r="DK271"/>
      <c r="DL271"/>
      <c r="DM271"/>
      <c r="DN271"/>
      <c r="DO271"/>
      <c r="DP271"/>
      <c r="DS271" s="3"/>
    </row>
    <row r="272" spans="2:123" s="109" customFormat="1" ht="14.2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137"/>
      <c r="CF272" s="6"/>
      <c r="CG272" s="6"/>
      <c r="CH272" s="6"/>
      <c r="CI272" s="6"/>
      <c r="CJ272" s="6"/>
      <c r="CK272" s="6"/>
      <c r="CL272" s="6"/>
      <c r="CM272" s="6"/>
      <c r="CN272" s="6"/>
      <c r="CO272" s="6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110"/>
      <c r="DH272" s="110"/>
      <c r="DI272" s="110"/>
      <c r="DJ272" s="110"/>
      <c r="DK272"/>
      <c r="DL272"/>
      <c r="DM272"/>
      <c r="DN272"/>
      <c r="DO272"/>
      <c r="DP272"/>
      <c r="DS272" s="3"/>
    </row>
    <row r="273" spans="2:123" s="109" customFormat="1" ht="14.2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137"/>
      <c r="CF273" s="6"/>
      <c r="CG273" s="6"/>
      <c r="CH273" s="6"/>
      <c r="CI273" s="6"/>
      <c r="CJ273" s="6"/>
      <c r="CK273" s="6"/>
      <c r="CL273" s="6"/>
      <c r="CM273" s="6"/>
      <c r="CN273" s="6"/>
      <c r="CO273" s="6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110"/>
      <c r="DH273" s="110"/>
      <c r="DI273" s="110"/>
      <c r="DJ273" s="110"/>
      <c r="DK273"/>
      <c r="DL273"/>
      <c r="DM273"/>
      <c r="DN273"/>
      <c r="DO273"/>
      <c r="DP273"/>
      <c r="DS273" s="3"/>
    </row>
    <row r="274" spans="2:123" s="109" customFormat="1" ht="14.2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137"/>
      <c r="CF274" s="6"/>
      <c r="CG274" s="6"/>
      <c r="CH274" s="6"/>
      <c r="CI274" s="6"/>
      <c r="CJ274" s="6"/>
      <c r="CK274" s="6"/>
      <c r="CL274" s="6"/>
      <c r="CM274" s="6"/>
      <c r="CN274" s="6"/>
      <c r="CO274" s="6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110"/>
      <c r="DH274" s="110"/>
      <c r="DI274" s="110"/>
      <c r="DJ274" s="110"/>
      <c r="DK274"/>
      <c r="DL274"/>
      <c r="DM274"/>
      <c r="DN274"/>
      <c r="DO274"/>
      <c r="DP274"/>
      <c r="DS274" s="3"/>
    </row>
    <row r="275" spans="2:123" s="109" customFormat="1" ht="14.2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137"/>
      <c r="CF275" s="6"/>
      <c r="CG275" s="6"/>
      <c r="CH275" s="6"/>
      <c r="CI275" s="6"/>
      <c r="CJ275" s="6"/>
      <c r="CK275" s="6"/>
      <c r="CL275" s="6"/>
      <c r="CM275" s="6"/>
      <c r="CN275" s="6"/>
      <c r="CO275" s="6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110"/>
      <c r="DH275" s="110"/>
      <c r="DI275" s="110"/>
      <c r="DJ275" s="110"/>
      <c r="DK275"/>
      <c r="DL275"/>
      <c r="DM275"/>
      <c r="DN275"/>
      <c r="DO275"/>
      <c r="DP275"/>
      <c r="DS275" s="3"/>
    </row>
    <row r="276" spans="2:123" s="109" customFormat="1" ht="14.2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137"/>
      <c r="CF276" s="6"/>
      <c r="CG276" s="6"/>
      <c r="CH276" s="6"/>
      <c r="CI276" s="6"/>
      <c r="CJ276" s="6"/>
      <c r="CK276" s="6"/>
      <c r="CL276" s="6"/>
      <c r="CM276" s="6"/>
      <c r="CN276" s="6"/>
      <c r="CO276" s="6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110"/>
      <c r="DH276" s="110"/>
      <c r="DI276" s="110"/>
      <c r="DJ276" s="110"/>
      <c r="DK276"/>
      <c r="DL276"/>
      <c r="DM276"/>
      <c r="DN276"/>
      <c r="DO276"/>
      <c r="DP276"/>
      <c r="DS276" s="3"/>
    </row>
    <row r="277" spans="2:123" s="109" customFormat="1" ht="14.2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137"/>
      <c r="CF277" s="6"/>
      <c r="CG277" s="6"/>
      <c r="CH277" s="6"/>
      <c r="CI277" s="6"/>
      <c r="CJ277" s="6"/>
      <c r="CK277" s="6"/>
      <c r="CL277" s="6"/>
      <c r="CM277" s="6"/>
      <c r="CN277" s="6"/>
      <c r="CO277" s="6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110"/>
      <c r="DH277" s="110"/>
      <c r="DI277" s="110"/>
      <c r="DJ277" s="110"/>
      <c r="DK277"/>
      <c r="DL277"/>
      <c r="DM277"/>
      <c r="DN277"/>
      <c r="DO277"/>
      <c r="DP277"/>
      <c r="DS277" s="3"/>
    </row>
    <row r="278" spans="2:123" s="109" customFormat="1" ht="14.2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137"/>
      <c r="CF278" s="6"/>
      <c r="CG278" s="6"/>
      <c r="CH278" s="6"/>
      <c r="CI278" s="6"/>
      <c r="CJ278" s="6"/>
      <c r="CK278" s="6"/>
      <c r="CL278" s="6"/>
      <c r="CM278" s="6"/>
      <c r="CN278" s="6"/>
      <c r="CO278" s="6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110"/>
      <c r="DH278" s="110"/>
      <c r="DI278" s="110"/>
      <c r="DJ278" s="110"/>
      <c r="DK278"/>
      <c r="DL278"/>
      <c r="DM278"/>
      <c r="DN278"/>
      <c r="DO278"/>
      <c r="DP278"/>
      <c r="DS278" s="3"/>
    </row>
    <row r="279" spans="2:123" s="109" customFormat="1" ht="14.2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137"/>
      <c r="CF279" s="6"/>
      <c r="CG279" s="6"/>
      <c r="CH279" s="6"/>
      <c r="CI279" s="6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110"/>
      <c r="DH279" s="110"/>
      <c r="DI279" s="110"/>
      <c r="DJ279" s="110"/>
      <c r="DK279"/>
      <c r="DL279"/>
      <c r="DM279"/>
      <c r="DN279"/>
      <c r="DO279"/>
      <c r="DP279"/>
      <c r="DS279" s="3"/>
    </row>
    <row r="280" spans="2:123" s="109" customFormat="1" ht="14.2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137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110"/>
      <c r="DH280" s="110"/>
      <c r="DI280" s="110"/>
      <c r="DJ280" s="110"/>
      <c r="DK280"/>
      <c r="DL280"/>
      <c r="DM280"/>
      <c r="DN280"/>
      <c r="DO280"/>
      <c r="DP280"/>
      <c r="DS280" s="3"/>
    </row>
    <row r="281" spans="2:123" s="109" customFormat="1" ht="14.2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137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110"/>
      <c r="DH281" s="110"/>
      <c r="DI281" s="110"/>
      <c r="DJ281" s="110"/>
      <c r="DK281"/>
      <c r="DL281"/>
      <c r="DM281"/>
      <c r="DN281"/>
      <c r="DO281"/>
      <c r="DP281"/>
      <c r="DS281" s="3"/>
    </row>
    <row r="282" spans="2:123" s="109" customFormat="1" ht="14.2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137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110"/>
      <c r="DH282" s="110"/>
      <c r="DI282" s="110"/>
      <c r="DJ282" s="110"/>
      <c r="DK282"/>
      <c r="DL282"/>
      <c r="DM282"/>
      <c r="DN282"/>
      <c r="DO282"/>
      <c r="DP282"/>
      <c r="DS282" s="3"/>
    </row>
    <row r="283" spans="2:123" s="109" customFormat="1" ht="14.2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137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110"/>
      <c r="DH283" s="110"/>
      <c r="DI283" s="110"/>
      <c r="DJ283" s="110"/>
      <c r="DK283"/>
      <c r="DL283"/>
      <c r="DM283"/>
      <c r="DN283"/>
      <c r="DO283"/>
      <c r="DP283"/>
      <c r="DS283" s="3"/>
    </row>
    <row r="284" spans="2:123" s="109" customFormat="1" ht="14.2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137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110"/>
      <c r="DH284" s="110"/>
      <c r="DI284" s="110"/>
      <c r="DJ284" s="110"/>
      <c r="DK284"/>
      <c r="DL284"/>
      <c r="DM284"/>
      <c r="DN284"/>
      <c r="DO284"/>
      <c r="DP284"/>
      <c r="DS284" s="3"/>
    </row>
    <row r="285" spans="2:123" s="109" customFormat="1" ht="14.2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137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110"/>
      <c r="DH285" s="110"/>
      <c r="DI285" s="110"/>
      <c r="DJ285" s="110"/>
      <c r="DK285"/>
      <c r="DL285"/>
      <c r="DM285"/>
      <c r="DN285"/>
      <c r="DO285"/>
      <c r="DP285"/>
      <c r="DS285" s="3"/>
    </row>
    <row r="286" spans="2:123" s="109" customFormat="1" ht="14.2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137"/>
      <c r="CF286" s="6"/>
      <c r="CG286" s="6"/>
      <c r="CH286" s="6"/>
      <c r="CI286" s="6"/>
      <c r="CJ286" s="6"/>
      <c r="CK286" s="6"/>
      <c r="CL286" s="6"/>
      <c r="CM286" s="6"/>
      <c r="CN286" s="6"/>
      <c r="CO286" s="6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110"/>
      <c r="DH286" s="110"/>
      <c r="DI286" s="110"/>
      <c r="DJ286" s="110"/>
      <c r="DK286"/>
      <c r="DL286"/>
      <c r="DM286"/>
      <c r="DN286"/>
      <c r="DO286"/>
      <c r="DP286"/>
      <c r="DS286" s="3"/>
    </row>
    <row r="287" spans="2:123" s="109" customFormat="1" ht="14.2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137"/>
      <c r="CF287" s="6"/>
      <c r="CG287" s="6"/>
      <c r="CH287" s="6"/>
      <c r="CI287" s="6"/>
      <c r="CJ287" s="6"/>
      <c r="CK287" s="6"/>
      <c r="CL287" s="6"/>
      <c r="CM287" s="6"/>
      <c r="CN287" s="6"/>
      <c r="CO287" s="6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110"/>
      <c r="DH287" s="110"/>
      <c r="DI287" s="110"/>
      <c r="DJ287" s="110"/>
      <c r="DK287"/>
      <c r="DL287"/>
      <c r="DM287"/>
      <c r="DN287"/>
      <c r="DO287"/>
      <c r="DP287"/>
      <c r="DS287" s="3"/>
    </row>
    <row r="288" spans="2:123" s="109" customFormat="1" ht="14.2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137"/>
      <c r="CF288" s="6"/>
      <c r="CG288" s="6"/>
      <c r="CH288" s="6"/>
      <c r="CI288" s="6"/>
      <c r="CJ288" s="6"/>
      <c r="CK288" s="6"/>
      <c r="CL288" s="6"/>
      <c r="CM288" s="6"/>
      <c r="CN288" s="6"/>
      <c r="CO288" s="6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110"/>
      <c r="DH288" s="110"/>
      <c r="DI288" s="110"/>
      <c r="DJ288" s="110"/>
      <c r="DK288"/>
      <c r="DL288"/>
      <c r="DM288"/>
      <c r="DN288"/>
      <c r="DO288"/>
      <c r="DP288"/>
      <c r="DS288" s="3"/>
    </row>
    <row r="289" spans="1:123" s="109" customFormat="1" ht="14.2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137"/>
      <c r="CF289" s="6"/>
      <c r="CG289" s="6"/>
      <c r="CH289" s="6"/>
      <c r="CI289" s="6"/>
      <c r="CJ289" s="6"/>
      <c r="CK289" s="6"/>
      <c r="CL289" s="6"/>
      <c r="CM289" s="6"/>
      <c r="CN289" s="6"/>
      <c r="CO289" s="6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110"/>
      <c r="DH289" s="110"/>
      <c r="DI289" s="110"/>
      <c r="DJ289" s="110"/>
      <c r="DK289"/>
      <c r="DL289"/>
      <c r="DM289"/>
      <c r="DN289"/>
      <c r="DO289"/>
      <c r="DP289"/>
      <c r="DS289" s="3"/>
    </row>
    <row r="290" spans="1:123" s="109" customFormat="1" ht="14.2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137"/>
      <c r="CF290" s="6"/>
      <c r="CG290" s="6"/>
      <c r="CH290" s="6"/>
      <c r="CI290" s="6"/>
      <c r="CJ290" s="6"/>
      <c r="CK290" s="6"/>
      <c r="CL290" s="6"/>
      <c r="CM290" s="6"/>
      <c r="CN290" s="6"/>
      <c r="CO290" s="6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110"/>
      <c r="DH290" s="110"/>
      <c r="DI290" s="110"/>
      <c r="DJ290" s="110"/>
      <c r="DK290"/>
      <c r="DL290"/>
      <c r="DM290"/>
      <c r="DN290"/>
      <c r="DO290"/>
      <c r="DP290"/>
      <c r="DS290" s="3"/>
    </row>
    <row r="291" spans="1:123" s="109" customFormat="1" ht="14.2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137"/>
      <c r="CF291" s="6"/>
      <c r="CG291" s="6"/>
      <c r="CH291" s="6"/>
      <c r="CI291" s="6"/>
      <c r="CJ291" s="6"/>
      <c r="CK291" s="6"/>
      <c r="CL291" s="6"/>
      <c r="CM291" s="6"/>
      <c r="CN291" s="6"/>
      <c r="CO291" s="6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110"/>
      <c r="DH291" s="110"/>
      <c r="DI291" s="110"/>
      <c r="DJ291" s="110"/>
      <c r="DK291"/>
      <c r="DL291"/>
      <c r="DM291"/>
      <c r="DN291"/>
      <c r="DO291"/>
      <c r="DP291"/>
      <c r="DS291" s="3"/>
    </row>
    <row r="292" spans="1:123" s="109" customFormat="1" ht="15">
      <c r="B292" s="203" t="s">
        <v>165</v>
      </c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137"/>
      <c r="CF292" s="6"/>
      <c r="CG292" s="6"/>
      <c r="CH292" s="6"/>
      <c r="CI292" s="6"/>
      <c r="CJ292" s="6"/>
      <c r="CK292" s="6"/>
      <c r="CL292" s="6"/>
      <c r="CM292" s="6"/>
      <c r="CN292" s="6"/>
      <c r="CO292" s="6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110"/>
      <c r="DH292" s="110"/>
      <c r="DI292" s="110"/>
      <c r="DJ292" s="110"/>
      <c r="DK292"/>
      <c r="DL292"/>
      <c r="DM292"/>
      <c r="DN292"/>
      <c r="DO292"/>
      <c r="DP292"/>
      <c r="DS292" s="3"/>
    </row>
    <row r="293" spans="1:12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</row>
    <row r="294" spans="1:123" s="7" customFormat="1" ht="14.25">
      <c r="A294" s="3"/>
      <c r="B294" s="93" t="s">
        <v>65</v>
      </c>
      <c r="C294" s="93"/>
      <c r="D294" s="97" t="e">
        <f>IS!D296</f>
        <v>#NAME?</v>
      </c>
      <c r="E294" s="97" t="e">
        <f>IS!E296</f>
        <v>#NAME?</v>
      </c>
      <c r="F294" s="97" t="e">
        <f>IS!F296</f>
        <v>#NAME?</v>
      </c>
      <c r="G294" s="97" t="e">
        <f>IS!G296</f>
        <v>#NAME?</v>
      </c>
      <c r="H294" s="97" t="e">
        <f>IS!H296</f>
        <v>#NAME?</v>
      </c>
      <c r="I294" s="97" t="e">
        <f>IS!I296</f>
        <v>#NAME?</v>
      </c>
      <c r="J294" s="97" t="e">
        <f>IS!J296</f>
        <v>#NAME?</v>
      </c>
      <c r="K294" s="97" t="e">
        <f>IS!K296</f>
        <v>#NAME?</v>
      </c>
      <c r="L294" s="97" t="e">
        <f>IS!L296</f>
        <v>#NAME?</v>
      </c>
      <c r="M294" s="97" t="e">
        <f>IS!M296</f>
        <v>#NAME?</v>
      </c>
      <c r="N294" s="97" t="e">
        <f>IS!N296</f>
        <v>#NAME?</v>
      </c>
      <c r="O294" s="97" t="e">
        <f>IS!O296</f>
        <v>#NAME?</v>
      </c>
      <c r="P294" s="97" t="e">
        <f>IS!P296</f>
        <v>#NAME?</v>
      </c>
      <c r="Q294" s="97" t="e">
        <f>IS!Q296</f>
        <v>#NAME?</v>
      </c>
      <c r="R294" s="97" t="e">
        <f>IS!R296</f>
        <v>#NAME?</v>
      </c>
      <c r="S294" s="97" t="e">
        <f>IS!S296</f>
        <v>#NAME?</v>
      </c>
      <c r="T294" s="97" t="e">
        <f>IS!T296</f>
        <v>#NAME?</v>
      </c>
      <c r="U294" s="97" t="e">
        <f>IS!U296</f>
        <v>#NAME?</v>
      </c>
      <c r="V294" s="97" t="e">
        <f>IS!V296</f>
        <v>#NAME?</v>
      </c>
      <c r="W294" s="97" t="e">
        <f>IS!W296</f>
        <v>#NAME?</v>
      </c>
      <c r="X294" s="97" t="e">
        <f>IS!X296</f>
        <v>#NAME?</v>
      </c>
      <c r="Y294" s="97" t="e">
        <f>IS!Y296</f>
        <v>#NAME?</v>
      </c>
      <c r="Z294" s="97" t="e">
        <f>IS!Z296</f>
        <v>#NAME?</v>
      </c>
      <c r="AA294" s="97" t="e">
        <f>IS!AA296</f>
        <v>#NAME?</v>
      </c>
      <c r="AB294" s="97" t="e">
        <f>IS!AB296</f>
        <v>#NAME?</v>
      </c>
      <c r="AC294" s="97" t="e">
        <f>IS!AC296</f>
        <v>#NAME?</v>
      </c>
      <c r="AD294" s="97" t="e">
        <f>IS!AD296</f>
        <v>#NAME?</v>
      </c>
      <c r="AE294" s="97" t="e">
        <f>IS!AE296</f>
        <v>#NAME?</v>
      </c>
      <c r="AF294" s="97" t="e">
        <f>IS!AF296</f>
        <v>#NAME?</v>
      </c>
      <c r="AG294" s="97" t="e">
        <f>IS!AG296</f>
        <v>#NAME?</v>
      </c>
      <c r="AH294" s="97" t="e">
        <f>IS!AH296</f>
        <v>#NAME?</v>
      </c>
      <c r="AI294" s="97" t="e">
        <f>IS!AI296</f>
        <v>#NAME?</v>
      </c>
      <c r="AJ294" s="97" t="e">
        <f>IS!AJ296</f>
        <v>#NAME?</v>
      </c>
      <c r="AK294" s="97" t="e">
        <f>IS!AK296</f>
        <v>#NAME?</v>
      </c>
      <c r="AL294" s="97" t="e">
        <f>IS!AL296</f>
        <v>#NAME?</v>
      </c>
      <c r="AM294" s="97" t="e">
        <f>IS!AM296</f>
        <v>#NAME?</v>
      </c>
      <c r="AN294" s="97" t="e">
        <f>IS!AN296</f>
        <v>#NAME?</v>
      </c>
      <c r="AO294" s="97" t="e">
        <f>IS!AO296</f>
        <v>#NAME?</v>
      </c>
      <c r="AP294" s="97" t="e">
        <f>IS!AP296</f>
        <v>#NAME?</v>
      </c>
      <c r="AQ294" s="97" t="e">
        <f>IS!AQ296</f>
        <v>#NAME?</v>
      </c>
      <c r="AR294" s="97" t="e">
        <f>IS!AR296</f>
        <v>#NAME?</v>
      </c>
      <c r="AS294" s="97" t="e">
        <f>IS!AS296</f>
        <v>#NAME?</v>
      </c>
      <c r="AT294" s="97" t="e">
        <f>IS!AT296</f>
        <v>#NAME?</v>
      </c>
      <c r="AU294" s="97" t="e">
        <f>IS!AU296</f>
        <v>#NAME?</v>
      </c>
      <c r="AV294" s="97" t="e">
        <f>IS!AV296</f>
        <v>#NAME?</v>
      </c>
      <c r="AW294" s="97" t="e">
        <f>IS!AW296</f>
        <v>#NAME?</v>
      </c>
      <c r="AX294" s="97" t="e">
        <f>IS!AX296</f>
        <v>#NAME?</v>
      </c>
      <c r="AY294" s="97" t="e">
        <f>IS!AY296</f>
        <v>#NAME?</v>
      </c>
      <c r="AZ294" s="97" t="e">
        <f>IS!AZ296</f>
        <v>#NAME?</v>
      </c>
      <c r="BA294" s="97" t="e">
        <f>IS!BA296</f>
        <v>#NAME?</v>
      </c>
      <c r="BB294" s="97" t="e">
        <f>IS!BB296</f>
        <v>#NAME?</v>
      </c>
      <c r="BC294" s="97" t="e">
        <f>IS!BC296</f>
        <v>#NAME?</v>
      </c>
      <c r="BD294" s="97" t="e">
        <f>IS!BD296</f>
        <v>#NAME?</v>
      </c>
      <c r="BE294" s="97" t="e">
        <f>IS!BE296</f>
        <v>#NAME?</v>
      </c>
      <c r="BF294" s="97" t="e">
        <f>IS!BF296</f>
        <v>#NAME?</v>
      </c>
      <c r="BG294" s="97" t="e">
        <f>IS!BG296</f>
        <v>#NAME?</v>
      </c>
      <c r="BH294" s="97" t="e">
        <f>IS!BH296</f>
        <v>#NAME?</v>
      </c>
      <c r="BI294" s="97" t="e">
        <f>IS!BI296</f>
        <v>#NAME?</v>
      </c>
      <c r="BJ294" s="97" t="e">
        <f>IS!BJ296</f>
        <v>#NAME?</v>
      </c>
      <c r="BK294" s="97" t="e">
        <f>IS!BK296</f>
        <v>#NAME?</v>
      </c>
      <c r="BL294" s="97" t="e">
        <f>IS!BL296</f>
        <v>#NAME?</v>
      </c>
      <c r="BM294" s="97" t="e">
        <f>IS!BM296</f>
        <v>#NAME?</v>
      </c>
      <c r="BN294" s="97" t="e">
        <f>IS!BN296</f>
        <v>#NAME?</v>
      </c>
      <c r="BO294" s="97" t="e">
        <f>IS!BO296</f>
        <v>#NAME?</v>
      </c>
      <c r="BP294" s="97" t="e">
        <f>IS!BP296</f>
        <v>#NAME?</v>
      </c>
      <c r="BQ294" s="97" t="e">
        <f>IS!BQ296</f>
        <v>#NAME?</v>
      </c>
      <c r="BR294" s="97" t="e">
        <f>IS!BR296</f>
        <v>#NAME?</v>
      </c>
      <c r="BS294" s="97" t="e">
        <f>IS!BS296</f>
        <v>#NAME?</v>
      </c>
      <c r="BT294" s="97" t="e">
        <f>IS!BT296</f>
        <v>#NAME?</v>
      </c>
      <c r="BU294" s="97" t="e">
        <f>IS!BU296</f>
        <v>#NAME?</v>
      </c>
      <c r="BV294" s="97" t="e">
        <f>IS!BV296</f>
        <v>#NAME?</v>
      </c>
      <c r="BW294" s="97" t="e">
        <f>IS!BW296</f>
        <v>#NAME?</v>
      </c>
      <c r="BX294" s="97"/>
      <c r="BY294" s="97" t="e">
        <f>IS!BY296</f>
        <v>#NAME?</v>
      </c>
      <c r="BZ294" s="97" t="e">
        <f>IS!BZ296</f>
        <v>#NAME?</v>
      </c>
      <c r="CA294" s="97" t="e">
        <f>IS!CA296</f>
        <v>#NAME?</v>
      </c>
      <c r="CB294" s="97" t="e">
        <f>IS!CB296</f>
        <v>#NAME?</v>
      </c>
      <c r="CC294" s="97" t="e">
        <f>IS!CC296</f>
        <v>#NAME?</v>
      </c>
      <c r="CD294" s="97" t="e">
        <f>IS!CD296</f>
        <v>#NAME?</v>
      </c>
      <c r="CE294" s="97" t="e">
        <f>IS!CE296</f>
        <v>#NAME?</v>
      </c>
      <c r="CF294" s="97" t="e">
        <f>IS!CF296</f>
        <v>#NAME?</v>
      </c>
      <c r="CG294" s="97" t="e">
        <f>IS!CG296</f>
        <v>#NAME?</v>
      </c>
      <c r="CH294" s="97" t="e">
        <f>IS!CH296</f>
        <v>#NAME?</v>
      </c>
      <c r="CI294" s="97" t="e">
        <f>IS!CI296</f>
        <v>#NAME?</v>
      </c>
      <c r="CJ294" s="97" t="e">
        <f>IS!CJ296</f>
        <v>#NAME?</v>
      </c>
      <c r="CK294" s="97" t="e">
        <f>IS!CK296</f>
        <v>#NAME?</v>
      </c>
      <c r="CL294" s="97" t="e">
        <f>IS!CL296</f>
        <v>#NAME?</v>
      </c>
      <c r="CM294" s="97" t="e">
        <f>IS!CM296</f>
        <v>#NAME?</v>
      </c>
      <c r="CN294" s="97" t="e">
        <f>IS!CN296</f>
        <v>#NAME?</v>
      </c>
      <c r="CO294" s="97" t="e">
        <f>IS!CO296</f>
        <v>#NAME?</v>
      </c>
      <c r="CP294" s="97" t="e">
        <f>IS!CP296</f>
        <v>#NAME?</v>
      </c>
      <c r="CQ294" s="465"/>
      <c r="CR294" s="97"/>
      <c r="CS294" s="97"/>
      <c r="CT294" s="97"/>
      <c r="CU294" s="97" t="e">
        <f>IS!CU296</f>
        <v>#NAME?</v>
      </c>
      <c r="CV294" s="97" t="e">
        <f>IS!CV296</f>
        <v>#NAME?</v>
      </c>
      <c r="CW294" s="97" t="e">
        <f>IS!CW296</f>
        <v>#NAME?</v>
      </c>
      <c r="CX294" s="97" t="e">
        <f>IS!CX296</f>
        <v>#NAME?</v>
      </c>
      <c r="CY294" s="97" t="e">
        <f>IS!CY296</f>
        <v>#NAME?</v>
      </c>
      <c r="CZ294" s="97" t="e">
        <f>IS!CZ296</f>
        <v>#NAME?</v>
      </c>
      <c r="DA294" s="97" t="e">
        <f>IS!DA296</f>
        <v>#NAME?</v>
      </c>
      <c r="DB294" s="97" t="str">
        <f>IS!DB296</f>
        <v>E</v>
      </c>
      <c r="DC294" s="97" t="str">
        <f>IS!DC296</f>
        <v>E</v>
      </c>
      <c r="DD294" s="97" t="str">
        <f>IS!DD296</f>
        <v>E</v>
      </c>
      <c r="DE294" s="97"/>
      <c r="DF294" s="97"/>
      <c r="DK294"/>
      <c r="DL294"/>
      <c r="DM294"/>
      <c r="DN294"/>
      <c r="DO294"/>
      <c r="DP294"/>
      <c r="DQ294" s="101"/>
      <c r="DR294" s="101"/>
    </row>
    <row r="295" spans="1:123" s="3" customFormat="1" ht="14.25">
      <c r="B295" s="6" t="s">
        <v>166</v>
      </c>
      <c r="C295" s="6"/>
      <c r="D295" s="225" t="s">
        <v>223</v>
      </c>
      <c r="E295" s="225" t="s">
        <v>223</v>
      </c>
      <c r="F295" s="225" t="s">
        <v>223</v>
      </c>
      <c r="G295" s="225" t="s">
        <v>223</v>
      </c>
      <c r="H295" s="225" t="s">
        <v>223</v>
      </c>
      <c r="I295" s="225" t="s">
        <v>223</v>
      </c>
      <c r="J295" s="225" t="s">
        <v>223</v>
      </c>
      <c r="K295" s="225" t="s">
        <v>223</v>
      </c>
      <c r="L295" s="225" t="s">
        <v>223</v>
      </c>
      <c r="M295" s="225" t="s">
        <v>223</v>
      </c>
      <c r="N295" s="225" t="s">
        <v>223</v>
      </c>
      <c r="O295" s="225" t="s">
        <v>223</v>
      </c>
      <c r="P295" s="225" t="s">
        <v>223</v>
      </c>
      <c r="Q295" s="225" t="s">
        <v>223</v>
      </c>
      <c r="R295" s="225" t="s">
        <v>223</v>
      </c>
      <c r="S295" s="225" t="s">
        <v>223</v>
      </c>
      <c r="T295" s="225" t="s">
        <v>223</v>
      </c>
      <c r="U295" s="225" t="s">
        <v>223</v>
      </c>
      <c r="V295" s="225" t="s">
        <v>223</v>
      </c>
      <c r="W295" s="225" t="s">
        <v>223</v>
      </c>
      <c r="X295" s="225" t="s">
        <v>223</v>
      </c>
      <c r="Y295" s="225" t="s">
        <v>223</v>
      </c>
      <c r="Z295" s="225" t="s">
        <v>223</v>
      </c>
      <c r="AA295" s="225" t="s">
        <v>223</v>
      </c>
      <c r="AB295" s="225" t="s">
        <v>223</v>
      </c>
      <c r="AC295" s="225" t="s">
        <v>223</v>
      </c>
      <c r="AD295" s="225" t="s">
        <v>223</v>
      </c>
      <c r="AE295" s="225" t="s">
        <v>223</v>
      </c>
      <c r="AF295" s="225" t="s">
        <v>223</v>
      </c>
      <c r="AG295" s="225" t="s">
        <v>223</v>
      </c>
      <c r="AH295" s="225" t="s">
        <v>223</v>
      </c>
      <c r="AI295" s="225" t="s">
        <v>223</v>
      </c>
      <c r="AJ295" s="225" t="s">
        <v>223</v>
      </c>
      <c r="AK295" s="225" t="s">
        <v>223</v>
      </c>
      <c r="AL295" s="225" t="s">
        <v>223</v>
      </c>
      <c r="AM295" s="225" t="s">
        <v>223</v>
      </c>
      <c r="AN295" s="225" t="s">
        <v>223</v>
      </c>
      <c r="AO295" s="225" t="s">
        <v>223</v>
      </c>
      <c r="AP295" s="225" t="s">
        <v>223</v>
      </c>
      <c r="AQ295" s="225" t="s">
        <v>223</v>
      </c>
      <c r="AR295" s="225" t="s">
        <v>223</v>
      </c>
      <c r="AS295" s="225" t="s">
        <v>223</v>
      </c>
      <c r="AT295" s="225" t="s">
        <v>223</v>
      </c>
      <c r="AU295" s="225" t="s">
        <v>223</v>
      </c>
      <c r="AV295" s="225" t="s">
        <v>223</v>
      </c>
      <c r="AW295" s="225" t="s">
        <v>223</v>
      </c>
      <c r="AX295" s="225" t="s">
        <v>223</v>
      </c>
      <c r="AY295" s="225" t="s">
        <v>223</v>
      </c>
      <c r="AZ295" s="225" t="s">
        <v>223</v>
      </c>
      <c r="BA295" s="225" t="s">
        <v>223</v>
      </c>
      <c r="BB295" s="225" t="s">
        <v>223</v>
      </c>
      <c r="BC295" s="225" t="s">
        <v>223</v>
      </c>
      <c r="BD295" s="225" t="s">
        <v>223</v>
      </c>
      <c r="BE295" s="225" t="s">
        <v>223</v>
      </c>
      <c r="BF295" s="225" t="s">
        <v>223</v>
      </c>
      <c r="BG295" s="225" t="s">
        <v>223</v>
      </c>
      <c r="BH295" s="225" t="s">
        <v>223</v>
      </c>
      <c r="BI295" s="225" t="s">
        <v>223</v>
      </c>
      <c r="BJ295" s="225" t="s">
        <v>223</v>
      </c>
      <c r="BK295" s="225" t="s">
        <v>223</v>
      </c>
      <c r="BL295" s="225" t="s">
        <v>223</v>
      </c>
      <c r="BM295" s="225" t="s">
        <v>223</v>
      </c>
      <c r="BN295" s="225" t="s">
        <v>223</v>
      </c>
      <c r="BO295" s="225" t="s">
        <v>223</v>
      </c>
      <c r="BP295" s="225" t="s">
        <v>223</v>
      </c>
      <c r="BQ295" s="225" t="s">
        <v>223</v>
      </c>
      <c r="BR295" s="225" t="s">
        <v>223</v>
      </c>
      <c r="BS295" s="225" t="s">
        <v>223</v>
      </c>
      <c r="BT295" s="225" t="s">
        <v>223</v>
      </c>
      <c r="BU295" s="225" t="s">
        <v>223</v>
      </c>
      <c r="BV295" s="225" t="s">
        <v>223</v>
      </c>
      <c r="BW295" s="225" t="s">
        <v>223</v>
      </c>
      <c r="BX295" s="225"/>
      <c r="BY295" s="225" t="s">
        <v>223</v>
      </c>
      <c r="BZ295" s="225" t="s">
        <v>223</v>
      </c>
      <c r="CA295" s="225" t="s">
        <v>223</v>
      </c>
      <c r="CB295" s="225" t="s">
        <v>223</v>
      </c>
      <c r="CC295" s="225" t="s">
        <v>223</v>
      </c>
      <c r="CD295" s="225" t="s">
        <v>223</v>
      </c>
      <c r="CE295" s="225" t="s">
        <v>223</v>
      </c>
      <c r="CF295" s="225" t="s">
        <v>223</v>
      </c>
      <c r="CG295" s="225" t="s">
        <v>223</v>
      </c>
      <c r="CH295" s="225" t="s">
        <v>223</v>
      </c>
      <c r="CI295" s="225" t="s">
        <v>223</v>
      </c>
      <c r="CJ295" s="225" t="s">
        <v>223</v>
      </c>
      <c r="CK295" s="225" t="s">
        <v>223</v>
      </c>
      <c r="CL295" s="225" t="s">
        <v>223</v>
      </c>
      <c r="CM295" s="225" t="s">
        <v>223</v>
      </c>
      <c r="CN295" s="225" t="s">
        <v>223</v>
      </c>
      <c r="CO295" s="225" t="s">
        <v>223</v>
      </c>
      <c r="CP295" s="225" t="s">
        <v>223</v>
      </c>
      <c r="CQ295" s="225"/>
      <c r="CR295" s="225"/>
      <c r="CS295" s="225"/>
      <c r="CT295" s="225"/>
      <c r="CU295" s="225"/>
      <c r="CV295" s="225"/>
      <c r="CW295" s="225"/>
      <c r="CX295" s="225"/>
      <c r="CY295" s="225"/>
      <c r="CZ295" s="225"/>
      <c r="DA295" s="225"/>
      <c r="DB295" s="225"/>
      <c r="DC295" s="225"/>
      <c r="DD295" s="225"/>
      <c r="DE295" s="225"/>
      <c r="DF295" s="225"/>
      <c r="DG295" s="97"/>
      <c r="DH295" s="97"/>
      <c r="DI295" s="97"/>
      <c r="DJ295" s="97"/>
      <c r="DK295"/>
      <c r="DL295"/>
      <c r="DM295"/>
      <c r="DN295"/>
      <c r="DO295"/>
      <c r="DP295"/>
      <c r="DQ295" s="109"/>
      <c r="DR295" s="109"/>
    </row>
    <row r="296" spans="1:123" s="3" customFormat="1" ht="14.25">
      <c r="B296" s="6" t="s">
        <v>167</v>
      </c>
      <c r="C296" s="6"/>
      <c r="D296" s="226">
        <f>D56+D57+D58+D59+D64-(C56+C57+C58+C59+C64)+D63-C63-IS!D113</f>
        <v>1414.7179999999998</v>
      </c>
      <c r="E296" s="226">
        <f>E56+E57+E58+E59+E64-(D56+D57+D58+D59+D64)+E63-D63-IS!E113</f>
        <v>0.92600000000015203</v>
      </c>
      <c r="F296" s="226">
        <f>F56+F57+F58+F59+F64-(E56+E57+E58+E59+E64)+F63-E63-IS!F113</f>
        <v>2.7219999999999542</v>
      </c>
      <c r="G296" s="226">
        <f>G56+G57+G58+G59+G64-(F56+F57+F58+F59+F64)+G63-F63-IS!G113</f>
        <v>-293.14299999999992</v>
      </c>
      <c r="H296" s="226">
        <f>H56+H57+H58+H59+H64-(G56+G57+G58+G59+G64)+H63-G63-IS!H113</f>
        <v>1.8829999999998384</v>
      </c>
      <c r="I296" s="226">
        <f>I56+I57+I58+I59+I64-(H56+H57+H58+H59+H64)+I63-H63-IS!I113</f>
        <v>4.8350000000000914</v>
      </c>
      <c r="J296" s="226">
        <f>J56+J57+J58+J59+J64-(I56+I57+I58+I59+I64)+J63-I63-IS!J113</f>
        <v>45.815999999999995</v>
      </c>
      <c r="K296" s="226">
        <f>K56+K57+K58+K59+K64-(J56+J57+J58+J59+J64)+K63-J63-IS!K113</f>
        <v>3.6559999999999704</v>
      </c>
      <c r="L296" s="226">
        <f>L56+L57+L58+L59+L64-(K56+K57+K58+K59+K64)+L63-K63-IS!L113</f>
        <v>5.3250000000000668</v>
      </c>
      <c r="M296" s="226">
        <f>M56+M57+M58+M59+M64-(L56+L57+L58+L59+L64)+M63-L63-IS!M113</f>
        <v>88.679000000000045</v>
      </c>
      <c r="N296" s="226">
        <f>N56+N57+N58+N59+N64-(M56+M57+M58+M59+M64)+N63-M63-IS!N113</f>
        <v>4.4750000000000227</v>
      </c>
      <c r="O296" s="226">
        <f>O56+O57+O58+O59+O64-(N56+N57+N58+N59+N64)+O63-N63-IS!O113</f>
        <v>-82.798000000000101</v>
      </c>
      <c r="P296" s="226">
        <f>P56+P57+P58+P59+P64-(O56+O57+O58+O59+O64)+P63-O63-IS!P113</f>
        <v>4.261999999999988</v>
      </c>
      <c r="Q296" s="226">
        <f>Q56+Q57+Q58+Q59+Q64-(P56+P57+P58+P59+P64)+Q63-P63-IS!Q113</f>
        <v>8.3269999999999165</v>
      </c>
      <c r="R296" s="226">
        <f>R56+R57+R58+R59+R64-(Q56+Q57+Q58+Q59+Q64)+R63-Q63-IS!R113</f>
        <v>5.1610000000000591</v>
      </c>
      <c r="S296" s="226">
        <f>S56+S57+S58+S59+S64-(R56+R57+R58+R59+R64)+S63-R63-IS!S113</f>
        <v>6.3932999999999964</v>
      </c>
      <c r="T296" s="226">
        <f>T56+T57+T58+T59+T64-(S56+S57+S58+S59+S64)+T63-S63-IS!T113</f>
        <v>5.7990000000002375</v>
      </c>
      <c r="U296" s="226">
        <f>U56+U57+U58+U59+U64-(T56+T57+T58+T59+T64)+U63-T63-IS!U113</f>
        <v>-22.140000000000114</v>
      </c>
      <c r="V296" s="226">
        <f>V56+V57+V58+V59+V64-(U56+U57+U58+U59+U64)+V63-U63-IS!V113</f>
        <v>6.9679999999998437</v>
      </c>
      <c r="W296" s="226">
        <f>W56+W57+W58+W59+W64-(V56+V57+V58+V59+V64)+W63-V63-IS!W113</f>
        <v>8.5920000000001373</v>
      </c>
      <c r="X296" s="226">
        <f>X56+X57+X58+X59+X64-(W56+W57+W58+W59+W64)+X63-W63-IS!X113</f>
        <v>6.4140000000000867</v>
      </c>
      <c r="Y296" s="226">
        <f>Y56+Y57+Y58+Y59+Y64-(X56+X57+X58+X59+X64)+Y63-X63-IS!Y113</f>
        <v>10.440000000000062</v>
      </c>
      <c r="Z296" s="226">
        <f>Z56+Z57+Z58+Z59+Z64-(Y56+Y57+Y58+Y59+Y64)+Z63-Y63-IS!Z113</f>
        <v>20.471000000000018</v>
      </c>
      <c r="AA296" s="226">
        <f>AA56+AA57+AA58+AA59+AA64-(Z56+Z57+Z58+Z59+Z64)+AA63-Z63-IS!AA113</f>
        <v>10.503999999999749</v>
      </c>
      <c r="AB296" s="226">
        <f>AB56+AB57+AB58+AB59+AB64-(AA56+AA57+AA58+AA59+AA64)+AB63-AA63-IS!AB113</f>
        <v>6.4689999999997383</v>
      </c>
      <c r="AC296" s="226">
        <f>AC56+AC57+AC58+AC59+AC64-(AB56+AB57+AB58+AB59+AB64)+AC63-AB63-IS!AC113</f>
        <v>10.338000000000234</v>
      </c>
      <c r="AD296" s="226">
        <f>AD56+AD57+AD58+AD59+AD64-(AC56+AC57+AC58+AC59+AC64)+AD63-AC63-IS!AD113</f>
        <v>17.137000000000079</v>
      </c>
      <c r="AE296" s="226">
        <f>AE56+AE57+AE58+AE59+AE64-(AD56+AD57+AD58+AD59+AD64)+AE63-AD63-IS!AE113</f>
        <v>35.834999999999837</v>
      </c>
      <c r="AF296" s="226">
        <f>AF56+AF57+AF58+AF59+AF64-(AE56+AE57+AE58+AE59+AE64)+AF63-AE63-IS!AF113</f>
        <v>10.107000000000248</v>
      </c>
      <c r="AG296" s="226">
        <f>AG56+AG57+AG58+AG59+AG64-(AF56+AF57+AF58+AF59+AF64)+AG63-AF63-IS!AG113</f>
        <v>8.4059999999999349</v>
      </c>
      <c r="AH296" s="226">
        <f>AH56+AH57+AH58+AH59+AH64-(AG56+AG57+AG58+AG59+AG64)+AH63-AG63-IS!AH113</f>
        <v>2.9239999999999711</v>
      </c>
      <c r="AI296" s="226">
        <f>AI56+AI57+AI58+AI59+AI64-(AH56+AH57+AH58+AH59+AH64)+AI63-AH63-IS!AI113</f>
        <v>49.002999999999865</v>
      </c>
      <c r="AJ296" s="226">
        <f>AJ56+AJ57+AJ58+AJ59+AJ64-(AI56+AI57+AI58+AI59+AI64)+AJ63-AI63-IS!AJ113</f>
        <v>33.942999999999962</v>
      </c>
      <c r="AK296" s="226">
        <f>AK56+AK57+AK58+AK59+AK64-(AJ56+AJ57+AJ58+AJ59+AJ64)+AK63-AJ63-IS!AK113</f>
        <v>15.025000000000112</v>
      </c>
      <c r="AL296" s="226">
        <f>AL56+AL57+AL58+AL59+AL64-(AK56+AK57+AK58+AK59+AK64)+AL63-AK63-IS!AL113</f>
        <v>4.2339999999999236</v>
      </c>
      <c r="AM296" s="226">
        <f>AM56+AM57+AM58+AM59+AM64-(AL56+AL57+AL58+AL59+AL64)+AM63-AL63-IS!AM113</f>
        <v>12.746000000000123</v>
      </c>
      <c r="AN296" s="226">
        <f>AN56+AN57+AN58+AN59+AN64-(AM56+AM57+AM58+AM59+AM64)+AN63-AM63-IS!AN113</f>
        <v>-2.5560000000000684</v>
      </c>
      <c r="AO296" s="226">
        <f>AO56+AO57+AO58+AO59+AO64-(AN56+AN57+AN58+AN59+AN64)+AO63-AN63-IS!AO113</f>
        <v>22.551000000000165</v>
      </c>
      <c r="AP296" s="226">
        <f>AP56+AP57+AP58+AP59+AP64-(AO56+AO57+AO58+AO59+AO64)+AP63-AO63-IS!AP113</f>
        <v>32.104999999999777</v>
      </c>
      <c r="AQ296" s="226">
        <f>AQ56+AQ57+AQ58+AQ59+AQ64-(AP56+AP57+AP58+AP59+AP64)+AQ63-AP63-IS!AQ113</f>
        <v>42.464000000000169</v>
      </c>
      <c r="AR296" s="226">
        <f>AR56+AR57+AR58+AR59+AR64-(AQ56+AQ57+AQ58+AQ59+AQ64)+AR63-AQ63-IS!AR113</f>
        <v>-28.005000000000138</v>
      </c>
      <c r="AS296" s="226">
        <f>AS56+AS57+AS58+AS59+AS64-(AR56+AR57+AR58+AR59+AR64)+AS63-AR63-IS!AS113</f>
        <v>-5.6560000000000272</v>
      </c>
      <c r="AT296" s="226">
        <f>AT56+AT57+AT58+AT59+AT64-(AS56+AS57+AS58+AS59+AS64)+AT63-AS63-IS!AT113</f>
        <v>-65.600000000000165</v>
      </c>
      <c r="AU296" s="226">
        <f>AU56+AU57+AU58+AU59+AU64-(AT56+AT57+AT58+AT59+AT64)+AU63-AT63-IS!AU113</f>
        <v>16.100000000000335</v>
      </c>
      <c r="AV296" s="226">
        <f>AV56+AV57+AV58+AV59+AV64-(AU56+AU57+AU58+AU59+AU64)+AV63-AU63-IS!AV113</f>
        <v>16.599999999999682</v>
      </c>
      <c r="AW296" s="226">
        <f>AW56+AW57+AW58+AW59+AW64-(AV56+AV57+AV58+AV59+AV64)+AW63-AV63-IS!AW113</f>
        <v>2.3000000000001819</v>
      </c>
      <c r="AX296" s="226">
        <f>AX56+AX57+AX58+AX59+AX64-(AW56+AW57+AW58+AW59+AW64)+AX63-AW63-IS!AX113</f>
        <v>-13.800000000000097</v>
      </c>
      <c r="AY296" s="226">
        <f>AY56+AY57+AY58+AY59+AY64-(AX56+AX57+AX58+AX59+AX64)+AY63-AX63-IS!AY113</f>
        <v>-27.499999999999829</v>
      </c>
      <c r="AZ296" s="226">
        <f>AZ56+AZ57+AZ58+AZ59+AZ64-(AY56+AY57+AY58+AY59+AY64)+AZ63-AY63-IS!AZ113</f>
        <v>-13.70000000000033</v>
      </c>
      <c r="BA296" s="226">
        <f>BA56+BA57+BA58+BA59+BA64-(AZ56+AZ57+AZ58+AZ59+AZ64)+BA63-AZ63-IS!BA113</f>
        <v>-13.899999999999437</v>
      </c>
      <c r="BB296" s="226">
        <f>BB56+BB57+BB58+BB59+BB64-(BA56+BA57+BA58+BA59+BA64)+BB63-BA63-IS!BB113</f>
        <v>-28.900000000000034</v>
      </c>
      <c r="BC296" s="226">
        <f>BC56+BC57+BC58+BC59+BC64-(BB56+BB57+BB58+BB59+BB64)+BC63-BB63-IS!BC113</f>
        <v>-111.70000000000039</v>
      </c>
      <c r="BD296" s="226">
        <f>BD56+BD57+BD58+BD59+BD64-(BC56+BC57+BC58+BC59+BC64)+BD63-BC63-IS!BD113</f>
        <v>-31.89999999999992</v>
      </c>
      <c r="BE296" s="226">
        <f>BE56+BE57+BE58+BE59+BE64-(BD56+BD57+BD58+BD59+BD64)+BE63-BD63-IS!BE113</f>
        <v>-147.09999999999982</v>
      </c>
      <c r="BF296" s="226">
        <f>BF56+BF57+BF58+BF59+BF64-(BE56+BE57+BE58+BE59+BE64)+BF63-BE63-IS!BF113</f>
        <v>-214.59999999999997</v>
      </c>
      <c r="BG296" s="226">
        <f>BG56+BG57+BG58+BG59+BG64-(BF56+BF57+BF58+BF59+BF64)+BG63-BF63-IS!BG113</f>
        <v>-216.7000000000005</v>
      </c>
      <c r="BH296" s="226">
        <f>BH56+BH57+BH58+BH59+BH64-(BG56+BG57+BG58+BG59+BG64)+BH63-BG63-IS!BH113</f>
        <v>-140.79999999999995</v>
      </c>
      <c r="BI296" s="226">
        <f>BI56+BI57+BI58+BI59+BI64-(BH56+BH57+BH58+BH59+BH64)+BI63-BH63-IS!BI113</f>
        <v>-93.099999999999852</v>
      </c>
      <c r="BJ296" s="226">
        <f>BJ56+BJ57+BJ58+BJ59+BJ64-(BI56+BI57+BI58+BI59+BI64)+BJ63-BI63-IS!BJ113</f>
        <v>-140.29999999999987</v>
      </c>
      <c r="BK296" s="226">
        <f>BK56+BK57+BK58+BK59+BK64-(BJ56+BJ57+BJ58+BJ59+BJ64)+BK63-BJ63-IS!BK113</f>
        <v>-114.09999999999934</v>
      </c>
      <c r="BL296" s="226">
        <f>BL56+BL57+BL58+BL59+BL64-(BK56+BK57+BK58+BK59+BK64)+BL63-BK63-IS!BL113</f>
        <v>-235.59999999999945</v>
      </c>
      <c r="BM296" s="226">
        <f>BM56+BM57+BM58+BM59+BM64-(BL56+BL57+BL58+BL59+BL64)+BM63-BL63-IS!BM113</f>
        <v>-94.29999999999967</v>
      </c>
      <c r="BN296" s="226">
        <f>BN56+BN57+BN58+BN59+BN64-(BM56+BM57+BM58+BM59+BM64)+BN63-BM63-IS!BN113</f>
        <v>-94.060000000000088</v>
      </c>
      <c r="BO296" s="226">
        <f>BO56+BO57+BO58+BO59+BO64-(BN56+BN57+BN58+BN59+BN64)+BO63-BN63-IS!BO113</f>
        <v>-93.819999999999879</v>
      </c>
      <c r="BP296" s="226">
        <f>BP56+BP57+BP58+BP59+BP64-(BO56+BO57+BO58+BO59+BO64)+BP63-BO63-IS!BP113</f>
        <v>-93.579999999999814</v>
      </c>
      <c r="BQ296" s="226">
        <f>BQ56+BQ57+BQ58+BQ59+BQ64-(BP56+BP57+BP58+BP59+BP64)+BQ63-BP63-IS!BQ113</f>
        <v>-93.339999999999236</v>
      </c>
      <c r="BR296" s="226">
        <f>BR56+BR57+BR58+BR59+BR64-(BQ56+BQ57+BQ58+BQ59+BQ64)+BR63-BQ63-IS!BR113</f>
        <v>-93.100000000000819</v>
      </c>
      <c r="BS296" s="226">
        <f>BS56+BS57+BS58+BS59+BS64-(BR56+BR57+BR58+BR59+BR64)+BS63-BR63-IS!BS113</f>
        <v>-92.860000000000127</v>
      </c>
      <c r="BT296" s="226">
        <f>BT56+BT57+BT58+BT59+BT64-(BS56+BS57+BS58+BS59+BS64)+BT63-BS63-IS!BT113</f>
        <v>-92.62</v>
      </c>
      <c r="BU296" s="226">
        <f>BU56+BU57+BU58+BU59+BU64-(BT56+BT57+BT58+BT59+BT64)+BU63-BT63-IS!BU113</f>
        <v>-92.379999999998745</v>
      </c>
      <c r="BV296" s="226">
        <f>BV56+BV57+BV58+BV59+BV64-(BU56+BU57+BU58+BU59+BU64)+BV63-BU63-IS!BV113</f>
        <v>-92.139999999999475</v>
      </c>
      <c r="BW296" s="226">
        <f>BW56+BW57+BW58+BW59+BW64-(BV56+BV57+BV58+BV59+BV64)+BW63-BV63-IS!BW113</f>
        <v>-91.900000000000944</v>
      </c>
      <c r="BX296" s="226"/>
      <c r="BY296" s="226">
        <f>BY56+BY57+BY58+BY59+BY64-(BK56+BK57+BK58+BK59+BK64)+BY63-BK63-IS!BY113</f>
        <v>-2948.9769999999999</v>
      </c>
      <c r="BZ296" s="226">
        <f>BZ56+BZ57+BZ58+BZ59+BZ64-(BL56+BL57+BL58+BL59+BL64)+BZ63-BL63-IS!BZ113</f>
        <v>-3179.0030000000006</v>
      </c>
      <c r="CA296" s="226">
        <f>CA56+CA57+CA58+CA59+CA64-(BM56+BM57+BM58+BM59+BM64)+CA63-BM63-IS!CA113</f>
        <v>-3313.8475732596012</v>
      </c>
      <c r="CB296" s="226">
        <f>CB56+CB57+CB58+CB59+CB64-(BN56+BN57+BN58+BN59+BN64)+CB63-BN63-IS!CB113</f>
        <v>-3425.4396501754431</v>
      </c>
      <c r="CC296" s="226">
        <f>CC56+CC57+CC58+CC59+CC64-(BO56+BO57+BO58+BO59+BO64)+CC63-BO63-IS!CC113</f>
        <v>-3741.7933126861194</v>
      </c>
      <c r="CD296" s="226">
        <f>CD56+CD57+CD58+CD59+CD64-(BX56+BX57+BX58+BX59+BX64)+CD63-BX63-IS!CD113</f>
        <v>834.38999999999987</v>
      </c>
      <c r="CE296" s="226">
        <f>CE56+CE57+CE58+CE59+CE64-(CD56+CD57+CD58+CD59+CD64)+CE63-CD63-IS!CE113</f>
        <v>69.778999999999911</v>
      </c>
      <c r="CF296" s="226">
        <f>CF56+CF57+CF58+CF59+CF64-(CE56+CE57+CE58+CE59+CE64)+CF63-CE63-IS!CF113</f>
        <v>70.44</v>
      </c>
      <c r="CG296" s="226">
        <f>CG56+CG57+CG58+CG59+CG64-(CF56+CF57+CF58+CF59+CF64)+CG63-CF63-IS!CG113</f>
        <v>65.948000000000036</v>
      </c>
      <c r="CH296" s="226">
        <f>CH56+CH57+CH58+CH59+CH64-(CG56+CG57+CG58+CG59+CG64)+CH63-CG63-IS!CH113</f>
        <v>94.563999999999794</v>
      </c>
      <c r="CI296" s="226">
        <f>CI56+CI57+CI58+CI59+CI64-(CH56+CH57+CH58+CH59+CH64)+CI63-CH63-IS!CI113</f>
        <v>-83.161000000000001</v>
      </c>
      <c r="CJ296" s="226">
        <f>CJ56+CJ57+CJ58+CJ59+CJ64-(CI56+CI57+CI58+CI59+CI64)+CJ63-CI63-IS!CJ113</f>
        <v>-22.400000000000205</v>
      </c>
      <c r="CK296" s="226">
        <f>CK56+CK57+CK58+CK59+CK64-(CJ56+CJ57+CJ58+CJ59+CJ64)+CK63-CJ63-IS!CK113</f>
        <v>-168.1999999999997</v>
      </c>
      <c r="CL296" s="226">
        <f>CL56+CL57+CL58+CL59+CL64-(CK56+CK57+CK58+CK59+CK64)+CL63-CK63-IS!CL113</f>
        <v>-610.30000000000064</v>
      </c>
      <c r="CM296" s="226">
        <f>CM56+CM57+CM58+CM59+CM64+CM62-(CL56+CL57+CL58+CL59+CL64+CL62)+CM63-CL63-IS!CM113</f>
        <v>-488.2999999999995</v>
      </c>
      <c r="CN296" s="226">
        <f>CN56+CN57+CN58+CN59+CN64+CN62-(CM56+CM57+CM58+CM59+CM64+CM62)+CN63-CM63-IS!CN113</f>
        <v>-459.05999999999926</v>
      </c>
      <c r="CO296" s="226">
        <f>CO56+CO57+CO58+CO59+CO64+CO62-(CN56+CN57+CN58+CN59+CN64+CN62)+CO63-CN63-IS!CO113</f>
        <v>-373.83999999999946</v>
      </c>
      <c r="CP296" s="226">
        <f>CP56+CP57+CP58+CP59+CP64+CP62-(CO56+CO57+CO58+CO59+CO64+CO62)+CP63-CO63-IS!CP113</f>
        <v>-370.00000000000091</v>
      </c>
      <c r="CQ296" s="226"/>
      <c r="CR296" s="226"/>
      <c r="CS296" s="226"/>
      <c r="CT296" s="226"/>
      <c r="CU296" s="226"/>
      <c r="CV296" s="226"/>
      <c r="CW296" s="226"/>
      <c r="CX296" s="226"/>
      <c r="CY296" s="226"/>
      <c r="CZ296" s="226"/>
      <c r="DA296" s="226"/>
      <c r="DB296" s="226"/>
      <c r="DC296" s="226"/>
      <c r="DD296" s="226"/>
      <c r="DE296" s="226"/>
      <c r="DF296" s="226"/>
      <c r="DG296" s="225"/>
      <c r="DH296" s="225"/>
      <c r="DI296" s="225"/>
      <c r="DJ296" s="225"/>
      <c r="DK296"/>
      <c r="DL296"/>
      <c r="DM296"/>
      <c r="DN296"/>
      <c r="DO296"/>
      <c r="DP296"/>
      <c r="DQ296" s="109"/>
      <c r="DR296" s="109"/>
    </row>
    <row r="297" spans="1:123" s="109" customFormat="1" ht="14.25" customHeight="1">
      <c r="DG297" s="226"/>
      <c r="DH297" s="226"/>
      <c r="DI297" s="226"/>
      <c r="DJ297" s="226"/>
      <c r="DK297"/>
      <c r="DL297"/>
      <c r="DM297"/>
      <c r="DN297"/>
      <c r="DO297"/>
      <c r="DP297"/>
      <c r="DQ297" s="231"/>
      <c r="DR297" s="231"/>
      <c r="DS297" s="226"/>
    </row>
    <row r="298" spans="1:123">
      <c r="A298" s="109"/>
      <c r="B298" s="10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  <c r="BY298" s="109"/>
      <c r="BZ298" s="109"/>
      <c r="CA298" s="109"/>
      <c r="CB298" s="109"/>
      <c r="CC298" s="109"/>
      <c r="CD298" s="109"/>
      <c r="CE298" s="109"/>
      <c r="CF298" s="109"/>
      <c r="CG298" s="109"/>
      <c r="CH298" s="109"/>
      <c r="CI298" s="109"/>
      <c r="CJ298" s="109"/>
      <c r="CK298" s="109"/>
      <c r="CL298" s="109"/>
      <c r="CM298" s="109"/>
      <c r="CN298" s="109"/>
      <c r="CO298" s="109"/>
      <c r="CP298" s="109"/>
      <c r="CQ298" s="109"/>
      <c r="CR298" s="109"/>
      <c r="CS298" s="109"/>
      <c r="CT298" s="109"/>
      <c r="CU298" s="109"/>
      <c r="CV298" s="109"/>
      <c r="CW298" s="109"/>
      <c r="CX298" s="109"/>
      <c r="CY298" s="109"/>
      <c r="CZ298" s="109"/>
      <c r="DA298" s="109"/>
      <c r="DB298" s="109"/>
      <c r="DC298" s="109"/>
      <c r="DD298" s="109"/>
      <c r="DE298" s="109"/>
      <c r="DF298" s="109"/>
      <c r="DG298" s="109"/>
      <c r="DH298" s="109"/>
      <c r="DI298" s="109"/>
      <c r="DJ298" s="109"/>
    </row>
    <row r="299" spans="1:123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  <c r="BY299" s="109"/>
      <c r="BZ299" s="109"/>
      <c r="CA299" s="109"/>
      <c r="CB299" s="109"/>
      <c r="CC299" s="109"/>
      <c r="CD299" s="109"/>
      <c r="CE299" s="109"/>
      <c r="CF299" s="109"/>
      <c r="CG299" s="109"/>
      <c r="CH299" s="109"/>
      <c r="CI299" s="109"/>
      <c r="CJ299" s="109"/>
      <c r="CK299" s="109"/>
      <c r="CL299" s="109"/>
      <c r="CM299" s="109"/>
      <c r="CN299" s="109"/>
      <c r="CO299" s="109"/>
      <c r="CP299" s="109"/>
      <c r="CQ299" s="109"/>
      <c r="CR299" s="109"/>
      <c r="CS299" s="109"/>
      <c r="CT299" s="109"/>
      <c r="CU299" s="109"/>
      <c r="CV299" s="109"/>
      <c r="CW299" s="109"/>
      <c r="CX299" s="109"/>
      <c r="CY299" s="109"/>
      <c r="CZ299" s="109"/>
      <c r="DA299" s="109"/>
      <c r="DB299" s="109"/>
      <c r="DC299" s="109"/>
      <c r="DD299" s="109"/>
      <c r="DE299" s="109"/>
      <c r="DF299" s="109"/>
      <c r="DG299" s="109"/>
      <c r="DH299" s="109"/>
      <c r="DI299" s="109"/>
      <c r="DJ299" s="109"/>
    </row>
    <row r="300" spans="1:123">
      <c r="A300" s="109"/>
      <c r="B300" s="10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  <c r="BY300" s="109"/>
      <c r="BZ300" s="109"/>
      <c r="CA300" s="109"/>
      <c r="CB300" s="109"/>
      <c r="CC300" s="109"/>
      <c r="CD300" s="109"/>
      <c r="CE300" s="109"/>
      <c r="CF300" s="109"/>
      <c r="CG300" s="109"/>
      <c r="CH300" s="109"/>
      <c r="CI300" s="109"/>
      <c r="CJ300" s="109"/>
      <c r="CK300" s="109"/>
      <c r="CL300" s="109"/>
      <c r="CM300" s="109"/>
      <c r="CN300" s="109"/>
      <c r="CO300" s="109"/>
      <c r="CP300" s="109"/>
      <c r="CQ300" s="109"/>
      <c r="CR300" s="109"/>
      <c r="CS300" s="109"/>
      <c r="CT300" s="109"/>
      <c r="CU300" s="109"/>
      <c r="CV300" s="109"/>
      <c r="CW300" s="109"/>
      <c r="CX300" s="109"/>
      <c r="CY300" s="109"/>
      <c r="CZ300" s="109"/>
      <c r="DA300" s="109"/>
      <c r="DB300" s="109"/>
      <c r="DC300" s="109"/>
      <c r="DD300" s="109"/>
      <c r="DE300" s="109"/>
      <c r="DF300" s="109"/>
      <c r="DG300" s="109"/>
      <c r="DH300" s="109"/>
      <c r="DI300" s="109"/>
      <c r="DJ300" s="109"/>
    </row>
    <row r="301" spans="1:123">
      <c r="A301" s="109"/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B301" s="109"/>
      <c r="CC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  <c r="CM301" s="109"/>
      <c r="CN301" s="109"/>
      <c r="CO301" s="109"/>
      <c r="CP301" s="109"/>
      <c r="CQ301" s="109"/>
      <c r="CR301" s="109"/>
      <c r="CS301" s="109"/>
      <c r="CT301" s="109"/>
      <c r="CU301" s="109"/>
      <c r="CV301" s="109"/>
      <c r="CW301" s="109"/>
      <c r="CX301" s="109"/>
      <c r="CY301" s="109"/>
      <c r="CZ301" s="109"/>
      <c r="DA301" s="109"/>
      <c r="DB301" s="109"/>
      <c r="DC301" s="109"/>
      <c r="DD301" s="109"/>
      <c r="DE301" s="109"/>
      <c r="DF301" s="109"/>
      <c r="DG301" s="109"/>
      <c r="DH301" s="109"/>
      <c r="DI301" s="109"/>
      <c r="DJ301" s="109"/>
    </row>
    <row r="302" spans="1:123">
      <c r="A302" s="109"/>
      <c r="B302" s="10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  <c r="BY302" s="109"/>
      <c r="BZ302" s="109"/>
      <c r="CA302" s="109"/>
      <c r="CB302" s="109"/>
      <c r="CC302" s="109"/>
      <c r="CD302" s="109"/>
      <c r="CE302" s="109"/>
      <c r="CF302" s="109"/>
      <c r="CG302" s="109"/>
      <c r="CH302" s="109"/>
      <c r="CI302" s="109"/>
      <c r="CJ302" s="109"/>
      <c r="CK302" s="109"/>
      <c r="CL302" s="109"/>
      <c r="CM302" s="109"/>
      <c r="CN302" s="109"/>
      <c r="CO302" s="109"/>
      <c r="CP302" s="109"/>
      <c r="CQ302" s="109"/>
      <c r="CR302" s="109"/>
      <c r="CS302" s="109"/>
      <c r="CT302" s="109"/>
      <c r="CU302" s="109"/>
      <c r="CV302" s="109"/>
      <c r="CW302" s="109"/>
      <c r="CX302" s="109"/>
      <c r="CY302" s="109"/>
      <c r="CZ302" s="109"/>
      <c r="DA302" s="109"/>
      <c r="DB302" s="109"/>
      <c r="DC302" s="109"/>
      <c r="DD302" s="109"/>
      <c r="DE302" s="109"/>
      <c r="DF302" s="109"/>
      <c r="DG302" s="109"/>
      <c r="DH302" s="109"/>
      <c r="DI302" s="109"/>
      <c r="DJ302" s="109"/>
    </row>
    <row r="303" spans="1:123">
      <c r="A303" s="109"/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109"/>
      <c r="CG303" s="109"/>
      <c r="CH303" s="109"/>
      <c r="CI303" s="109"/>
      <c r="CJ303" s="109"/>
      <c r="CK303" s="109"/>
      <c r="CL303" s="109"/>
      <c r="CM303" s="109"/>
      <c r="CN303" s="109"/>
      <c r="CO303" s="109"/>
      <c r="CP303" s="109"/>
      <c r="CQ303" s="109"/>
      <c r="CR303" s="109"/>
      <c r="CS303" s="109"/>
      <c r="CT303" s="109"/>
      <c r="CU303" s="109"/>
      <c r="CV303" s="109"/>
      <c r="CW303" s="109"/>
      <c r="CX303" s="109"/>
      <c r="CY303" s="109"/>
      <c r="CZ303" s="109"/>
      <c r="DA303" s="109"/>
      <c r="DB303" s="109"/>
      <c r="DC303" s="109"/>
      <c r="DD303" s="109"/>
      <c r="DE303" s="109"/>
      <c r="DF303" s="109"/>
      <c r="DG303" s="109"/>
      <c r="DH303" s="109"/>
      <c r="DI303" s="109"/>
      <c r="DJ303" s="109"/>
    </row>
    <row r="304" spans="1:123">
      <c r="A304" s="109"/>
      <c r="B304" s="10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/>
      <c r="BE304" s="109"/>
      <c r="BF304" s="109"/>
      <c r="BG304" s="109"/>
      <c r="BH304" s="109"/>
      <c r="BI304" s="109"/>
      <c r="BJ304" s="109"/>
      <c r="BK304" s="109"/>
      <c r="BL304" s="109"/>
      <c r="BM304" s="109"/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09"/>
      <c r="CN304" s="109"/>
      <c r="CO304" s="109"/>
      <c r="CP304" s="109"/>
      <c r="CQ304" s="109"/>
      <c r="CR304" s="109"/>
      <c r="CS304" s="109"/>
      <c r="CT304" s="109"/>
      <c r="CU304" s="109"/>
      <c r="CV304" s="109"/>
      <c r="CW304" s="109"/>
      <c r="CX304" s="109"/>
      <c r="CY304" s="109"/>
      <c r="CZ304" s="109"/>
      <c r="DA304" s="109"/>
      <c r="DB304" s="109"/>
      <c r="DC304" s="109"/>
      <c r="DD304" s="109"/>
      <c r="DE304" s="109"/>
      <c r="DF304" s="109"/>
      <c r="DG304" s="109"/>
      <c r="DH304" s="109"/>
      <c r="DI304" s="109"/>
      <c r="DJ304" s="109"/>
    </row>
    <row r="305" spans="1:114">
      <c r="A305" s="109"/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  <c r="BY305" s="109"/>
      <c r="BZ305" s="109"/>
      <c r="CA305" s="109"/>
      <c r="CB305" s="109"/>
      <c r="CC305" s="109"/>
      <c r="CD305" s="109"/>
      <c r="CE305" s="109"/>
      <c r="CF305" s="109"/>
      <c r="CG305" s="109"/>
      <c r="CH305" s="109"/>
      <c r="CI305" s="109"/>
      <c r="CJ305" s="109"/>
      <c r="CK305" s="109"/>
      <c r="CL305" s="109"/>
      <c r="CM305" s="109"/>
      <c r="CN305" s="109"/>
      <c r="CO305" s="109"/>
      <c r="CP305" s="109"/>
      <c r="CQ305" s="109"/>
      <c r="CR305" s="109"/>
      <c r="CS305" s="109"/>
      <c r="CT305" s="109"/>
      <c r="CU305" s="109"/>
      <c r="CV305" s="109"/>
      <c r="CW305" s="109"/>
      <c r="CX305" s="109"/>
      <c r="CY305" s="109"/>
      <c r="CZ305" s="109"/>
      <c r="DA305" s="109"/>
      <c r="DB305" s="109"/>
      <c r="DC305" s="109"/>
      <c r="DD305" s="109"/>
      <c r="DE305" s="109"/>
      <c r="DF305" s="109"/>
      <c r="DG305" s="109"/>
      <c r="DH305" s="109"/>
      <c r="DI305" s="109"/>
      <c r="DJ305" s="109"/>
    </row>
    <row r="306" spans="1:114">
      <c r="A306" s="109"/>
      <c r="B306" s="10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/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/>
      <c r="BY306" s="109"/>
      <c r="BZ306" s="109"/>
      <c r="CA306" s="109"/>
      <c r="CB306" s="109"/>
      <c r="CC306" s="109"/>
      <c r="CD306" s="109"/>
      <c r="CE306" s="109"/>
      <c r="CF306" s="109"/>
      <c r="CG306" s="109"/>
      <c r="CH306" s="109"/>
      <c r="CI306" s="109"/>
      <c r="CJ306" s="109"/>
      <c r="CK306" s="109"/>
      <c r="CL306" s="109"/>
      <c r="CM306" s="109"/>
      <c r="CN306" s="109"/>
      <c r="CO306" s="109"/>
      <c r="CP306" s="109"/>
      <c r="CQ306" s="109"/>
      <c r="CR306" s="109"/>
      <c r="CS306" s="109"/>
      <c r="CT306" s="109"/>
      <c r="CU306" s="109"/>
      <c r="CV306" s="109"/>
      <c r="CW306" s="109"/>
      <c r="CX306" s="109"/>
      <c r="CY306" s="109"/>
      <c r="CZ306" s="109"/>
      <c r="DA306" s="109"/>
      <c r="DB306" s="109"/>
      <c r="DC306" s="109"/>
      <c r="DD306" s="109"/>
      <c r="DE306" s="109"/>
      <c r="DF306" s="109"/>
      <c r="DG306" s="109"/>
      <c r="DH306" s="109"/>
      <c r="DI306" s="109"/>
      <c r="DJ306" s="109"/>
    </row>
    <row r="307" spans="1:114">
      <c r="A307" s="109"/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  <c r="BY307" s="109"/>
      <c r="BZ307" s="109"/>
      <c r="CA307" s="109"/>
      <c r="CB307" s="109"/>
      <c r="CC307" s="109"/>
      <c r="CD307" s="109"/>
      <c r="CE307" s="109"/>
      <c r="CF307" s="109"/>
      <c r="CG307" s="109"/>
      <c r="CH307" s="109"/>
      <c r="CI307" s="109"/>
      <c r="CJ307" s="109"/>
      <c r="CK307" s="109"/>
      <c r="CL307" s="109"/>
      <c r="CM307" s="109"/>
      <c r="CN307" s="109"/>
      <c r="CO307" s="109"/>
      <c r="CP307" s="109"/>
      <c r="CQ307" s="109"/>
      <c r="CR307" s="109"/>
      <c r="CS307" s="109"/>
      <c r="CT307" s="109"/>
      <c r="CU307" s="109"/>
      <c r="CV307" s="109"/>
      <c r="CW307" s="109"/>
      <c r="CX307" s="109"/>
      <c r="CY307" s="109"/>
      <c r="CZ307" s="109"/>
      <c r="DA307" s="109"/>
      <c r="DB307" s="109"/>
      <c r="DC307" s="109"/>
      <c r="DD307" s="109"/>
      <c r="DE307" s="109"/>
      <c r="DF307" s="109"/>
      <c r="DG307" s="109"/>
      <c r="DH307" s="109"/>
      <c r="DI307" s="109"/>
      <c r="DJ307" s="109"/>
    </row>
    <row r="308" spans="1:114">
      <c r="A308" s="109"/>
      <c r="B308" s="10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/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  <c r="BY308" s="109"/>
      <c r="BZ308" s="109"/>
      <c r="CA308" s="109"/>
      <c r="CB308" s="109"/>
      <c r="CC308" s="109"/>
      <c r="CD308" s="109"/>
      <c r="CE308" s="109"/>
      <c r="CF308" s="109"/>
      <c r="CG308" s="109"/>
      <c r="CH308" s="109"/>
      <c r="CI308" s="109"/>
      <c r="CJ308" s="109"/>
      <c r="CK308" s="109"/>
      <c r="CL308" s="109"/>
      <c r="CM308" s="109"/>
      <c r="CN308" s="109"/>
      <c r="CO308" s="109"/>
      <c r="CP308" s="109"/>
      <c r="CQ308" s="109"/>
      <c r="CR308" s="109"/>
      <c r="CS308" s="109"/>
      <c r="CT308" s="109"/>
      <c r="CU308" s="109"/>
      <c r="CV308" s="109"/>
      <c r="CW308" s="109"/>
      <c r="CX308" s="109"/>
      <c r="CY308" s="109"/>
      <c r="CZ308" s="109"/>
      <c r="DA308" s="109"/>
      <c r="DB308" s="109"/>
      <c r="DC308" s="109"/>
      <c r="DD308" s="109"/>
      <c r="DE308" s="109"/>
      <c r="DF308" s="109"/>
      <c r="DG308" s="109"/>
      <c r="DH308" s="109"/>
      <c r="DI308" s="109"/>
      <c r="DJ308" s="109"/>
    </row>
    <row r="309" spans="1:114">
      <c r="A309" s="109"/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  <c r="BY309" s="109"/>
      <c r="BZ309" s="109"/>
      <c r="CA309" s="109"/>
      <c r="CB309" s="109"/>
      <c r="CC309" s="109"/>
      <c r="CD309" s="109"/>
      <c r="CE309" s="109"/>
      <c r="CF309" s="109"/>
      <c r="CG309" s="109"/>
      <c r="CH309" s="109"/>
      <c r="CI309" s="109"/>
      <c r="CJ309" s="109"/>
      <c r="CK309" s="109"/>
      <c r="CL309" s="109"/>
      <c r="CM309" s="109"/>
      <c r="CN309" s="109"/>
      <c r="CO309" s="109"/>
      <c r="CP309" s="109"/>
      <c r="CQ309" s="109"/>
      <c r="CR309" s="109"/>
      <c r="CS309" s="109"/>
      <c r="CT309" s="109"/>
      <c r="CU309" s="109"/>
      <c r="CV309" s="109"/>
      <c r="CW309" s="109"/>
      <c r="CX309" s="109"/>
      <c r="CY309" s="109"/>
      <c r="CZ309" s="109"/>
      <c r="DA309" s="109"/>
      <c r="DB309" s="109"/>
      <c r="DC309" s="109"/>
      <c r="DD309" s="109"/>
      <c r="DE309" s="109"/>
      <c r="DF309" s="109"/>
      <c r="DG309" s="109"/>
      <c r="DH309" s="109"/>
      <c r="DI309" s="109"/>
      <c r="DJ309" s="109"/>
    </row>
    <row r="310" spans="1:114">
      <c r="A310" s="109"/>
      <c r="B310" s="10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  <c r="BY310" s="109"/>
      <c r="BZ310" s="109"/>
      <c r="CA310" s="109"/>
      <c r="CB310" s="109"/>
      <c r="CC310" s="109"/>
      <c r="CD310" s="109"/>
      <c r="CE310" s="109"/>
      <c r="CF310" s="109"/>
      <c r="CG310" s="109"/>
      <c r="CH310" s="109"/>
      <c r="CI310" s="109"/>
      <c r="CJ310" s="109"/>
      <c r="CK310" s="109"/>
      <c r="CL310" s="109"/>
      <c r="CM310" s="109"/>
      <c r="CN310" s="109"/>
      <c r="CO310" s="109"/>
      <c r="CP310" s="109"/>
      <c r="CQ310" s="109"/>
      <c r="CR310" s="109"/>
      <c r="CS310" s="109"/>
      <c r="CT310" s="109"/>
      <c r="CU310" s="109"/>
      <c r="CV310" s="109"/>
      <c r="CW310" s="109"/>
      <c r="CX310" s="109"/>
      <c r="CY310" s="109"/>
      <c r="CZ310" s="109"/>
      <c r="DA310" s="109"/>
      <c r="DB310" s="109"/>
      <c r="DC310" s="109"/>
      <c r="DD310" s="109"/>
      <c r="DE310" s="109"/>
      <c r="DF310" s="109"/>
      <c r="DG310" s="109"/>
      <c r="DH310" s="109"/>
      <c r="DI310" s="109"/>
      <c r="DJ310" s="109"/>
    </row>
    <row r="311" spans="1:114">
      <c r="A311" s="109"/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  <c r="BY311" s="109"/>
      <c r="BZ311" s="109"/>
      <c r="CA311" s="109"/>
      <c r="CB311" s="109"/>
      <c r="CC311" s="109"/>
      <c r="CD311" s="109"/>
      <c r="CE311" s="109"/>
      <c r="CF311" s="109"/>
      <c r="CG311" s="109"/>
      <c r="CH311" s="109"/>
      <c r="CI311" s="109"/>
      <c r="CJ311" s="109"/>
      <c r="CK311" s="109"/>
      <c r="CL311" s="109"/>
      <c r="CM311" s="109"/>
      <c r="CN311" s="109"/>
      <c r="CO311" s="109"/>
      <c r="CP311" s="109"/>
      <c r="CQ311" s="109"/>
      <c r="CR311" s="109"/>
      <c r="CS311" s="109"/>
      <c r="CT311" s="109"/>
      <c r="CU311" s="109"/>
      <c r="CV311" s="109"/>
      <c r="CW311" s="109"/>
      <c r="CX311" s="109"/>
      <c r="CY311" s="109"/>
      <c r="CZ311" s="109"/>
      <c r="DA311" s="109"/>
      <c r="DB311" s="109"/>
      <c r="DC311" s="109"/>
      <c r="DD311" s="109"/>
      <c r="DE311" s="109"/>
      <c r="DF311" s="109"/>
      <c r="DG311" s="109"/>
      <c r="DH311" s="109"/>
      <c r="DI311" s="109"/>
      <c r="DJ311" s="109"/>
    </row>
    <row r="312" spans="1:114">
      <c r="A312" s="109"/>
      <c r="B312" s="10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  <c r="BY312" s="109"/>
      <c r="BZ312" s="109"/>
      <c r="CA312" s="109"/>
      <c r="CB312" s="109"/>
      <c r="CC312" s="109"/>
      <c r="CD312" s="109"/>
      <c r="CE312" s="109"/>
      <c r="CF312" s="109"/>
      <c r="CG312" s="109"/>
      <c r="CH312" s="109"/>
      <c r="CI312" s="109"/>
      <c r="CJ312" s="109"/>
      <c r="CK312" s="109"/>
      <c r="CL312" s="109"/>
      <c r="CM312" s="109"/>
      <c r="CN312" s="109"/>
      <c r="CO312" s="109"/>
      <c r="CP312" s="109"/>
      <c r="CQ312" s="109"/>
      <c r="CR312" s="109"/>
      <c r="CS312" s="109"/>
      <c r="CT312" s="109"/>
      <c r="CU312" s="109"/>
      <c r="CV312" s="109"/>
      <c r="CW312" s="109"/>
      <c r="CX312" s="109"/>
      <c r="CY312" s="109"/>
      <c r="CZ312" s="109"/>
      <c r="DA312" s="109"/>
      <c r="DB312" s="109"/>
      <c r="DC312" s="109"/>
      <c r="DD312" s="109"/>
      <c r="DE312" s="109"/>
      <c r="DF312" s="109"/>
      <c r="DG312" s="109"/>
      <c r="DH312" s="109"/>
      <c r="DI312" s="109"/>
      <c r="DJ312" s="109"/>
    </row>
    <row r="313" spans="1:114">
      <c r="A313" s="109"/>
      <c r="B313" s="10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  <c r="BY313" s="109"/>
      <c r="BZ313" s="109"/>
      <c r="CA313" s="109"/>
      <c r="CB313" s="109"/>
      <c r="CC313" s="109"/>
      <c r="CD313" s="109"/>
      <c r="CE313" s="109"/>
      <c r="CF313" s="109"/>
      <c r="CG313" s="109"/>
      <c r="CH313" s="109"/>
      <c r="CI313" s="109"/>
      <c r="CJ313" s="109"/>
      <c r="CK313" s="109"/>
      <c r="CL313" s="109"/>
      <c r="CM313" s="109"/>
      <c r="CN313" s="109"/>
      <c r="CO313" s="109"/>
      <c r="CP313" s="109"/>
      <c r="CQ313" s="109"/>
      <c r="CR313" s="109"/>
      <c r="CS313" s="109"/>
      <c r="CT313" s="109"/>
      <c r="CU313" s="109"/>
      <c r="CV313" s="109"/>
      <c r="CW313" s="109"/>
      <c r="CX313" s="109"/>
      <c r="CY313" s="109"/>
      <c r="CZ313" s="109"/>
      <c r="DA313" s="109"/>
      <c r="DB313" s="109"/>
      <c r="DC313" s="109"/>
      <c r="DD313" s="109"/>
      <c r="DE313" s="109"/>
      <c r="DF313" s="109"/>
      <c r="DG313" s="109"/>
      <c r="DH313" s="109"/>
      <c r="DI313" s="109"/>
      <c r="DJ313" s="109"/>
    </row>
    <row r="314" spans="1:114">
      <c r="A314" s="109"/>
      <c r="B314" s="10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109"/>
      <c r="CG314" s="109"/>
      <c r="CH314" s="109"/>
      <c r="CI314" s="109"/>
      <c r="CJ314" s="109"/>
      <c r="CK314" s="109"/>
      <c r="CL314" s="109"/>
      <c r="CM314" s="109"/>
      <c r="CN314" s="109"/>
      <c r="CO314" s="109"/>
      <c r="CP314" s="109"/>
      <c r="CQ314" s="109"/>
      <c r="CR314" s="109"/>
      <c r="CS314" s="109"/>
      <c r="CT314" s="109"/>
      <c r="CU314" s="109"/>
      <c r="CV314" s="109"/>
      <c r="CW314" s="109"/>
      <c r="CX314" s="109"/>
      <c r="CY314" s="109"/>
      <c r="CZ314" s="109"/>
      <c r="DA314" s="109"/>
      <c r="DB314" s="109"/>
      <c r="DC314" s="109"/>
      <c r="DD314" s="109"/>
      <c r="DE314" s="109"/>
      <c r="DF314" s="109"/>
      <c r="DG314" s="109"/>
      <c r="DH314" s="109"/>
      <c r="DI314" s="109"/>
      <c r="DJ314" s="109"/>
    </row>
    <row r="315" spans="1:114">
      <c r="A315" s="109"/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109"/>
      <c r="CG315" s="109"/>
      <c r="CH315" s="109"/>
      <c r="CI315" s="109"/>
      <c r="CJ315" s="109"/>
      <c r="CK315" s="109"/>
      <c r="CL315" s="109"/>
      <c r="CM315" s="109"/>
      <c r="CN315" s="109"/>
      <c r="CO315" s="109"/>
      <c r="CP315" s="109"/>
      <c r="CQ315" s="109"/>
      <c r="CR315" s="109"/>
      <c r="CS315" s="109"/>
      <c r="CT315" s="109"/>
      <c r="CU315" s="109"/>
      <c r="CV315" s="109"/>
      <c r="CW315" s="109"/>
      <c r="CX315" s="109"/>
      <c r="CY315" s="109"/>
      <c r="CZ315" s="109"/>
      <c r="DA315" s="109"/>
      <c r="DB315" s="109"/>
      <c r="DC315" s="109"/>
      <c r="DD315" s="109"/>
      <c r="DE315" s="109"/>
      <c r="DF315" s="109"/>
      <c r="DG315" s="109"/>
      <c r="DH315" s="109"/>
      <c r="DI315" s="109"/>
      <c r="DJ315" s="109"/>
    </row>
    <row r="316" spans="1:114">
      <c r="A316" s="109"/>
      <c r="B316" s="10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109"/>
      <c r="CG316" s="109"/>
      <c r="CH316" s="109"/>
      <c r="CI316" s="109"/>
      <c r="CJ316" s="109"/>
      <c r="CK316" s="109"/>
      <c r="CL316" s="109"/>
      <c r="CM316" s="109"/>
      <c r="CN316" s="109"/>
      <c r="CO316" s="109"/>
      <c r="CP316" s="109"/>
      <c r="CQ316" s="109"/>
      <c r="CR316" s="109"/>
      <c r="CS316" s="109"/>
      <c r="CT316" s="109"/>
      <c r="CU316" s="109"/>
      <c r="CV316" s="109"/>
      <c r="CW316" s="109"/>
      <c r="CX316" s="109"/>
      <c r="CY316" s="109"/>
      <c r="CZ316" s="109"/>
      <c r="DA316" s="109"/>
      <c r="DB316" s="109"/>
      <c r="DC316" s="109"/>
      <c r="DD316" s="109"/>
      <c r="DE316" s="109"/>
      <c r="DF316" s="109"/>
      <c r="DG316" s="109"/>
      <c r="DH316" s="109"/>
      <c r="DI316" s="109"/>
      <c r="DJ316" s="109"/>
    </row>
    <row r="317" spans="1:114">
      <c r="A317" s="109"/>
      <c r="B317" s="10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  <c r="BY317" s="109"/>
      <c r="BZ317" s="109"/>
      <c r="CA317" s="109"/>
      <c r="CB317" s="109"/>
      <c r="CC317" s="109"/>
      <c r="CD317" s="109"/>
      <c r="CE317" s="109"/>
      <c r="CF317" s="109"/>
      <c r="CG317" s="109"/>
      <c r="CH317" s="109"/>
      <c r="CI317" s="109"/>
      <c r="CJ317" s="109"/>
      <c r="CK317" s="109"/>
      <c r="CL317" s="109"/>
      <c r="CM317" s="109"/>
      <c r="CN317" s="109"/>
      <c r="CO317" s="109"/>
      <c r="CP317" s="109"/>
      <c r="CQ317" s="109"/>
      <c r="CR317" s="109"/>
      <c r="CS317" s="109"/>
      <c r="CT317" s="109"/>
      <c r="CU317" s="109"/>
      <c r="CV317" s="109"/>
      <c r="CW317" s="109"/>
      <c r="CX317" s="109"/>
      <c r="CY317" s="109"/>
      <c r="CZ317" s="109"/>
      <c r="DA317" s="109"/>
      <c r="DB317" s="109"/>
      <c r="DC317" s="109"/>
      <c r="DD317" s="109"/>
      <c r="DE317" s="109"/>
      <c r="DF317" s="109"/>
      <c r="DG317" s="109"/>
      <c r="DH317" s="109"/>
      <c r="DI317" s="109"/>
      <c r="DJ317" s="109"/>
    </row>
    <row r="318" spans="1:114">
      <c r="A318" s="109"/>
      <c r="B318" s="10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109"/>
      <c r="CG318" s="109"/>
      <c r="CH318" s="109"/>
      <c r="CI318" s="109"/>
      <c r="CJ318" s="109"/>
      <c r="CK318" s="109"/>
      <c r="CL318" s="109"/>
      <c r="CM318" s="109"/>
      <c r="CN318" s="109"/>
      <c r="CO318" s="109"/>
      <c r="CP318" s="109"/>
      <c r="CQ318" s="109"/>
      <c r="CR318" s="109"/>
      <c r="CS318" s="109"/>
      <c r="CT318" s="109"/>
      <c r="CU318" s="109"/>
      <c r="CV318" s="109"/>
      <c r="CW318" s="109"/>
      <c r="CX318" s="109"/>
      <c r="CY318" s="109"/>
      <c r="CZ318" s="109"/>
      <c r="DA318" s="109"/>
      <c r="DB318" s="109"/>
      <c r="DC318" s="109"/>
      <c r="DD318" s="109"/>
      <c r="DE318" s="109"/>
      <c r="DF318" s="109"/>
      <c r="DG318" s="109"/>
      <c r="DH318" s="109"/>
      <c r="DI318" s="109"/>
      <c r="DJ318" s="109"/>
    </row>
    <row r="319" spans="1:114">
      <c r="A319" s="109"/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/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109"/>
      <c r="CG319" s="109"/>
      <c r="CH319" s="109"/>
      <c r="CI319" s="109"/>
      <c r="CJ319" s="109"/>
      <c r="CK319" s="109"/>
      <c r="CL319" s="109"/>
      <c r="CM319" s="109"/>
      <c r="CN319" s="109"/>
      <c r="CO319" s="109"/>
      <c r="CP319" s="109"/>
      <c r="CQ319" s="109"/>
      <c r="CR319" s="109"/>
      <c r="CS319" s="109"/>
      <c r="CT319" s="109"/>
      <c r="CU319" s="109"/>
      <c r="CV319" s="109"/>
      <c r="CW319" s="109"/>
      <c r="CX319" s="109"/>
      <c r="CY319" s="109"/>
      <c r="CZ319" s="109"/>
      <c r="DA319" s="109"/>
      <c r="DB319" s="109"/>
      <c r="DC319" s="109"/>
      <c r="DD319" s="109"/>
      <c r="DE319" s="109"/>
      <c r="DF319" s="109"/>
      <c r="DG319" s="109"/>
      <c r="DH319" s="109"/>
      <c r="DI319" s="109"/>
      <c r="DJ319" s="109"/>
    </row>
    <row r="320" spans="1:114">
      <c r="A320" s="109"/>
      <c r="B320" s="10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109"/>
      <c r="CG320" s="109"/>
      <c r="CH320" s="109"/>
      <c r="CI320" s="109"/>
      <c r="CJ320" s="109"/>
      <c r="CK320" s="109"/>
      <c r="CL320" s="109"/>
      <c r="CM320" s="109"/>
      <c r="CN320" s="109"/>
      <c r="CO320" s="109"/>
      <c r="CP320" s="109"/>
      <c r="CQ320" s="109"/>
      <c r="CR320" s="109"/>
      <c r="CS320" s="109"/>
      <c r="CT320" s="109"/>
      <c r="CU320" s="109"/>
      <c r="CV320" s="109"/>
      <c r="CW320" s="109"/>
      <c r="CX320" s="109"/>
      <c r="CY320" s="109"/>
      <c r="CZ320" s="109"/>
      <c r="DA320" s="109"/>
      <c r="DB320" s="109"/>
      <c r="DC320" s="109"/>
      <c r="DD320" s="109"/>
      <c r="DE320" s="109"/>
      <c r="DF320" s="109"/>
      <c r="DG320" s="109"/>
      <c r="DH320" s="109"/>
      <c r="DI320" s="109"/>
      <c r="DJ320" s="109"/>
    </row>
    <row r="321" spans="1:114">
      <c r="A321" s="109"/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/>
      <c r="BR321" s="109"/>
      <c r="BS321" s="109"/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109"/>
      <c r="CG321" s="109"/>
      <c r="CH321" s="109"/>
      <c r="CI321" s="109"/>
      <c r="CJ321" s="109"/>
      <c r="CK321" s="109"/>
      <c r="CL321" s="109"/>
      <c r="CM321" s="109"/>
      <c r="CN321" s="109"/>
      <c r="CO321" s="109"/>
      <c r="CP321" s="109"/>
      <c r="CQ321" s="109"/>
      <c r="CR321" s="109"/>
      <c r="CS321" s="109"/>
      <c r="CT321" s="109"/>
      <c r="CU321" s="109"/>
      <c r="CV321" s="109"/>
      <c r="CW321" s="109"/>
      <c r="CX321" s="109"/>
      <c r="CY321" s="109"/>
      <c r="CZ321" s="109"/>
      <c r="DA321" s="109"/>
      <c r="DB321" s="109"/>
      <c r="DC321" s="109"/>
      <c r="DD321" s="109"/>
      <c r="DE321" s="109"/>
      <c r="DF321" s="109"/>
      <c r="DG321" s="109"/>
      <c r="DH321" s="109"/>
      <c r="DI321" s="109"/>
      <c r="DJ321" s="109"/>
    </row>
    <row r="322" spans="1:114">
      <c r="A322" s="109"/>
      <c r="B322" s="10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/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  <c r="BY322" s="109"/>
      <c r="BZ322" s="109"/>
      <c r="CA322" s="109"/>
      <c r="CB322" s="109"/>
      <c r="CC322" s="109"/>
      <c r="CD322" s="109"/>
      <c r="CE322" s="109"/>
      <c r="CF322" s="109"/>
      <c r="CG322" s="109"/>
      <c r="CH322" s="109"/>
      <c r="CI322" s="109"/>
      <c r="CJ322" s="109"/>
      <c r="CK322" s="109"/>
      <c r="CL322" s="109"/>
      <c r="CM322" s="109"/>
      <c r="CN322" s="109"/>
      <c r="CO322" s="109"/>
      <c r="CP322" s="109"/>
      <c r="CQ322" s="109"/>
      <c r="CR322" s="109"/>
      <c r="CS322" s="109"/>
      <c r="CT322" s="109"/>
      <c r="CU322" s="109"/>
      <c r="CV322" s="109"/>
      <c r="CW322" s="109"/>
      <c r="CX322" s="109"/>
      <c r="CY322" s="109"/>
      <c r="CZ322" s="109"/>
      <c r="DA322" s="109"/>
      <c r="DB322" s="109"/>
      <c r="DC322" s="109"/>
      <c r="DD322" s="109"/>
      <c r="DE322" s="109"/>
      <c r="DF322" s="109"/>
      <c r="DG322" s="109"/>
      <c r="DH322" s="109"/>
      <c r="DI322" s="109"/>
      <c r="DJ322" s="109"/>
    </row>
    <row r="323" spans="1:114">
      <c r="A323" s="109"/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109"/>
      <c r="CG323" s="109"/>
      <c r="CH323" s="109"/>
      <c r="CI323" s="109"/>
      <c r="CJ323" s="109"/>
      <c r="CK323" s="109"/>
      <c r="CL323" s="109"/>
      <c r="CM323" s="109"/>
      <c r="CN323" s="109"/>
      <c r="CO323" s="109"/>
      <c r="CP323" s="109"/>
      <c r="CQ323" s="109"/>
      <c r="CR323" s="109"/>
      <c r="CS323" s="109"/>
      <c r="CT323" s="109"/>
      <c r="CU323" s="109"/>
      <c r="CV323" s="109"/>
      <c r="CW323" s="109"/>
      <c r="CX323" s="109"/>
      <c r="CY323" s="109"/>
      <c r="CZ323" s="109"/>
      <c r="DA323" s="109"/>
      <c r="DB323" s="109"/>
      <c r="DC323" s="109"/>
      <c r="DD323" s="109"/>
      <c r="DE323" s="109"/>
      <c r="DF323" s="109"/>
      <c r="DG323" s="109"/>
      <c r="DH323" s="109"/>
      <c r="DI323" s="109"/>
      <c r="DJ323" s="109"/>
    </row>
    <row r="324" spans="1:114">
      <c r="A324" s="109"/>
      <c r="B324" s="10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109"/>
      <c r="CG324" s="109"/>
      <c r="CH324" s="109"/>
      <c r="CI324" s="109"/>
      <c r="CJ324" s="109"/>
      <c r="CK324" s="109"/>
      <c r="CL324" s="109"/>
      <c r="CM324" s="109"/>
      <c r="CN324" s="109"/>
      <c r="CO324" s="109"/>
      <c r="CP324" s="109"/>
      <c r="CQ324" s="109"/>
      <c r="CR324" s="109"/>
      <c r="CS324" s="109"/>
      <c r="CT324" s="109"/>
      <c r="CU324" s="109"/>
      <c r="CV324" s="109"/>
      <c r="CW324" s="109"/>
      <c r="CX324" s="109"/>
      <c r="CY324" s="109"/>
      <c r="CZ324" s="109"/>
      <c r="DA324" s="109"/>
      <c r="DB324" s="109"/>
      <c r="DC324" s="109"/>
      <c r="DD324" s="109"/>
      <c r="DE324" s="109"/>
      <c r="DF324" s="109"/>
      <c r="DG324" s="109"/>
      <c r="DH324" s="109"/>
      <c r="DI324" s="109"/>
      <c r="DJ324" s="109"/>
    </row>
    <row r="325" spans="1:114">
      <c r="A325" s="109"/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/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109"/>
      <c r="CG325" s="109"/>
      <c r="CH325" s="109"/>
      <c r="CI325" s="109"/>
      <c r="CJ325" s="109"/>
      <c r="CK325" s="109"/>
      <c r="CL325" s="109"/>
      <c r="CM325" s="109"/>
      <c r="CN325" s="109"/>
      <c r="CO325" s="109"/>
      <c r="CP325" s="109"/>
      <c r="CQ325" s="109"/>
      <c r="CR325" s="109"/>
      <c r="CS325" s="109"/>
      <c r="CT325" s="109"/>
      <c r="CU325" s="109"/>
      <c r="CV325" s="109"/>
      <c r="CW325" s="109"/>
      <c r="CX325" s="109"/>
      <c r="CY325" s="109"/>
      <c r="CZ325" s="109"/>
      <c r="DA325" s="109"/>
      <c r="DB325" s="109"/>
      <c r="DC325" s="109"/>
      <c r="DD325" s="109"/>
      <c r="DE325" s="109"/>
      <c r="DF325" s="109"/>
      <c r="DG325" s="109"/>
      <c r="DH325" s="109"/>
      <c r="DI325" s="109"/>
      <c r="DJ325" s="109"/>
    </row>
    <row r="326" spans="1:114">
      <c r="DG326" s="109"/>
      <c r="DH326" s="109"/>
      <c r="DI326" s="109"/>
      <c r="DJ326" s="109"/>
    </row>
  </sheetData>
  <phoneticPr fontId="9" type="noConversion"/>
  <pageMargins left="0.75" right="0.75" top="1" bottom="1" header="0.5" footer="0.5"/>
  <pageSetup orientation="portrait" r:id="rId1"/>
  <headerFooter alignWithMargins="0"/>
  <ignoredErrors>
    <ignoredError sqref="CD14 CU58:CZ58 CD58:CJ58 CU56:CZ57 CD56:CJ57 CQ56:CQ57 CQ58 BX56:BX57 BX58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D2"/>
  <sheetViews>
    <sheetView workbookViewId="0"/>
  </sheetViews>
  <sheetFormatPr defaultRowHeight="12.75"/>
  <sheetData>
    <row r="1" spans="1:56">
      <c r="A1" t="s">
        <v>427</v>
      </c>
    </row>
    <row r="2" spans="1:56">
      <c r="A2" s="853" t="s">
        <v>408</v>
      </c>
      <c r="B2" s="853" t="s">
        <v>281</v>
      </c>
      <c r="C2" s="853" t="s">
        <v>405</v>
      </c>
      <c r="D2" s="853" t="s">
        <v>407</v>
      </c>
      <c r="E2" s="853" t="s">
        <v>413</v>
      </c>
      <c r="F2" s="853" t="s">
        <v>432</v>
      </c>
      <c r="G2" s="853" t="s">
        <v>230</v>
      </c>
      <c r="H2" s="853" t="s">
        <v>72</v>
      </c>
      <c r="I2" s="853" t="s">
        <v>231</v>
      </c>
      <c r="J2" s="853" t="s">
        <v>501</v>
      </c>
      <c r="K2" s="853" t="s">
        <v>416</v>
      </c>
      <c r="L2" s="853" t="s">
        <v>435</v>
      </c>
      <c r="M2" s="853" t="s">
        <v>409</v>
      </c>
      <c r="N2" s="853" t="s">
        <v>428</v>
      </c>
      <c r="O2" s="853" t="s">
        <v>282</v>
      </c>
      <c r="P2" s="853" t="s">
        <v>281</v>
      </c>
      <c r="Q2" s="853" t="s">
        <v>423</v>
      </c>
      <c r="R2" s="853" t="s">
        <v>442</v>
      </c>
      <c r="S2" s="853" t="s">
        <v>425</v>
      </c>
      <c r="T2" s="853" t="s">
        <v>444</v>
      </c>
      <c r="U2" s="853" t="s">
        <v>414</v>
      </c>
      <c r="V2" s="853" t="s">
        <v>433</v>
      </c>
      <c r="W2" s="853" t="s">
        <v>229</v>
      </c>
      <c r="X2" s="853" t="s">
        <v>532</v>
      </c>
      <c r="Y2" s="853" t="s">
        <v>417</v>
      </c>
      <c r="Z2" s="853" t="s">
        <v>436</v>
      </c>
      <c r="AA2" s="853" t="s">
        <v>421</v>
      </c>
      <c r="AB2" s="853" t="s">
        <v>440</v>
      </c>
      <c r="AC2" s="853" t="s">
        <v>406</v>
      </c>
      <c r="AD2" s="853" t="s">
        <v>407</v>
      </c>
      <c r="AE2" s="853" t="s">
        <v>410</v>
      </c>
      <c r="AF2" s="853" t="s">
        <v>429</v>
      </c>
      <c r="AG2" s="853" t="s">
        <v>284</v>
      </c>
      <c r="AH2" s="853" t="s">
        <v>281</v>
      </c>
      <c r="AI2" s="853" t="s">
        <v>283</v>
      </c>
      <c r="AJ2" s="853" t="s">
        <v>281</v>
      </c>
      <c r="AK2" s="853" t="s">
        <v>412</v>
      </c>
      <c r="AL2" s="853" t="s">
        <v>431</v>
      </c>
      <c r="AM2" s="853" t="s">
        <v>411</v>
      </c>
      <c r="AN2" s="853" t="s">
        <v>430</v>
      </c>
      <c r="AO2" s="853" t="s">
        <v>285</v>
      </c>
      <c r="AP2" s="853" t="s">
        <v>281</v>
      </c>
      <c r="AQ2" s="853" t="s">
        <v>415</v>
      </c>
      <c r="AR2" s="853" t="s">
        <v>434</v>
      </c>
      <c r="AS2" s="853" t="s">
        <v>419</v>
      </c>
      <c r="AT2" s="853" t="s">
        <v>438</v>
      </c>
      <c r="AU2" s="853" t="s">
        <v>424</v>
      </c>
      <c r="AV2" s="853" t="s">
        <v>443</v>
      </c>
      <c r="AW2" s="853" t="s">
        <v>420</v>
      </c>
      <c r="AX2" s="853" t="s">
        <v>439</v>
      </c>
      <c r="AY2" s="853" t="s">
        <v>422</v>
      </c>
      <c r="AZ2" s="853" t="s">
        <v>441</v>
      </c>
      <c r="BA2" s="853" t="s">
        <v>418</v>
      </c>
      <c r="BB2" s="853" t="s">
        <v>437</v>
      </c>
      <c r="BC2" s="853" t="s">
        <v>426</v>
      </c>
      <c r="BD2" s="853" t="s">
        <v>445</v>
      </c>
    </row>
  </sheetData>
  <phoneticPr fontId="9" type="noConversion"/>
  <pageMargins left="0.75" right="0.75" top="1" bottom="1" header="0.5" footer="0.5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17"/>
  </sheetPr>
  <dimension ref="A1:DR301"/>
  <sheetViews>
    <sheetView showGridLines="0" zoomScale="85" workbookViewId="0">
      <pane xSplit="3" ySplit="6" topLeftCell="BH7" activePane="bottomRight" state="frozen"/>
      <selection activeCell="CP1" sqref="CP1:CR4"/>
      <selection pane="topRight" activeCell="CP1" sqref="CP1:CR4"/>
      <selection pane="bottomLeft" activeCell="CP1" sqref="CP1:CR4"/>
      <selection pane="bottomRight" activeCell="B3" sqref="B3"/>
    </sheetView>
  </sheetViews>
  <sheetFormatPr defaultRowHeight="12.75" outlineLevelRow="1" outlineLevelCol="1"/>
  <cols>
    <col min="1" max="1" width="1.7109375" style="109" customWidth="1"/>
    <col min="2" max="2" width="63.5703125" style="109" customWidth="1"/>
    <col min="3" max="3" width="1.7109375" style="109" customWidth="1"/>
    <col min="4" max="51" width="10.7109375" style="247" hidden="1" customWidth="1" outlineLevel="1"/>
    <col min="52" max="52" width="10.7109375" style="247" hidden="1" customWidth="1" outlineLevel="1" collapsed="1"/>
    <col min="53" max="55" width="10.7109375" style="247" hidden="1" customWidth="1" outlineLevel="1"/>
    <col min="56" max="56" width="10.7109375" style="247" hidden="1" customWidth="1" outlineLevel="1" collapsed="1"/>
    <col min="57" max="59" width="10.7109375" style="247" hidden="1" customWidth="1" outlineLevel="1"/>
    <col min="60" max="60" width="10.7109375" style="247" customWidth="1" collapsed="1"/>
    <col min="61" max="71" width="10.7109375" style="247" customWidth="1"/>
    <col min="72" max="75" width="10.7109375" style="247" hidden="1" customWidth="1" outlineLevel="1"/>
    <col min="76" max="76" width="1.7109375" style="109" customWidth="1" collapsed="1"/>
    <col min="77" max="87" width="10.7109375" style="109" hidden="1" customWidth="1" outlineLevel="1"/>
    <col min="88" max="88" width="10.7109375" style="109" customWidth="1" collapsed="1"/>
    <col min="89" max="93" width="10.7109375" style="109" customWidth="1"/>
    <col min="94" max="94" width="10.7109375" style="109" customWidth="1" outlineLevel="1"/>
    <col min="95" max="95" width="1.7109375" style="109" customWidth="1"/>
    <col min="96" max="104" width="10.7109375" style="109" hidden="1" customWidth="1" outlineLevel="1"/>
    <col min="105" max="105" width="10.7109375" style="109" customWidth="1" collapsed="1"/>
    <col min="106" max="110" width="10.7109375" style="109" customWidth="1"/>
    <col min="111" max="114" width="8.85546875" style="109" customWidth="1"/>
    <col min="115" max="115" width="24.85546875" customWidth="1"/>
  </cols>
  <sheetData>
    <row r="1" spans="2:122" s="109" customFormat="1" ht="67.5" customHeight="1">
      <c r="D1" s="2" t="str">
        <f>IF(SUM(BS)&lt;&gt;0,"BS BREAK","")</f>
        <v/>
      </c>
      <c r="E1" s="2"/>
      <c r="F1" s="2" t="str">
        <f>IF(SUM(BS)&lt;&gt;0,"BS BREAK","")</f>
        <v/>
      </c>
      <c r="G1" s="2"/>
      <c r="H1" s="2" t="str">
        <f>IF(SUM(BS)&lt;&gt;0,"BS BREAK","")</f>
        <v/>
      </c>
      <c r="I1" s="2"/>
      <c r="J1" s="2" t="str">
        <f>IF(SUM(BS)&lt;&gt;0,"BS BREAK","")</f>
        <v/>
      </c>
      <c r="K1" s="2"/>
      <c r="L1" s="2" t="str">
        <f>IF(SUM(BS)&lt;&gt;0,"BS BREAK","")</f>
        <v/>
      </c>
      <c r="M1" s="2"/>
      <c r="N1" s="2" t="str">
        <f>IF(SUM(BS)&lt;&gt;0,"BS BREAK","")</f>
        <v/>
      </c>
      <c r="O1" s="2"/>
      <c r="P1" s="2" t="str">
        <f>IF(SUM(BS)&lt;&gt;0,"BS BREAK","")</f>
        <v/>
      </c>
      <c r="Q1" s="2"/>
      <c r="R1" s="2" t="str">
        <f>IF(SUM(BS)&lt;&gt;0,"BS BREAK","")</f>
        <v/>
      </c>
      <c r="S1" s="2"/>
      <c r="T1" s="2" t="str">
        <f>IF(SUM(BS)&lt;&gt;0,"BS BREAK","")</f>
        <v/>
      </c>
      <c r="U1" s="2"/>
      <c r="V1" s="2" t="str">
        <f>IF(SUM(BS)&lt;&gt;0,"BS BREAK","")</f>
        <v/>
      </c>
      <c r="W1" s="2"/>
      <c r="X1" s="2" t="str">
        <f>IF(SUM(BS)&lt;&gt;0,"BS BREAK","")</f>
        <v/>
      </c>
      <c r="Y1" s="2"/>
      <c r="Z1" s="2" t="str">
        <f>IF(SUM(BS)&lt;&gt;0,"BS BREAK","")</f>
        <v/>
      </c>
      <c r="AA1" s="2"/>
      <c r="AB1" s="2" t="str">
        <f>IF(SUM(BS)&lt;&gt;0,"BS BREAK","")</f>
        <v/>
      </c>
      <c r="AC1" s="2"/>
      <c r="AD1" s="2" t="str">
        <f>IF(SUM(BS)&lt;&gt;0,"BS BREAK","")</f>
        <v/>
      </c>
      <c r="AE1" s="2"/>
      <c r="AF1" s="2" t="str">
        <f>IF(SUM(BS)&lt;&gt;0,"BS BREAK","")</f>
        <v/>
      </c>
      <c r="AG1" s="2"/>
      <c r="AH1" s="2" t="str">
        <f>IF(SUM(BS)&lt;&gt;0,"BS BREAK","")</f>
        <v/>
      </c>
      <c r="AI1" s="2"/>
      <c r="AJ1" s="2" t="str">
        <f>IF(SUM(BS)&lt;&gt;0,"BS BREAK","")</f>
        <v/>
      </c>
      <c r="AK1" s="2"/>
      <c r="AL1" s="2" t="str">
        <f>IF(SUM(BS)&lt;&gt;0,"BS BREAK","")</f>
        <v/>
      </c>
      <c r="AM1" s="2"/>
      <c r="AN1" s="2" t="str">
        <f>IF(SUM(BS)&lt;&gt;0,"BS BREAK","")</f>
        <v/>
      </c>
      <c r="AO1" s="2"/>
      <c r="AP1" s="2" t="str">
        <f>IF(SUM(BS)&lt;&gt;0,"BS BREAK","")</f>
        <v/>
      </c>
      <c r="AQ1" s="2"/>
      <c r="AR1" s="2" t="str">
        <f>IF(SUM(BS)&lt;&gt;0,"BS BREAK","")</f>
        <v/>
      </c>
      <c r="AS1" s="2"/>
      <c r="AT1" s="2" t="str">
        <f>IF(SUM(BS)&lt;&gt;0,"BS BREAK","")</f>
        <v/>
      </c>
      <c r="AU1" s="120"/>
      <c r="AV1" s="2" t="str">
        <f>IF(SUM(BS)&lt;&gt;0,"BS BREAK","")</f>
        <v/>
      </c>
      <c r="AW1" s="2"/>
      <c r="AX1" s="2" t="str">
        <f>IF(SUM(BS)&lt;&gt;0,"BS BREAK","")</f>
        <v/>
      </c>
      <c r="AY1" s="120"/>
      <c r="AZ1" s="2" t="str">
        <f>IF(SUM(BS)&lt;&gt;0,"BS BREAK","")</f>
        <v/>
      </c>
      <c r="BA1" s="2"/>
      <c r="BB1" s="2" t="str">
        <f>IF(SUM(BS)&lt;&gt;0,"BS BREAK","")</f>
        <v/>
      </c>
      <c r="BC1" s="120"/>
      <c r="BD1" s="2" t="str">
        <f>IF(SUM(BS)&lt;&gt;0,"BS BREAK","")</f>
        <v/>
      </c>
      <c r="BE1" s="2"/>
      <c r="BF1" s="2" t="str">
        <f>IF(SUM(BS)&lt;&gt;0,"BS BREAK","")</f>
        <v/>
      </c>
      <c r="BG1" s="120"/>
      <c r="BH1" s="2" t="str">
        <f>IF(SUM(BS)&lt;&gt;0,"BS BREAK","")</f>
        <v/>
      </c>
      <c r="BI1" s="2"/>
      <c r="BJ1" s="2" t="str">
        <f>IF(SUM(BS)&lt;&gt;0,"BS BREAK","")</f>
        <v/>
      </c>
      <c r="BK1" s="120"/>
      <c r="BL1" s="2" t="str">
        <f>IF(SUM(BS)&lt;&gt;0,"BS BREAK","")</f>
        <v/>
      </c>
      <c r="BM1" s="2"/>
      <c r="BN1" s="2" t="str">
        <f>IF(SUM(BS)&lt;&gt;0,"BS BREAK","")</f>
        <v/>
      </c>
      <c r="BO1" s="120"/>
      <c r="BP1" s="120"/>
      <c r="BQ1" s="120"/>
      <c r="BR1" s="120"/>
      <c r="BS1" s="120"/>
      <c r="BT1" s="120"/>
      <c r="BU1" s="120"/>
      <c r="BV1" s="120"/>
      <c r="BW1" s="120"/>
      <c r="BX1" s="2" t="str">
        <f>IF(SUM(BS)&lt;&gt;0,"BS BREAK","")</f>
        <v/>
      </c>
      <c r="CE1" s="2" t="str">
        <f>IF(SUM(BS)&lt;&gt;0,"BS BREAK","")</f>
        <v/>
      </c>
      <c r="CG1" s="2" t="str">
        <f>IF(SUM(BS)&lt;&gt;0,"BS BREAK","")</f>
        <v/>
      </c>
      <c r="CI1" s="2" t="str">
        <f>IF(SUM(BS)&lt;&gt;0,"BS BREAK","")</f>
        <v/>
      </c>
      <c r="CK1" s="2" t="str">
        <f>IF(SUM(BS)&lt;&gt;0,"BS BREAK","")</f>
        <v/>
      </c>
      <c r="CM1" s="2" t="str">
        <f>IF(SUM(BS)&lt;&gt;0,"BS BREAK","")</f>
        <v/>
      </c>
      <c r="CP1" s="2"/>
      <c r="CR1" s="2"/>
      <c r="CS1" s="2"/>
      <c r="CT1" s="2"/>
      <c r="CU1" s="2" t="str">
        <f>IF(SUM(BS)&lt;&gt;0,"BS BREAK","")</f>
        <v/>
      </c>
      <c r="CW1" s="2" t="str">
        <f>IF(SUM(BS)&lt;&gt;0,"BS BREAK","")</f>
        <v/>
      </c>
      <c r="CY1" s="2" t="str">
        <f>IF(SUM(BS)&lt;&gt;0,"BS BREAK","")</f>
        <v/>
      </c>
      <c r="DG1" s="110"/>
      <c r="DH1" s="110"/>
      <c r="DI1" s="110"/>
      <c r="DJ1" s="110"/>
      <c r="DK1"/>
      <c r="DL1"/>
      <c r="DM1"/>
      <c r="DN1"/>
      <c r="DO1"/>
      <c r="DP1"/>
    </row>
    <row r="2" spans="2:122" s="109" customFormat="1" ht="18">
      <c r="B2" s="4" t="s">
        <v>70</v>
      </c>
      <c r="C2" s="5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7"/>
      <c r="BO2" s="247"/>
      <c r="BP2" s="247"/>
      <c r="BQ2" s="247"/>
      <c r="BR2" s="247"/>
      <c r="BS2" s="247"/>
      <c r="BT2" s="247"/>
      <c r="BU2" s="247"/>
      <c r="BV2" s="247"/>
      <c r="BW2" s="247"/>
      <c r="DG2" s="110"/>
      <c r="DH2" s="110"/>
      <c r="DI2" s="110"/>
      <c r="DJ2" s="110"/>
      <c r="DK2"/>
      <c r="DL2"/>
      <c r="DM2"/>
      <c r="DN2"/>
      <c r="DO2"/>
      <c r="DP2"/>
    </row>
    <row r="3" spans="2:122" s="109" customFormat="1" ht="18">
      <c r="B3" s="5"/>
      <c r="C3" s="5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7"/>
      <c r="AB3" s="247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7"/>
      <c r="AZ3" s="247"/>
      <c r="BA3" s="247"/>
      <c r="BB3" s="247"/>
      <c r="BC3" s="247"/>
      <c r="BD3" s="247"/>
      <c r="BE3" s="247"/>
      <c r="BF3" s="247"/>
      <c r="BG3" s="247"/>
      <c r="BH3" s="247"/>
      <c r="BI3" s="247"/>
      <c r="BJ3" s="247"/>
      <c r="BK3" s="247"/>
      <c r="BL3" s="247"/>
      <c r="BM3" s="247"/>
      <c r="BN3" s="247"/>
      <c r="BO3" s="247"/>
      <c r="BP3" s="247"/>
      <c r="BQ3" s="247"/>
      <c r="BR3" s="247"/>
      <c r="BS3" s="247"/>
      <c r="BT3" s="247"/>
      <c r="BU3" s="247"/>
      <c r="BV3" s="247"/>
      <c r="BW3" s="247"/>
      <c r="DG3" s="110"/>
      <c r="DH3" s="110"/>
      <c r="DI3" s="110"/>
      <c r="DJ3" s="110"/>
      <c r="DK3"/>
      <c r="DL3"/>
      <c r="DM3"/>
      <c r="DN3"/>
      <c r="DO3"/>
      <c r="DP3"/>
    </row>
    <row r="4" spans="2:122" s="109" customFormat="1" ht="15">
      <c r="B4" s="466" t="s">
        <v>201</v>
      </c>
      <c r="C4" s="450"/>
      <c r="D4" s="529" t="str">
        <f>IS!D5</f>
        <v>C4Q02A</v>
      </c>
      <c r="E4" s="530" t="str">
        <f>IS!E5</f>
        <v>C1Q03A</v>
      </c>
      <c r="F4" s="530" t="str">
        <f>IS!F5</f>
        <v>C2Q03A</v>
      </c>
      <c r="G4" s="531" t="str">
        <f>IS!G5</f>
        <v>C3Q03A</v>
      </c>
      <c r="H4" s="529" t="str">
        <f>IS!H5</f>
        <v>C4Q03A</v>
      </c>
      <c r="I4" s="530" t="str">
        <f>IS!I5</f>
        <v>C1Q04A</v>
      </c>
      <c r="J4" s="530" t="str">
        <f>IS!J5</f>
        <v>C2Q04A</v>
      </c>
      <c r="K4" s="531" t="str">
        <f>IS!K5</f>
        <v>C3Q04A</v>
      </c>
      <c r="L4" s="529" t="str">
        <f>IS!L5</f>
        <v>C4Q04A</v>
      </c>
      <c r="M4" s="530" t="str">
        <f>IS!M5</f>
        <v>C1Q05A</v>
      </c>
      <c r="N4" s="530" t="str">
        <f>IS!N5</f>
        <v>C2Q05A</v>
      </c>
      <c r="O4" s="531" t="str">
        <f>IS!O5</f>
        <v>C3Q05A</v>
      </c>
      <c r="P4" s="529" t="str">
        <f>IS!P5</f>
        <v>C4Q05A</v>
      </c>
      <c r="Q4" s="530" t="str">
        <f>IS!Q5</f>
        <v>C1Q06A</v>
      </c>
      <c r="R4" s="530" t="str">
        <f>IS!R5</f>
        <v>C2Q06A</v>
      </c>
      <c r="S4" s="531" t="str">
        <f>IS!S5</f>
        <v>C3Q06A</v>
      </c>
      <c r="T4" s="529" t="str">
        <f>IS!T5</f>
        <v>C4Q06A</v>
      </c>
      <c r="U4" s="530" t="str">
        <f>IS!U5</f>
        <v>C1Q07A</v>
      </c>
      <c r="V4" s="530" t="str">
        <f>IS!V5</f>
        <v>C2Q07A</v>
      </c>
      <c r="W4" s="531" t="str">
        <f>IS!W5</f>
        <v>C3Q07A</v>
      </c>
      <c r="X4" s="529" t="str">
        <f>IS!X5</f>
        <v>C4Q07A</v>
      </c>
      <c r="Y4" s="530" t="str">
        <f>IS!Y5</f>
        <v>C1Q08A</v>
      </c>
      <c r="Z4" s="530" t="str">
        <f>IS!Z5</f>
        <v>C2Q08A</v>
      </c>
      <c r="AA4" s="531" t="str">
        <f>IS!AA5</f>
        <v>C3Q08A</v>
      </c>
      <c r="AB4" s="529" t="str">
        <f>IS!AB5</f>
        <v>C4Q08A</v>
      </c>
      <c r="AC4" s="530" t="str">
        <f>IS!AC5</f>
        <v>C1Q09A</v>
      </c>
      <c r="AD4" s="530" t="str">
        <f>IS!AD5</f>
        <v>C2Q09A</v>
      </c>
      <c r="AE4" s="531" t="str">
        <f>IS!AE5</f>
        <v>C3Q09A</v>
      </c>
      <c r="AF4" s="529" t="str">
        <f>IS!AF5</f>
        <v>C4Q09A</v>
      </c>
      <c r="AG4" s="530" t="str">
        <f>IS!AG5</f>
        <v>C1Q10A</v>
      </c>
      <c r="AH4" s="530" t="str">
        <f>IS!AH5</f>
        <v>C2Q10A</v>
      </c>
      <c r="AI4" s="531" t="str">
        <f>IS!AI5</f>
        <v>C3Q10A</v>
      </c>
      <c r="AJ4" s="529" t="str">
        <f>IS!AJ5</f>
        <v>C4Q10A</v>
      </c>
      <c r="AK4" s="530" t="str">
        <f>IS!AK5</f>
        <v>C1Q11A</v>
      </c>
      <c r="AL4" s="530" t="str">
        <f>IS!AL5</f>
        <v>C2Q11A</v>
      </c>
      <c r="AM4" s="531" t="str">
        <f>IS!AM5</f>
        <v>C3Q11A</v>
      </c>
      <c r="AN4" s="529" t="str">
        <f>IS!AN5</f>
        <v>C4Q11A</v>
      </c>
      <c r="AO4" s="530" t="str">
        <f>IS!AO5</f>
        <v>C1Q12A</v>
      </c>
      <c r="AP4" s="530" t="str">
        <f>IS!AP5</f>
        <v>C2Q12A</v>
      </c>
      <c r="AQ4" s="531" t="str">
        <f>IS!AQ5</f>
        <v>C3Q12A</v>
      </c>
      <c r="AR4" s="529" t="str">
        <f>IS!AR5</f>
        <v>C4Q12A</v>
      </c>
      <c r="AS4" s="530" t="str">
        <f>IS!AS5</f>
        <v>C1Q13A</v>
      </c>
      <c r="AT4" s="530" t="str">
        <f>IS!AT5</f>
        <v>C2Q13A</v>
      </c>
      <c r="AU4" s="531" t="str">
        <f>IS!AU5</f>
        <v>C3Q13A</v>
      </c>
      <c r="AV4" s="529" t="str">
        <f>IS!AV5</f>
        <v>C4Q13A</v>
      </c>
      <c r="AW4" s="530" t="str">
        <f>IS!AW5</f>
        <v>C1Q14A</v>
      </c>
      <c r="AX4" s="530" t="str">
        <f>IS!AX5</f>
        <v>C2Q14A</v>
      </c>
      <c r="AY4" s="531" t="str">
        <f>IS!AY5</f>
        <v>C3Q14A</v>
      </c>
      <c r="AZ4" s="529" t="str">
        <f>IS!AZ5</f>
        <v>C4Q14A</v>
      </c>
      <c r="BA4" s="530" t="str">
        <f>IS!BA5</f>
        <v>C1Q15A</v>
      </c>
      <c r="BB4" s="530" t="str">
        <f>IS!BB5</f>
        <v>C2Q15A</v>
      </c>
      <c r="BC4" s="531" t="str">
        <f>IS!BC5</f>
        <v>C3Q15A</v>
      </c>
      <c r="BD4" s="529" t="str">
        <f>IS!BD5</f>
        <v>C4Q15A</v>
      </c>
      <c r="BE4" s="530" t="str">
        <f>IS!BE5</f>
        <v>C1Q16A</v>
      </c>
      <c r="BF4" s="530" t="str">
        <f>IS!BF5</f>
        <v>C2Q16A</v>
      </c>
      <c r="BG4" s="530" t="str">
        <f>IS!BG5</f>
        <v>C3Q16A</v>
      </c>
      <c r="BH4" s="529" t="str">
        <f>IS!BH5</f>
        <v>C4Q16A</v>
      </c>
      <c r="BI4" s="530" t="str">
        <f>IS!BI5</f>
        <v>C1Q17A</v>
      </c>
      <c r="BJ4" s="530" t="str">
        <f>IS!BJ5</f>
        <v>C2Q17A</v>
      </c>
      <c r="BK4" s="531" t="str">
        <f>IS!BK5</f>
        <v>C3Q17A</v>
      </c>
      <c r="BL4" s="530" t="str">
        <f>IS!BL5</f>
        <v>C4Q17A</v>
      </c>
      <c r="BM4" s="530" t="str">
        <f>IS!BM5</f>
        <v>C1Q18E</v>
      </c>
      <c r="BN4" s="530" t="str">
        <f>IS!BN5</f>
        <v>C2Q18E</v>
      </c>
      <c r="BO4" s="531" t="str">
        <f>IS!BO5</f>
        <v>C3Q18E</v>
      </c>
      <c r="BP4" s="530" t="str">
        <f>IS!BP5</f>
        <v>C4Q18E</v>
      </c>
      <c r="BQ4" s="530" t="str">
        <f>IS!BQ5</f>
        <v>C1Q19E</v>
      </c>
      <c r="BR4" s="530" t="str">
        <f>IS!BR5</f>
        <v>C2Q19E</v>
      </c>
      <c r="BS4" s="531" t="str">
        <f>IS!BS5</f>
        <v>C3Q19E</v>
      </c>
      <c r="BT4" s="894" t="str">
        <f>IS!BT5</f>
        <v>C4Q19E</v>
      </c>
      <c r="BU4" s="894" t="str">
        <f>IS!BU5</f>
        <v>C1Q20E</v>
      </c>
      <c r="BV4" s="894" t="str">
        <f>IS!BV5</f>
        <v>C2Q20E</v>
      </c>
      <c r="BW4" s="895" t="str">
        <f>IS!BW5</f>
        <v>C3Q20E</v>
      </c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DG4" s="110"/>
      <c r="DH4" s="110"/>
      <c r="DI4" s="110"/>
      <c r="DJ4" s="110"/>
      <c r="DK4"/>
      <c r="DL4"/>
      <c r="DM4"/>
      <c r="DN4"/>
      <c r="DO4"/>
      <c r="DP4"/>
    </row>
    <row r="5" spans="2:122" s="109" customFormat="1" ht="15" customHeight="1">
      <c r="B5" s="469" t="s">
        <v>115</v>
      </c>
      <c r="C5" s="250"/>
      <c r="D5" s="534">
        <f>IS!D6</f>
        <v>37620</v>
      </c>
      <c r="E5" s="532">
        <f>IS!E6</f>
        <v>37711</v>
      </c>
      <c r="F5" s="532">
        <f>IS!F6</f>
        <v>37802</v>
      </c>
      <c r="G5" s="533">
        <f>IS!G6</f>
        <v>37894</v>
      </c>
      <c r="H5" s="534">
        <f>IS!H6</f>
        <v>37985</v>
      </c>
      <c r="I5" s="532">
        <f>IS!I6</f>
        <v>38077</v>
      </c>
      <c r="J5" s="532">
        <f>IS!J6</f>
        <v>38168</v>
      </c>
      <c r="K5" s="533">
        <f>IS!K6</f>
        <v>38260</v>
      </c>
      <c r="L5" s="534">
        <f>IS!L6</f>
        <v>38351</v>
      </c>
      <c r="M5" s="532">
        <f>IS!M6</f>
        <v>38442</v>
      </c>
      <c r="N5" s="532">
        <f>IS!N6</f>
        <v>38533</v>
      </c>
      <c r="O5" s="533">
        <f>IS!O6</f>
        <v>38625</v>
      </c>
      <c r="P5" s="534">
        <f>IS!P6</f>
        <v>38716</v>
      </c>
      <c r="Q5" s="532">
        <f>IS!Q6</f>
        <v>38807</v>
      </c>
      <c r="R5" s="532">
        <f>IS!R6</f>
        <v>38898</v>
      </c>
      <c r="S5" s="533">
        <f>IS!S6</f>
        <v>38990</v>
      </c>
      <c r="T5" s="534">
        <f>IS!T6</f>
        <v>39081</v>
      </c>
      <c r="U5" s="532">
        <f>IS!U6</f>
        <v>39172</v>
      </c>
      <c r="V5" s="532">
        <f>IS!V6</f>
        <v>39263</v>
      </c>
      <c r="W5" s="533">
        <f>IS!W6</f>
        <v>39355</v>
      </c>
      <c r="X5" s="534">
        <f>IS!X6</f>
        <v>39446</v>
      </c>
      <c r="Y5" s="532">
        <f>IS!Y6</f>
        <v>39538</v>
      </c>
      <c r="Z5" s="532">
        <f>IS!Z6</f>
        <v>39629</v>
      </c>
      <c r="AA5" s="533">
        <f>IS!AA6</f>
        <v>39721</v>
      </c>
      <c r="AB5" s="534">
        <f>IS!AB6</f>
        <v>39813</v>
      </c>
      <c r="AC5" s="532">
        <f>IS!AC6</f>
        <v>39903</v>
      </c>
      <c r="AD5" s="532">
        <f>IS!AD6</f>
        <v>39994</v>
      </c>
      <c r="AE5" s="533">
        <f>IS!AE6</f>
        <v>40086</v>
      </c>
      <c r="AF5" s="534">
        <f>IS!AF6</f>
        <v>40178</v>
      </c>
      <c r="AG5" s="532">
        <f>IS!AG6</f>
        <v>40268</v>
      </c>
      <c r="AH5" s="532">
        <f>IS!AH6</f>
        <v>40359</v>
      </c>
      <c r="AI5" s="533">
        <f>IS!AI6</f>
        <v>40451</v>
      </c>
      <c r="AJ5" s="534">
        <f>IS!AJ6</f>
        <v>40543</v>
      </c>
      <c r="AK5" s="532">
        <f>IS!AK6</f>
        <v>40633</v>
      </c>
      <c r="AL5" s="532">
        <f>IS!AL6</f>
        <v>40724</v>
      </c>
      <c r="AM5" s="533">
        <f>IS!AM6</f>
        <v>40816</v>
      </c>
      <c r="AN5" s="534">
        <f>IS!AN6</f>
        <v>40908</v>
      </c>
      <c r="AO5" s="532">
        <f>IS!AO6</f>
        <v>40999</v>
      </c>
      <c r="AP5" s="532">
        <f>IS!AP6</f>
        <v>41090</v>
      </c>
      <c r="AQ5" s="533">
        <f>IS!AQ6</f>
        <v>41182</v>
      </c>
      <c r="AR5" s="534">
        <f>IS!AR6</f>
        <v>41274</v>
      </c>
      <c r="AS5" s="532">
        <f>IS!AS6</f>
        <v>41364</v>
      </c>
      <c r="AT5" s="532">
        <f>IS!AT6</f>
        <v>41455</v>
      </c>
      <c r="AU5" s="533">
        <f>IS!AU6</f>
        <v>41547</v>
      </c>
      <c r="AV5" s="534">
        <f>IS!AV6</f>
        <v>41639</v>
      </c>
      <c r="AW5" s="532">
        <f>IS!AW6</f>
        <v>41729</v>
      </c>
      <c r="AX5" s="532">
        <f>IS!AX6</f>
        <v>41820</v>
      </c>
      <c r="AY5" s="533">
        <f>IS!AY6</f>
        <v>41912</v>
      </c>
      <c r="AZ5" s="534">
        <f>IS!AZ6</f>
        <v>42004</v>
      </c>
      <c r="BA5" s="532">
        <f>IS!BA6</f>
        <v>42094</v>
      </c>
      <c r="BB5" s="532">
        <f>IS!BB6</f>
        <v>42185</v>
      </c>
      <c r="BC5" s="533">
        <f>IS!BC6</f>
        <v>42277</v>
      </c>
      <c r="BD5" s="534">
        <f>IS!BD6</f>
        <v>42369</v>
      </c>
      <c r="BE5" s="532">
        <f>IS!BE6</f>
        <v>42460</v>
      </c>
      <c r="BF5" s="532">
        <f>IS!BF6</f>
        <v>42551</v>
      </c>
      <c r="BG5" s="532">
        <f>IS!BG6</f>
        <v>42643</v>
      </c>
      <c r="BH5" s="534">
        <f>IS!BH6</f>
        <v>42735</v>
      </c>
      <c r="BI5" s="532">
        <f>IS!BI6</f>
        <v>42825</v>
      </c>
      <c r="BJ5" s="532">
        <f>IS!BJ6</f>
        <v>42916</v>
      </c>
      <c r="BK5" s="533">
        <f>IS!BK6</f>
        <v>43008</v>
      </c>
      <c r="BL5" s="532">
        <f>IS!BL6</f>
        <v>43100</v>
      </c>
      <c r="BM5" s="532">
        <f>IS!BM6</f>
        <v>43190</v>
      </c>
      <c r="BN5" s="532">
        <f>IS!BN6</f>
        <v>43281</v>
      </c>
      <c r="BO5" s="533">
        <f>IS!BO6</f>
        <v>43373</v>
      </c>
      <c r="BP5" s="532">
        <f>IS!BP6</f>
        <v>43465</v>
      </c>
      <c r="BQ5" s="532">
        <f>IS!BQ6</f>
        <v>43555</v>
      </c>
      <c r="BR5" s="532">
        <f>IS!BR6</f>
        <v>43646</v>
      </c>
      <c r="BS5" s="533">
        <f>IS!BS6</f>
        <v>43738</v>
      </c>
      <c r="BT5" s="896">
        <f>IS!BT6</f>
        <v>43830</v>
      </c>
      <c r="BU5" s="896">
        <f>IS!BU6</f>
        <v>43921</v>
      </c>
      <c r="BV5" s="896">
        <f>IS!BV6</f>
        <v>44012</v>
      </c>
      <c r="BW5" s="897">
        <f>IS!BW6</f>
        <v>44104</v>
      </c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631" t="str">
        <f>IS!CR6</f>
        <v>CY2005</v>
      </c>
      <c r="CS5" s="633" t="str">
        <f>IS!CS6</f>
        <v>CY2006</v>
      </c>
      <c r="CT5" s="633" t="str">
        <f>IS!CT6</f>
        <v>CY2007</v>
      </c>
      <c r="CU5" s="633" t="str">
        <f>IS!CU6</f>
        <v>CY2008</v>
      </c>
      <c r="CV5" s="633" t="str">
        <f>IS!CV6</f>
        <v>CY2009</v>
      </c>
      <c r="CW5" s="633" t="str">
        <f>IS!CW6</f>
        <v>CY2010</v>
      </c>
      <c r="CX5" s="633" t="str">
        <f>IS!CX6</f>
        <v>CY2011</v>
      </c>
      <c r="CY5" s="633" t="str">
        <f>IS!CY6</f>
        <v>CY2012</v>
      </c>
      <c r="CZ5" s="633" t="str">
        <f>IS!CZ6</f>
        <v>CY2013</v>
      </c>
      <c r="DA5" s="631" t="str">
        <f>IS!DA6</f>
        <v>CY2014</v>
      </c>
      <c r="DB5" s="633" t="str">
        <f>IS!DB6</f>
        <v>CY2015</v>
      </c>
      <c r="DC5" s="633" t="str">
        <f>IS!DC6</f>
        <v>CY2016</v>
      </c>
      <c r="DD5" s="902" t="str">
        <f>IS!DD6</f>
        <v>CY2017</v>
      </c>
      <c r="DE5" s="902" t="str">
        <f>IS!DE6</f>
        <v>CY2018</v>
      </c>
      <c r="DF5" s="876" t="str">
        <f>IS!DF6</f>
        <v>CY2019</v>
      </c>
      <c r="DG5" s="110"/>
      <c r="DH5" s="110"/>
      <c r="DI5" s="110"/>
      <c r="DJ5" s="110"/>
      <c r="DK5"/>
      <c r="DL5"/>
      <c r="DM5"/>
      <c r="DN5"/>
      <c r="DO5"/>
      <c r="DP5"/>
    </row>
    <row r="6" spans="2:122" s="251" customFormat="1" ht="15">
      <c r="B6" s="468"/>
      <c r="C6" s="452"/>
      <c r="D6" s="11" t="str">
        <f>IS!D7</f>
        <v>F1Q03A</v>
      </c>
      <c r="E6" s="12" t="str">
        <f>IS!E7</f>
        <v>F2Q03A</v>
      </c>
      <c r="F6" s="12" t="str">
        <f>IS!F7</f>
        <v>F3Q03A</v>
      </c>
      <c r="G6" s="13" t="str">
        <f>IS!G7</f>
        <v>F4Q03A</v>
      </c>
      <c r="H6" s="11" t="str">
        <f>IS!H7</f>
        <v>F1Q04A</v>
      </c>
      <c r="I6" s="12" t="str">
        <f>IS!I7</f>
        <v>F2Q04A</v>
      </c>
      <c r="J6" s="12" t="str">
        <f>IS!J7</f>
        <v>F3Q04A</v>
      </c>
      <c r="K6" s="13" t="str">
        <f>IS!K7</f>
        <v>F4Q04A</v>
      </c>
      <c r="L6" s="11" t="str">
        <f>IS!L7</f>
        <v>F1Q05A</v>
      </c>
      <c r="M6" s="12" t="str">
        <f>IS!M7</f>
        <v>F2Q05A</v>
      </c>
      <c r="N6" s="12" t="str">
        <f>IS!N7</f>
        <v>F3Q05A</v>
      </c>
      <c r="O6" s="13" t="str">
        <f>IS!O7</f>
        <v>F4Q05A</v>
      </c>
      <c r="P6" s="11" t="str">
        <f>IS!P7</f>
        <v>F1Q06A</v>
      </c>
      <c r="Q6" s="12" t="str">
        <f>IS!Q7</f>
        <v>F2Q06A</v>
      </c>
      <c r="R6" s="12" t="str">
        <f>IS!R7</f>
        <v>F3Q06A</v>
      </c>
      <c r="S6" s="13" t="str">
        <f>IS!S7</f>
        <v>F4Q06A</v>
      </c>
      <c r="T6" s="11" t="str">
        <f>IS!T7</f>
        <v>F1Q07A</v>
      </c>
      <c r="U6" s="12" t="str">
        <f>IS!U7</f>
        <v>F2Q07A</v>
      </c>
      <c r="V6" s="12" t="str">
        <f>IS!V7</f>
        <v>F3Q07A</v>
      </c>
      <c r="W6" s="13" t="str">
        <f>IS!W7</f>
        <v>F4Q07A</v>
      </c>
      <c r="X6" s="11" t="str">
        <f>IS!X7</f>
        <v>F1Q08A</v>
      </c>
      <c r="Y6" s="12" t="str">
        <f>IS!Y7</f>
        <v>F2Q08A</v>
      </c>
      <c r="Z6" s="12" t="str">
        <f>IS!Z7</f>
        <v>F3Q08A</v>
      </c>
      <c r="AA6" s="13" t="str">
        <f>IS!AA7</f>
        <v>F4Q08A</v>
      </c>
      <c r="AB6" s="11" t="str">
        <f>IS!AB7</f>
        <v>F1Q09A</v>
      </c>
      <c r="AC6" s="12" t="str">
        <f>IS!AC7</f>
        <v>F2Q09A</v>
      </c>
      <c r="AD6" s="12" t="str">
        <f>IS!AD7</f>
        <v>F3Q09A</v>
      </c>
      <c r="AE6" s="13" t="str">
        <f>IS!AE7</f>
        <v>F4Q09A</v>
      </c>
      <c r="AF6" s="11" t="str">
        <f>IS!AF7</f>
        <v>F1Q10A</v>
      </c>
      <c r="AG6" s="12" t="str">
        <f>IS!AG7</f>
        <v>F2Q10A</v>
      </c>
      <c r="AH6" s="12" t="str">
        <f>IS!AH7</f>
        <v>F3Q10A</v>
      </c>
      <c r="AI6" s="13" t="str">
        <f>IS!AI7</f>
        <v>F4Q10A</v>
      </c>
      <c r="AJ6" s="11" t="str">
        <f>IS!AJ7</f>
        <v>F1Q11A</v>
      </c>
      <c r="AK6" s="12" t="str">
        <f>IS!AK7</f>
        <v>F2Q11A</v>
      </c>
      <c r="AL6" s="12" t="str">
        <f>IS!AL7</f>
        <v>F3Q11A</v>
      </c>
      <c r="AM6" s="13" t="str">
        <f>IS!AM7</f>
        <v>F4Q11A</v>
      </c>
      <c r="AN6" s="11" t="str">
        <f>IS!AN7</f>
        <v>F1Q12A</v>
      </c>
      <c r="AO6" s="12" t="str">
        <f>IS!AO7</f>
        <v>F2Q12A</v>
      </c>
      <c r="AP6" s="12" t="str">
        <f>IS!AP7</f>
        <v>F3Q12A</v>
      </c>
      <c r="AQ6" s="13" t="str">
        <f>IS!AQ7</f>
        <v>F4Q12A</v>
      </c>
      <c r="AR6" s="11" t="str">
        <f>IS!AR7</f>
        <v>F1Q13A</v>
      </c>
      <c r="AS6" s="12" t="str">
        <f>IS!AS7</f>
        <v>F2Q13A</v>
      </c>
      <c r="AT6" s="12" t="str">
        <f>IS!AT7</f>
        <v>F3Q13A</v>
      </c>
      <c r="AU6" s="13" t="str">
        <f>IS!AU7</f>
        <v>F4Q13A</v>
      </c>
      <c r="AV6" s="11" t="str">
        <f>IS!AV7</f>
        <v>F1Q14A</v>
      </c>
      <c r="AW6" s="12" t="str">
        <f>IS!AW7</f>
        <v>F2Q14A</v>
      </c>
      <c r="AX6" s="12" t="str">
        <f>IS!AX7</f>
        <v>F3Q14A</v>
      </c>
      <c r="AY6" s="13" t="str">
        <f>IS!AY7</f>
        <v>F4Q14A</v>
      </c>
      <c r="AZ6" s="11" t="str">
        <f>IS!AZ7</f>
        <v>F1Q15A</v>
      </c>
      <c r="BA6" s="12" t="str">
        <f>IS!BA7</f>
        <v>F2Q15A</v>
      </c>
      <c r="BB6" s="12" t="str">
        <f>IS!BB7</f>
        <v>F3Q15A</v>
      </c>
      <c r="BC6" s="13" t="str">
        <f>IS!BC7</f>
        <v>F4Q15A</v>
      </c>
      <c r="BD6" s="11" t="str">
        <f>IS!BD7</f>
        <v>F1Q16A</v>
      </c>
      <c r="BE6" s="12" t="str">
        <f>IS!BE7</f>
        <v>F2Q16A</v>
      </c>
      <c r="BF6" s="12" t="str">
        <f>IS!BF7</f>
        <v>F3Q16A</v>
      </c>
      <c r="BG6" s="12" t="str">
        <f>IS!BG7</f>
        <v>F4Q16A</v>
      </c>
      <c r="BH6" s="11" t="str">
        <f>IS!BH7</f>
        <v>F1Q17A</v>
      </c>
      <c r="BI6" s="12" t="str">
        <f>IS!BI7</f>
        <v>F2Q17A</v>
      </c>
      <c r="BJ6" s="12" t="str">
        <f>IS!BJ7</f>
        <v>F3Q17A</v>
      </c>
      <c r="BK6" s="13" t="str">
        <f>IS!BK7</f>
        <v>F4Q17A</v>
      </c>
      <c r="BL6" s="12" t="str">
        <f>IS!BL7</f>
        <v>F1Q18A</v>
      </c>
      <c r="BM6" s="12" t="str">
        <f>IS!BM7</f>
        <v>F2Q18E</v>
      </c>
      <c r="BN6" s="12" t="str">
        <f>IS!BN7</f>
        <v>F3Q18E</v>
      </c>
      <c r="BO6" s="13" t="str">
        <f>IS!BO7</f>
        <v>F4Q18E</v>
      </c>
      <c r="BP6" s="12" t="str">
        <f>IS!BP7</f>
        <v>F1Q19E</v>
      </c>
      <c r="BQ6" s="12" t="str">
        <f>IS!BQ7</f>
        <v>F2Q19E</v>
      </c>
      <c r="BR6" s="12" t="str">
        <f>IS!BR7</f>
        <v>F3Q19E</v>
      </c>
      <c r="BS6" s="13" t="str">
        <f>IS!BS7</f>
        <v>F4Q19E</v>
      </c>
      <c r="BT6" s="878" t="str">
        <f>IS!BT7</f>
        <v>F1Q20E</v>
      </c>
      <c r="BU6" s="878" t="str">
        <f>IS!BU7</f>
        <v>F2Q20E</v>
      </c>
      <c r="BV6" s="878" t="str">
        <f>IS!BV7</f>
        <v>F3Q20E</v>
      </c>
      <c r="BW6" s="879" t="str">
        <f>IS!BW7</f>
        <v>F4Q20E</v>
      </c>
      <c r="BX6" s="253"/>
      <c r="BY6" s="11" t="e">
        <f>IS!BY7</f>
        <v>#NAME?</v>
      </c>
      <c r="BZ6" s="12" t="e">
        <f>IS!BZ7</f>
        <v>#NAME?</v>
      </c>
      <c r="CA6" s="12" t="e">
        <f>IS!CA7</f>
        <v>#NAME?</v>
      </c>
      <c r="CB6" s="12" t="e">
        <f>IS!CB7</f>
        <v>#NAME?</v>
      </c>
      <c r="CC6" s="12" t="e">
        <f>IS!CC7</f>
        <v>#NAME?</v>
      </c>
      <c r="CD6" s="12" t="e">
        <f>IS!CD7</f>
        <v>#NAME?</v>
      </c>
      <c r="CE6" s="12" t="e">
        <f>IS!CE7</f>
        <v>#NAME?</v>
      </c>
      <c r="CF6" s="12" t="e">
        <f>IS!CF7</f>
        <v>#NAME?</v>
      </c>
      <c r="CG6" s="12" t="e">
        <f>IS!CG7</f>
        <v>#NAME?</v>
      </c>
      <c r="CH6" s="12" t="e">
        <f>IS!CH7</f>
        <v>#NAME?</v>
      </c>
      <c r="CI6" s="13" t="str">
        <f>IS!CI7</f>
        <v>FY2013A</v>
      </c>
      <c r="CJ6" s="865" t="str">
        <f>IS!CJ7</f>
        <v>FY2014A</v>
      </c>
      <c r="CK6" s="866" t="str">
        <f>IS!CK7</f>
        <v>FY2015A</v>
      </c>
      <c r="CL6" s="866" t="str">
        <f>IS!CL7</f>
        <v>FY2016A</v>
      </c>
      <c r="CM6" s="866" t="str">
        <f>IS!CM7</f>
        <v>FY2017A</v>
      </c>
      <c r="CN6" s="866" t="str">
        <f>IS!CN7</f>
        <v>FY2018E</v>
      </c>
      <c r="CO6" s="878" t="str">
        <f>IS!CO7</f>
        <v>FY2019E</v>
      </c>
      <c r="CP6" s="13" t="str">
        <f>IS!CP7</f>
        <v>FY2020E</v>
      </c>
      <c r="CQ6" s="252"/>
      <c r="CR6" s="631">
        <f>IS!CR7</f>
        <v>38717</v>
      </c>
      <c r="CS6" s="633">
        <f>IS!CS7</f>
        <v>39082</v>
      </c>
      <c r="CT6" s="633">
        <f>IS!CT7</f>
        <v>39447</v>
      </c>
      <c r="CU6" s="633">
        <f>IS!CU7</f>
        <v>39813</v>
      </c>
      <c r="CV6" s="633">
        <f>IS!CV7</f>
        <v>40178</v>
      </c>
      <c r="CW6" s="633">
        <f>IS!CW7</f>
        <v>40543</v>
      </c>
      <c r="CX6" s="633">
        <f>IS!CX7</f>
        <v>40908</v>
      </c>
      <c r="CY6" s="633">
        <f>IS!CY7</f>
        <v>41274</v>
      </c>
      <c r="CZ6" s="633">
        <f>IS!CZ7</f>
        <v>41639</v>
      </c>
      <c r="DA6" s="631">
        <f>IS!DA7</f>
        <v>42004</v>
      </c>
      <c r="DB6" s="633">
        <f>IS!DB7</f>
        <v>42369</v>
      </c>
      <c r="DC6" s="633">
        <f>IS!DC7</f>
        <v>42735</v>
      </c>
      <c r="DD6" s="902">
        <f>IS!DD7</f>
        <v>43100</v>
      </c>
      <c r="DE6" s="902">
        <f>IS!DE7</f>
        <v>43465</v>
      </c>
      <c r="DF6" s="876">
        <f>IS!DF7</f>
        <v>43830</v>
      </c>
      <c r="DG6" s="254"/>
      <c r="DH6" s="254"/>
      <c r="DI6" s="254"/>
      <c r="DJ6" s="254"/>
      <c r="DK6"/>
      <c r="DL6"/>
      <c r="DM6"/>
      <c r="DN6"/>
      <c r="DO6"/>
      <c r="DP6"/>
      <c r="DQ6" s="345"/>
      <c r="DR6" s="345"/>
    </row>
    <row r="7" spans="2:122" s="109" customFormat="1" ht="15">
      <c r="B7" s="255" t="s">
        <v>175</v>
      </c>
      <c r="C7" s="248"/>
      <c r="D7" s="256"/>
      <c r="E7" s="249"/>
      <c r="F7" s="249"/>
      <c r="G7" s="257"/>
      <c r="H7" s="256"/>
      <c r="I7" s="249"/>
      <c r="J7" s="249"/>
      <c r="K7" s="257"/>
      <c r="L7" s="256"/>
      <c r="M7" s="249"/>
      <c r="N7" s="249"/>
      <c r="O7" s="257"/>
      <c r="P7" s="256"/>
      <c r="Q7" s="249"/>
      <c r="R7" s="249"/>
      <c r="S7" s="257"/>
      <c r="T7" s="256"/>
      <c r="U7" s="249"/>
      <c r="V7" s="249"/>
      <c r="W7" s="257"/>
      <c r="X7" s="256"/>
      <c r="Y7" s="249"/>
      <c r="Z7" s="249"/>
      <c r="AA7" s="257"/>
      <c r="AB7" s="256"/>
      <c r="AC7" s="249"/>
      <c r="AD7" s="249"/>
      <c r="AE7" s="257"/>
      <c r="AF7" s="256"/>
      <c r="AG7" s="249"/>
      <c r="AH7" s="249"/>
      <c r="AI7" s="249"/>
      <c r="AJ7" s="375"/>
      <c r="AK7" s="376"/>
      <c r="AL7" s="376"/>
      <c r="AM7" s="258"/>
      <c r="AN7" s="375"/>
      <c r="AO7" s="376"/>
      <c r="AP7" s="376"/>
      <c r="AQ7" s="258"/>
      <c r="AR7" s="375"/>
      <c r="AS7" s="376"/>
      <c r="AT7" s="376"/>
      <c r="AU7" s="258"/>
      <c r="AV7" s="375"/>
      <c r="AW7" s="376"/>
      <c r="AX7" s="376"/>
      <c r="AY7" s="258"/>
      <c r="AZ7" s="375"/>
      <c r="BA7" s="376"/>
      <c r="BB7" s="376"/>
      <c r="BC7" s="258"/>
      <c r="BD7" s="375"/>
      <c r="BE7" s="376"/>
      <c r="BF7" s="376"/>
      <c r="BG7" s="376"/>
      <c r="BH7" s="375"/>
      <c r="BI7" s="376"/>
      <c r="BJ7" s="376"/>
      <c r="BK7" s="258"/>
      <c r="BL7" s="376"/>
      <c r="BM7" s="376"/>
      <c r="BN7" s="376"/>
      <c r="BO7" s="258"/>
      <c r="BP7" s="249"/>
      <c r="BQ7" s="249"/>
      <c r="BR7" s="249"/>
      <c r="BS7" s="258"/>
      <c r="BT7" s="249"/>
      <c r="BU7" s="249"/>
      <c r="BV7" s="249"/>
      <c r="BW7" s="249"/>
      <c r="BX7" s="256"/>
      <c r="BY7" s="375"/>
      <c r="BZ7" s="376"/>
      <c r="CA7" s="376"/>
      <c r="CB7" s="376"/>
      <c r="CC7" s="376"/>
      <c r="CD7" s="376"/>
      <c r="CE7" s="376"/>
      <c r="CF7" s="376"/>
      <c r="CG7" s="376"/>
      <c r="CH7" s="376"/>
      <c r="CI7" s="258"/>
      <c r="CJ7" s="375"/>
      <c r="CK7" s="376"/>
      <c r="CL7" s="376"/>
      <c r="CM7" s="376"/>
      <c r="CN7" s="376"/>
      <c r="CO7" s="376"/>
      <c r="CP7" s="258"/>
      <c r="CQ7" s="951"/>
      <c r="CR7" s="256"/>
      <c r="CS7" s="249"/>
      <c r="CT7" s="249"/>
      <c r="CU7" s="249"/>
      <c r="CV7" s="249"/>
      <c r="CW7" s="249"/>
      <c r="CX7" s="249"/>
      <c r="CY7" s="249"/>
      <c r="CZ7" s="249"/>
      <c r="DA7" s="249"/>
      <c r="DB7" s="249"/>
      <c r="DC7" s="249"/>
      <c r="DD7" s="249"/>
      <c r="DE7" s="249"/>
      <c r="DF7" s="257"/>
      <c r="DG7" s="110"/>
      <c r="DH7" s="110"/>
      <c r="DI7" s="110"/>
      <c r="DJ7" s="110"/>
      <c r="DK7"/>
      <c r="DL7"/>
      <c r="DM7"/>
      <c r="DN7"/>
      <c r="DO7"/>
      <c r="DP7"/>
    </row>
    <row r="8" spans="2:122" s="109" customFormat="1" ht="14.25">
      <c r="B8" s="259" t="s">
        <v>176</v>
      </c>
      <c r="C8" s="110"/>
      <c r="D8" s="260">
        <f>IS!D113</f>
        <v>-396.34800000000001</v>
      </c>
      <c r="E8" s="261">
        <f>IS!E113</f>
        <v>-5.9550000000000063</v>
      </c>
      <c r="F8" s="261">
        <f>IS!F113</f>
        <v>-6.1859999999999813</v>
      </c>
      <c r="G8" s="261">
        <f>IS!G113</f>
        <v>-42.927000000000007</v>
      </c>
      <c r="H8" s="260">
        <f>IS!H113</f>
        <v>4.1719999999999979</v>
      </c>
      <c r="I8" s="261">
        <f>IS!I113</f>
        <v>-9.4209999999999905</v>
      </c>
      <c r="J8" s="261">
        <f>IS!J113</f>
        <v>13.030000000000006</v>
      </c>
      <c r="K8" s="261">
        <f>IS!K113</f>
        <v>14.63099999999995</v>
      </c>
      <c r="L8" s="260">
        <f>IS!L113</f>
        <v>13.917000000000009</v>
      </c>
      <c r="M8" s="261">
        <f>IS!M113</f>
        <v>-83.676000000000002</v>
      </c>
      <c r="N8" s="261">
        <f>IS!N113</f>
        <v>7.38900000000001</v>
      </c>
      <c r="O8" s="261">
        <f>IS!O113</f>
        <v>87.98099999999998</v>
      </c>
      <c r="P8" s="260">
        <f>IS!P113</f>
        <v>4.2869999999999902</v>
      </c>
      <c r="Q8" s="261">
        <f>IS!Q113</f>
        <v>0.9260000000000117</v>
      </c>
      <c r="R8" s="261">
        <f>IS!R113</f>
        <v>3.0049999999999946</v>
      </c>
      <c r="S8" s="261">
        <f>IS!S113</f>
        <v>-96.370299999999972</v>
      </c>
      <c r="T8" s="260">
        <f>IS!T113</f>
        <v>12.037000000000003</v>
      </c>
      <c r="U8" s="261">
        <f>IS!U113</f>
        <v>12.197000000000015</v>
      </c>
      <c r="V8" s="261">
        <f>IS!V113</f>
        <v>11.423000000000005</v>
      </c>
      <c r="W8" s="261">
        <f>IS!W113</f>
        <v>21.992999999999899</v>
      </c>
      <c r="X8" s="629">
        <f>IS!X113</f>
        <v>19.077999999999989</v>
      </c>
      <c r="Y8" s="261">
        <f>IS!Y113</f>
        <v>16.672999999999995</v>
      </c>
      <c r="Z8" s="261">
        <f>IS!Z113</f>
        <v>20.465999999999994</v>
      </c>
      <c r="AA8" s="261">
        <f>IS!AA113</f>
        <v>54.789000000000087</v>
      </c>
      <c r="AB8" s="260">
        <f>IS!AB113</f>
        <v>23.585000000000008</v>
      </c>
      <c r="AC8" s="261">
        <f>IS!AC113</f>
        <v>-5.6779999999999813</v>
      </c>
      <c r="AD8" s="261">
        <f>IS!AD113</f>
        <v>18.739999999999988</v>
      </c>
      <c r="AE8" s="261">
        <f>IS!AE113</f>
        <v>58.336999999999961</v>
      </c>
      <c r="AF8" s="260">
        <f>IS!AF113</f>
        <v>28.009999999999998</v>
      </c>
      <c r="AG8" s="261">
        <f>IS!AG113</f>
        <v>27.743999999999986</v>
      </c>
      <c r="AH8" s="261">
        <f>IS!AH113</f>
        <v>34.735999999999997</v>
      </c>
      <c r="AI8" s="261">
        <f>IS!AI113</f>
        <v>46.804000000000038</v>
      </c>
      <c r="AJ8" s="260">
        <f>IS!AJ113</f>
        <v>60.868000000000016</v>
      </c>
      <c r="AK8" s="261">
        <f>IS!AK113</f>
        <v>49.959999999999987</v>
      </c>
      <c r="AL8" s="261">
        <f>IS!AL113</f>
        <v>51.548000000000002</v>
      </c>
      <c r="AM8" s="262">
        <f>IS!AM113</f>
        <v>64.208999999999975</v>
      </c>
      <c r="AN8" s="260">
        <f>IS!AN113</f>
        <v>57.126000000000033</v>
      </c>
      <c r="AO8" s="261">
        <f>IS!AO113</f>
        <v>34.032999999999994</v>
      </c>
      <c r="AP8" s="261">
        <f>IS!AP113</f>
        <v>49.317000000000007</v>
      </c>
      <c r="AQ8" s="262">
        <f>IS!AQ113</f>
        <v>61.602000000000004</v>
      </c>
      <c r="AR8" s="260">
        <f>IS!AR113</f>
        <v>66.492999999999995</v>
      </c>
      <c r="AS8" s="261">
        <f>IS!AS113</f>
        <v>61.699999999999982</v>
      </c>
      <c r="AT8" s="261">
        <f>IS!AT113</f>
        <v>65.700000000000017</v>
      </c>
      <c r="AU8" s="262">
        <f>IS!AU113</f>
        <v>84.200000000000017</v>
      </c>
      <c r="AV8" s="260">
        <f>IS!AV113</f>
        <v>94.5</v>
      </c>
      <c r="AW8" s="261">
        <f>IS!AW113</f>
        <v>76.899999999999977</v>
      </c>
      <c r="AX8" s="261">
        <f>IS!AX113</f>
        <v>111.4</v>
      </c>
      <c r="AY8" s="262">
        <f>IS!AY113</f>
        <v>174.90000000000003</v>
      </c>
      <c r="AZ8" s="260">
        <f>IS!AZ113</f>
        <v>195.2</v>
      </c>
      <c r="BA8" s="261">
        <f>IS!BA113</f>
        <v>166.50000000000003</v>
      </c>
      <c r="BB8" s="261">
        <f>IS!BB113</f>
        <v>207.40000000000003</v>
      </c>
      <c r="BC8" s="262">
        <f>IS!BC113</f>
        <v>229.19999999999993</v>
      </c>
      <c r="BD8" s="260">
        <f>IS!BD113</f>
        <v>355.3</v>
      </c>
      <c r="BE8" s="261">
        <f>IS!BE113</f>
        <v>208.10000000000005</v>
      </c>
      <c r="BF8" s="261">
        <f>IS!BF113</f>
        <v>185.00000000000006</v>
      </c>
      <c r="BG8" s="262">
        <f>IS!BG113</f>
        <v>246.79999999999995</v>
      </c>
      <c r="BH8" s="260">
        <f>IS!BH113</f>
        <v>257.79999999999995</v>
      </c>
      <c r="BI8" s="261">
        <f>IS!BI113</f>
        <v>224.90000000000003</v>
      </c>
      <c r="BJ8" s="261">
        <f>IS!BJ113</f>
        <v>246.19999999999996</v>
      </c>
      <c r="BK8" s="262">
        <f>IS!BK113</f>
        <v>281.30000000000007</v>
      </c>
      <c r="BL8" s="260">
        <f>IS!BL113</f>
        <v>70.400000000000091</v>
      </c>
      <c r="BM8" s="261">
        <f>IS!BM113</f>
        <v>267.23757325960008</v>
      </c>
      <c r="BN8" s="261">
        <f>IS!BN113</f>
        <v>255.40637691584212</v>
      </c>
      <c r="BO8" s="262">
        <f>IS!BO113</f>
        <v>321.24036251067599</v>
      </c>
      <c r="BP8" s="261">
        <f>IS!BP113</f>
        <v>341.79010886412186</v>
      </c>
      <c r="BQ8" s="261">
        <f>IS!BQ113</f>
        <v>303.1944279236177</v>
      </c>
      <c r="BR8" s="261">
        <f>IS!BR113</f>
        <v>303.77666586420264</v>
      </c>
      <c r="BS8" s="262">
        <f>IS!BS113</f>
        <v>331.90858274937045</v>
      </c>
      <c r="BT8" s="261">
        <f>IS!BT113</f>
        <v>348.91528864746499</v>
      </c>
      <c r="BU8" s="261">
        <f>IS!BU113</f>
        <v>325.76425350277395</v>
      </c>
      <c r="BV8" s="261">
        <f>IS!BV113</f>
        <v>331.19566257277899</v>
      </c>
      <c r="BW8" s="262">
        <f>IS!BW113</f>
        <v>362.65204712592134</v>
      </c>
      <c r="BX8" s="716"/>
      <c r="BY8" s="261">
        <f>SUM(D8:G8)</f>
        <v>-451.416</v>
      </c>
      <c r="BZ8" s="261">
        <f>SUM(H8:K8)</f>
        <v>22.411999999999964</v>
      </c>
      <c r="CA8" s="261">
        <f>SUM(L8:O8)</f>
        <v>25.611000000000004</v>
      </c>
      <c r="CB8" s="261">
        <f>SUM(P8:S8)</f>
        <v>-88.152299999999968</v>
      </c>
      <c r="CC8" s="261">
        <f>SUM(T8:W8)</f>
        <v>57.64999999999992</v>
      </c>
      <c r="CD8" s="261">
        <f>SUM(X8:AA8)</f>
        <v>111.00600000000006</v>
      </c>
      <c r="CE8" s="261">
        <f>SUM(AB8:AE8)</f>
        <v>94.98399999999998</v>
      </c>
      <c r="CF8" s="261">
        <f>SUM(AF8:AI8)</f>
        <v>137.29400000000001</v>
      </c>
      <c r="CG8" s="261">
        <f>SUM(AJ8:AM8)</f>
        <v>226.58499999999998</v>
      </c>
      <c r="CH8" s="261">
        <f>SUM(AN8:AQ8)</f>
        <v>202.07800000000003</v>
      </c>
      <c r="CI8" s="262">
        <f>SUM(AR8:AU8)</f>
        <v>278.09300000000002</v>
      </c>
      <c r="CJ8" s="260">
        <f>SUM(AV8:AY8)</f>
        <v>457.7</v>
      </c>
      <c r="CK8" s="261">
        <f>SUM(AZ8:BC8)</f>
        <v>798.30000000000007</v>
      </c>
      <c r="CL8" s="261">
        <f>SUM(BD8:BG8)</f>
        <v>995.2</v>
      </c>
      <c r="CM8" s="261">
        <f>SUM(BH8:BK8)</f>
        <v>1010.2</v>
      </c>
      <c r="CN8" s="261">
        <f>SUM(BL8:BO8)</f>
        <v>914.28431268611826</v>
      </c>
      <c r="CO8" s="261">
        <f>SUM(BP8:BS8)</f>
        <v>1280.6697854013128</v>
      </c>
      <c r="CP8" s="262">
        <f>SUM(BT8:BW8)</f>
        <v>1368.5272518489394</v>
      </c>
      <c r="CQ8" s="951"/>
      <c r="CR8" s="260">
        <f>SUM(M8:P8)</f>
        <v>15.980999999999979</v>
      </c>
      <c r="CS8" s="261">
        <f>SUM(Q8:T8)</f>
        <v>-80.402299999999954</v>
      </c>
      <c r="CT8" s="261">
        <f>SUM(U8:X8)</f>
        <v>64.690999999999903</v>
      </c>
      <c r="CU8" s="261">
        <f>SUM(Y8:AB8)</f>
        <v>115.51300000000009</v>
      </c>
      <c r="CV8" s="261">
        <f>SUM(AC8:AF8)</f>
        <v>99.408999999999963</v>
      </c>
      <c r="CW8" s="261">
        <f>SUM(AG8:AJ8)</f>
        <v>170.15200000000004</v>
      </c>
      <c r="CX8" s="261">
        <f>SUM(AK8:AN8)</f>
        <v>222.84299999999999</v>
      </c>
      <c r="CY8" s="261">
        <f>SUM(AO8:AR8)</f>
        <v>211.44499999999999</v>
      </c>
      <c r="CZ8" s="261">
        <f>SUM(AS8:AV8)</f>
        <v>306.10000000000002</v>
      </c>
      <c r="DA8" s="261">
        <f>SUM(AW8:AZ8)</f>
        <v>558.40000000000009</v>
      </c>
      <c r="DB8" s="261">
        <f>SUM(BA8:BD8)</f>
        <v>958.40000000000009</v>
      </c>
      <c r="DC8" s="261">
        <f>SUM(BE8:BH8)</f>
        <v>897.7</v>
      </c>
      <c r="DD8" s="261">
        <f>SUM(BI8:BL8)</f>
        <v>822.80000000000018</v>
      </c>
      <c r="DE8" s="261">
        <f>SUM(BM8:BP8)</f>
        <v>1185.6744215502399</v>
      </c>
      <c r="DF8" s="262">
        <f>SUM(BQ8:BT8)</f>
        <v>1287.7949651846557</v>
      </c>
      <c r="DG8" s="110"/>
      <c r="DH8" s="110"/>
      <c r="DI8" s="110"/>
      <c r="DJ8" s="110"/>
      <c r="DK8"/>
      <c r="DL8"/>
      <c r="DM8"/>
      <c r="DN8"/>
      <c r="DO8"/>
      <c r="DP8"/>
    </row>
    <row r="9" spans="2:122" s="109" customFormat="1" ht="28.5">
      <c r="B9" s="263" t="s">
        <v>177</v>
      </c>
      <c r="C9" s="264"/>
      <c r="D9" s="265"/>
      <c r="E9" s="266"/>
      <c r="F9" s="266"/>
      <c r="G9" s="267"/>
      <c r="H9" s="265"/>
      <c r="I9" s="266"/>
      <c r="J9" s="266"/>
      <c r="K9" s="267"/>
      <c r="L9" s="265"/>
      <c r="M9" s="266"/>
      <c r="N9" s="266"/>
      <c r="O9" s="267"/>
      <c r="P9" s="265"/>
      <c r="Q9" s="266"/>
      <c r="R9" s="266"/>
      <c r="S9" s="267"/>
      <c r="T9" s="265"/>
      <c r="U9" s="266"/>
      <c r="V9" s="266"/>
      <c r="W9" s="267"/>
      <c r="X9" s="265"/>
      <c r="Y9" s="266"/>
      <c r="Z9" s="266"/>
      <c r="AA9" s="267"/>
      <c r="AB9" s="265"/>
      <c r="AC9" s="266"/>
      <c r="AD9" s="266"/>
      <c r="AE9" s="267"/>
      <c r="AF9" s="265"/>
      <c r="AG9" s="266"/>
      <c r="AH9" s="266"/>
      <c r="AI9" s="267"/>
      <c r="AJ9" s="265"/>
      <c r="AK9" s="266"/>
      <c r="AL9" s="266"/>
      <c r="AM9" s="267"/>
      <c r="AN9" s="265"/>
      <c r="AO9" s="266"/>
      <c r="AP9" s="266"/>
      <c r="AQ9" s="267"/>
      <c r="AR9" s="265"/>
      <c r="AS9" s="266"/>
      <c r="AT9" s="266"/>
      <c r="AU9" s="267"/>
      <c r="AV9" s="265"/>
      <c r="AW9" s="266"/>
      <c r="AX9" s="266"/>
      <c r="AY9" s="267"/>
      <c r="AZ9" s="265"/>
      <c r="BA9" s="266"/>
      <c r="BB9" s="266"/>
      <c r="BC9" s="267"/>
      <c r="BD9" s="265"/>
      <c r="BE9" s="266"/>
      <c r="BF9" s="266"/>
      <c r="BG9" s="267"/>
      <c r="BH9" s="265"/>
      <c r="BI9" s="266"/>
      <c r="BJ9" s="266"/>
      <c r="BK9" s="267"/>
      <c r="BL9" s="265"/>
      <c r="BM9" s="266"/>
      <c r="BN9" s="266"/>
      <c r="BO9" s="267"/>
      <c r="BP9" s="266"/>
      <c r="BQ9" s="266"/>
      <c r="BR9" s="266"/>
      <c r="BS9" s="267"/>
      <c r="BT9" s="266"/>
      <c r="BU9" s="266"/>
      <c r="BV9" s="266"/>
      <c r="BW9" s="267"/>
      <c r="BX9" s="717"/>
      <c r="BY9" s="266"/>
      <c r="BZ9" s="266"/>
      <c r="CA9" s="266"/>
      <c r="CB9" s="266"/>
      <c r="CC9" s="266"/>
      <c r="CD9" s="266"/>
      <c r="CE9" s="266"/>
      <c r="CF9" s="266"/>
      <c r="CG9" s="266"/>
      <c r="CH9" s="266"/>
      <c r="CI9" s="267"/>
      <c r="CJ9" s="265"/>
      <c r="CK9" s="266"/>
      <c r="CL9" s="266"/>
      <c r="CM9" s="266"/>
      <c r="CN9" s="266"/>
      <c r="CO9" s="266"/>
      <c r="CP9" s="267"/>
      <c r="CQ9" s="951"/>
      <c r="CR9" s="260"/>
      <c r="CS9" s="261"/>
      <c r="CT9" s="261"/>
      <c r="CU9" s="261"/>
      <c r="CV9" s="261"/>
      <c r="CW9" s="261"/>
      <c r="CX9" s="261"/>
      <c r="CY9" s="261"/>
      <c r="CZ9" s="261"/>
      <c r="DA9" s="261"/>
      <c r="DB9" s="261"/>
      <c r="DC9" s="261"/>
      <c r="DD9" s="261"/>
      <c r="DE9" s="261"/>
      <c r="DF9" s="262"/>
      <c r="DG9" s="110"/>
      <c r="DH9" s="110"/>
      <c r="DI9" s="110"/>
      <c r="DJ9" s="110"/>
      <c r="DK9"/>
      <c r="DL9"/>
      <c r="DM9"/>
      <c r="DN9"/>
      <c r="DO9"/>
      <c r="DP9"/>
    </row>
    <row r="10" spans="2:122" s="109" customFormat="1" ht="14.25">
      <c r="B10" s="268" t="s">
        <v>202</v>
      </c>
      <c r="C10" s="269"/>
      <c r="D10" s="270">
        <v>0</v>
      </c>
      <c r="E10" s="271">
        <f>0-D10</f>
        <v>0</v>
      </c>
      <c r="F10" s="271">
        <f>0-E10-D10</f>
        <v>0</v>
      </c>
      <c r="G10" s="272">
        <f>0-F10-E10-D10</f>
        <v>0</v>
      </c>
      <c r="H10" s="270">
        <v>0</v>
      </c>
      <c r="I10" s="271">
        <f>0-H10</f>
        <v>0</v>
      </c>
      <c r="J10" s="271">
        <f>0-I10-H10</f>
        <v>0</v>
      </c>
      <c r="K10" s="272">
        <f>0-J10-I10-H10</f>
        <v>0</v>
      </c>
      <c r="L10" s="270">
        <v>0</v>
      </c>
      <c r="M10" s="271">
        <f>0-L10</f>
        <v>0</v>
      </c>
      <c r="N10" s="271">
        <f>0-M10-L10</f>
        <v>0</v>
      </c>
      <c r="O10" s="272">
        <f>0-N10-M10-L10</f>
        <v>0</v>
      </c>
      <c r="P10" s="270">
        <v>3.0310000000000001</v>
      </c>
      <c r="Q10" s="271">
        <f>6.618-P10</f>
        <v>3.5870000000000002</v>
      </c>
      <c r="R10" s="271">
        <f>10.288-Q10-P10</f>
        <v>3.6700000000000004</v>
      </c>
      <c r="S10" s="272">
        <f>14.219-R10-Q10-P10</f>
        <v>3.9309999999999996</v>
      </c>
      <c r="T10" s="270">
        <v>2.0259999999999998</v>
      </c>
      <c r="U10" s="271">
        <f>6.071-T10</f>
        <v>4.0449999999999999</v>
      </c>
      <c r="V10" s="271">
        <f>9.716-U10-T10</f>
        <v>3.6449999999999996</v>
      </c>
      <c r="W10" s="272">
        <f>13.737-V10-U10-T10</f>
        <v>4.0210000000000008</v>
      </c>
      <c r="X10" s="270">
        <v>5.0069999999999997</v>
      </c>
      <c r="Y10" s="271">
        <f>10.65-X10</f>
        <v>5.6430000000000007</v>
      </c>
      <c r="Z10" s="271">
        <f>16.762-Y10-X10</f>
        <v>6.1120000000000001</v>
      </c>
      <c r="AA10" s="272">
        <f>23.212-Z10-Y10-X10</f>
        <v>6.4500000000000011</v>
      </c>
      <c r="AB10" s="270">
        <v>6.5890000000000004</v>
      </c>
      <c r="AC10" s="271">
        <f>10.853-AB10</f>
        <v>4.2639999999999993</v>
      </c>
      <c r="AD10" s="271">
        <f>16.321-AC10-AB10</f>
        <v>5.4680000000000017</v>
      </c>
      <c r="AE10" s="272">
        <f>23.466-AD10-AC10-AB10</f>
        <v>7.1449999999999978</v>
      </c>
      <c r="AF10" s="270">
        <v>8.0839999999999996</v>
      </c>
      <c r="AG10" s="271">
        <f>16.804-AF10</f>
        <v>8.7199999999999989</v>
      </c>
      <c r="AH10" s="271">
        <f>26.239-AG10-AF10</f>
        <v>9.4350000000000023</v>
      </c>
      <c r="AI10" s="272">
        <f>40.741-AH10-AG10-AF10</f>
        <v>14.501999999999999</v>
      </c>
      <c r="AJ10" s="270">
        <v>13.281000000000001</v>
      </c>
      <c r="AK10" s="271">
        <f>28.145-AJ10</f>
        <v>14.863999999999999</v>
      </c>
      <c r="AL10" s="271">
        <f>42.688-AK10-AJ10</f>
        <v>14.543000000000005</v>
      </c>
      <c r="AM10" s="272">
        <f>58.338-AL10-AK10-AJ10</f>
        <v>15.649999999999997</v>
      </c>
      <c r="AN10" s="270">
        <v>15.75</v>
      </c>
      <c r="AO10" s="271">
        <f>35.085-AN10</f>
        <v>19.335000000000001</v>
      </c>
      <c r="AP10" s="271">
        <f>53.654-AO10-AN10</f>
        <v>18.569000000000003</v>
      </c>
      <c r="AQ10" s="272">
        <f>72.172-AP10-AO10-AN10</f>
        <v>18.517999999999994</v>
      </c>
      <c r="AR10" s="270">
        <v>17.696000000000002</v>
      </c>
      <c r="AS10" s="271">
        <f>36-AR10</f>
        <v>18.303999999999998</v>
      </c>
      <c r="AT10" s="271">
        <f>54.1-AS10-AR10</f>
        <v>18.100000000000005</v>
      </c>
      <c r="AU10" s="272">
        <f>71.7-AT10-AS10-AR10</f>
        <v>17.599999999999991</v>
      </c>
      <c r="AV10" s="270">
        <v>18.899999999999999</v>
      </c>
      <c r="AW10" s="271">
        <f>39.6-AV10</f>
        <v>20.700000000000003</v>
      </c>
      <c r="AX10" s="271">
        <f>62.4-AW10-AV10</f>
        <v>22.799999999999997</v>
      </c>
      <c r="AY10" s="272">
        <f>86-AX10-AW10-AV10</f>
        <v>23.6</v>
      </c>
      <c r="AZ10" s="270">
        <v>21.7</v>
      </c>
      <c r="BA10" s="271">
        <f>48.4-AZ10</f>
        <v>26.7</v>
      </c>
      <c r="BB10" s="271">
        <f>74.4-BA10-AZ10</f>
        <v>26.000000000000004</v>
      </c>
      <c r="BC10" s="272">
        <f>99.8-BB10-BA10-AZ10</f>
        <v>25.399999999999995</v>
      </c>
      <c r="BD10" s="270">
        <v>23.3</v>
      </c>
      <c r="BE10" s="271">
        <f>40.4-BD10</f>
        <v>17.099999999999998</v>
      </c>
      <c r="BF10" s="271">
        <f>58.3-BE10-BD10</f>
        <v>17.900000000000002</v>
      </c>
      <c r="BG10" s="272">
        <f>78-BF10-BE10-BD10</f>
        <v>19.7</v>
      </c>
      <c r="BH10" s="270">
        <v>21.6</v>
      </c>
      <c r="BI10" s="271">
        <f>43.7-BH10</f>
        <v>22.1</v>
      </c>
      <c r="BJ10" s="271">
        <f>64.3-BI10-BH10</f>
        <v>20.599999999999994</v>
      </c>
      <c r="BK10" s="272">
        <f>88.5-BJ10-BI10-BH10</f>
        <v>24.200000000000003</v>
      </c>
      <c r="BL10" s="270">
        <v>25.8</v>
      </c>
      <c r="BM10" s="273">
        <f>IS!BM107</f>
        <v>25.5</v>
      </c>
      <c r="BN10" s="273">
        <f>IS!BN107</f>
        <v>25.5</v>
      </c>
      <c r="BO10" s="274">
        <f>IS!BO107</f>
        <v>25.5</v>
      </c>
      <c r="BP10" s="273">
        <f>IS!BP107</f>
        <v>25.5</v>
      </c>
      <c r="BQ10" s="273">
        <f>IS!BQ107</f>
        <v>25.5</v>
      </c>
      <c r="BR10" s="273">
        <f>IS!BR107</f>
        <v>25.5</v>
      </c>
      <c r="BS10" s="274">
        <f>IS!BS107</f>
        <v>25.5</v>
      </c>
      <c r="BT10" s="273">
        <f>IS!BT107</f>
        <v>25.5</v>
      </c>
      <c r="BU10" s="273">
        <f>IS!BU107</f>
        <v>25.5</v>
      </c>
      <c r="BV10" s="273">
        <f>IS!BV107</f>
        <v>25.5</v>
      </c>
      <c r="BW10" s="274">
        <f>IS!BW107</f>
        <v>25.5</v>
      </c>
      <c r="BX10" s="718"/>
      <c r="BY10" s="273">
        <f t="shared" ref="BY10:BY20" si="0">SUM(D10:G10)</f>
        <v>0</v>
      </c>
      <c r="BZ10" s="273">
        <f t="shared" ref="BZ10:BZ20" si="1">SUM(H10:K10)</f>
        <v>0</v>
      </c>
      <c r="CA10" s="273">
        <f t="shared" ref="CA10:CA20" si="2">SUM(L10:O10)</f>
        <v>0</v>
      </c>
      <c r="CB10" s="273">
        <f t="shared" ref="CB10:CB20" si="3">SUM(P10:S10)</f>
        <v>14.218999999999999</v>
      </c>
      <c r="CC10" s="273">
        <f t="shared" ref="CC10:CC20" si="4">SUM(T10:W10)</f>
        <v>13.737</v>
      </c>
      <c r="CD10" s="273">
        <f t="shared" ref="CD10:CD20" si="5">SUM(X10:AA10)</f>
        <v>23.212000000000003</v>
      </c>
      <c r="CE10" s="273">
        <f t="shared" ref="CE10:CE20" si="6">SUM(AB10:AE10)</f>
        <v>23.466000000000001</v>
      </c>
      <c r="CF10" s="273">
        <f t="shared" ref="CF10:CF20" si="7">SUM(AF10:AI10)</f>
        <v>40.741</v>
      </c>
      <c r="CG10" s="273">
        <f t="shared" ref="CG10:CG20" si="8">SUM(AJ10:AM10)</f>
        <v>58.338000000000001</v>
      </c>
      <c r="CH10" s="273">
        <f t="shared" ref="CH10:CH20" si="9">SUM(AN10:AQ10)</f>
        <v>72.171999999999997</v>
      </c>
      <c r="CI10" s="274">
        <f t="shared" ref="CI10:CI20" si="10">SUM(AR10:AU10)</f>
        <v>71.7</v>
      </c>
      <c r="CJ10" s="275">
        <f t="shared" ref="CJ10:CJ20" si="11">SUM(AV10:AY10)</f>
        <v>86</v>
      </c>
      <c r="CK10" s="273">
        <f t="shared" ref="CK10:CK20" si="12">SUM(AZ10:BC10)</f>
        <v>99.8</v>
      </c>
      <c r="CL10" s="273">
        <f t="shared" ref="CL10:CL26" si="13">SUM(BD10:BG10)</f>
        <v>78</v>
      </c>
      <c r="CM10" s="273">
        <f t="shared" ref="CM10:CM26" si="14">SUM(BH10:BK10)</f>
        <v>88.5</v>
      </c>
      <c r="CN10" s="273">
        <f t="shared" ref="CN10:CN26" si="15">SUM(BL10:BO10)</f>
        <v>102.3</v>
      </c>
      <c r="CO10" s="273">
        <f t="shared" ref="CO10:CO26" si="16">SUM(BP10:BS10)</f>
        <v>102</v>
      </c>
      <c r="CP10" s="274">
        <f t="shared" ref="CP10:CP26" si="17">SUM(BT10:BW10)</f>
        <v>102</v>
      </c>
      <c r="CQ10" s="951"/>
      <c r="CR10" s="275">
        <f t="shared" ref="CR10:CR16" si="18">SUM(M10:P10)</f>
        <v>3.0310000000000001</v>
      </c>
      <c r="CS10" s="273">
        <f t="shared" ref="CS10:CS16" si="19">SUM(Q10:T10)</f>
        <v>13.214</v>
      </c>
      <c r="CT10" s="273">
        <f t="shared" ref="CT10:CT16" si="20">SUM(U10:X10)</f>
        <v>16.718</v>
      </c>
      <c r="CU10" s="273">
        <f t="shared" ref="CU10:CU16" si="21">SUM(Y10:AB10)</f>
        <v>24.794000000000004</v>
      </c>
      <c r="CV10" s="273">
        <f t="shared" ref="CV10:CV16" si="22">SUM(AC10:AF10)</f>
        <v>24.960999999999999</v>
      </c>
      <c r="CW10" s="273">
        <f t="shared" ref="CW10:CW20" si="23">SUM(AG10:AJ10)</f>
        <v>45.937999999999995</v>
      </c>
      <c r="CX10" s="273">
        <f t="shared" ref="CX10:CX20" si="24">SUM(AK10:AN10)</f>
        <v>60.807000000000002</v>
      </c>
      <c r="CY10" s="273">
        <f t="shared" ref="CY10:CY20" si="25">SUM(AO10:AR10)</f>
        <v>74.117999999999995</v>
      </c>
      <c r="CZ10" s="273">
        <f t="shared" ref="CZ10:CZ20" si="26">SUM(AS10:AV10)</f>
        <v>72.903999999999996</v>
      </c>
      <c r="DA10" s="273">
        <f t="shared" ref="DA10:DA20" si="27">SUM(AW10:AZ10)</f>
        <v>88.8</v>
      </c>
      <c r="DB10" s="273">
        <f t="shared" ref="DB10:DB20" si="28">SUM(BA10:BD10)</f>
        <v>101.39999999999999</v>
      </c>
      <c r="DC10" s="273">
        <f t="shared" ref="DC10:DC20" si="29">SUM(BE10:BH10)</f>
        <v>76.300000000000011</v>
      </c>
      <c r="DD10" s="273">
        <f>SUM(BI10:BL10)</f>
        <v>92.7</v>
      </c>
      <c r="DE10" s="273">
        <f t="shared" ref="DE10:DE20" si="30">SUM(BM10:BP10)</f>
        <v>102</v>
      </c>
      <c r="DF10" s="274">
        <f t="shared" ref="DF10:DF26" si="31">SUM(BQ10:BT10)</f>
        <v>102</v>
      </c>
      <c r="DG10" s="110"/>
      <c r="DH10" s="110"/>
      <c r="DI10" s="110"/>
      <c r="DJ10" s="110"/>
      <c r="DK10"/>
      <c r="DL10"/>
      <c r="DM10"/>
      <c r="DN10"/>
      <c r="DO10"/>
      <c r="DP10"/>
    </row>
    <row r="11" spans="2:122" s="109" customFormat="1" ht="14.25">
      <c r="B11" s="268" t="s">
        <v>203</v>
      </c>
      <c r="C11" s="269"/>
      <c r="D11" s="270">
        <v>9.1080000000000005</v>
      </c>
      <c r="E11" s="271">
        <f>18.361-D11</f>
        <v>9.2530000000000001</v>
      </c>
      <c r="F11" s="271">
        <f>27.608-E11-D11</f>
        <v>9.2469999999999999</v>
      </c>
      <c r="G11" s="272">
        <f>36.941-F11-E11-D11</f>
        <v>9.333000000000002</v>
      </c>
      <c r="H11" s="270">
        <v>8.625</v>
      </c>
      <c r="I11" s="271">
        <f>17.044-H11</f>
        <v>8.4190000000000005</v>
      </c>
      <c r="J11" s="271">
        <f>26.036-I11-H11</f>
        <v>8.9920000000000009</v>
      </c>
      <c r="K11" s="272">
        <f>35.829-J11-I11-H11</f>
        <v>9.7929999999999993</v>
      </c>
      <c r="L11" s="270">
        <v>9.4420000000000002</v>
      </c>
      <c r="M11" s="271">
        <f>18.909-L11</f>
        <v>9.4669999999999987</v>
      </c>
      <c r="N11" s="271">
        <f>27.949-M11-L11</f>
        <v>9.0400000000000027</v>
      </c>
      <c r="O11" s="272">
        <f>37.277-N11-M11-L11</f>
        <v>9.3279999999999994</v>
      </c>
      <c r="P11" s="270">
        <v>9.1440000000000001</v>
      </c>
      <c r="Q11" s="271">
        <f>18.429-P11</f>
        <v>9.2849999999999984</v>
      </c>
      <c r="R11" s="271">
        <f>28.137-Q11-P11</f>
        <v>9.7080000000000037</v>
      </c>
      <c r="S11" s="272">
        <f>38.217-R11-Q11-P11</f>
        <v>10.079999999999997</v>
      </c>
      <c r="T11" s="270">
        <v>9.5020000000000007</v>
      </c>
      <c r="U11" s="271">
        <f>18.83-T11</f>
        <v>9.3279999999999976</v>
      </c>
      <c r="V11" s="271">
        <f>28.829-U11-T11</f>
        <v>9.9990000000000041</v>
      </c>
      <c r="W11" s="272">
        <f>39.237-V11-U11-T11</f>
        <v>10.408000000000003</v>
      </c>
      <c r="X11" s="630">
        <v>10.916</v>
      </c>
      <c r="Y11" s="271">
        <f>21.993-X11</f>
        <v>11.076999999999998</v>
      </c>
      <c r="Z11" s="271">
        <f>33.434-Y11-X11</f>
        <v>11.440999999999999</v>
      </c>
      <c r="AA11" s="272">
        <f>44.712-Z11-Y11-X11</f>
        <v>11.278000000000002</v>
      </c>
      <c r="AB11" s="270">
        <v>11.211</v>
      </c>
      <c r="AC11" s="271">
        <f>22.815-AB11</f>
        <v>11.604000000000001</v>
      </c>
      <c r="AD11" s="271">
        <f>33.991-AC11-AB11</f>
        <v>11.176</v>
      </c>
      <c r="AE11" s="272">
        <f>44.413-AD11-AC11-AB11</f>
        <v>10.421999999999995</v>
      </c>
      <c r="AF11" s="270">
        <v>10.87</v>
      </c>
      <c r="AG11" s="271">
        <f>22.25-AF11</f>
        <v>11.38</v>
      </c>
      <c r="AH11" s="271">
        <f>34.155-AG11-AF11</f>
        <v>11.904999999999999</v>
      </c>
      <c r="AI11" s="272">
        <f>46.573-AH11-AG11-AF11</f>
        <v>12.417999999999997</v>
      </c>
      <c r="AJ11" s="270">
        <v>13.589</v>
      </c>
      <c r="AK11" s="271">
        <f>27.882-AJ11</f>
        <v>14.293000000000001</v>
      </c>
      <c r="AL11" s="271">
        <f>43.12-AK11-AJ11</f>
        <v>15.237999999999998</v>
      </c>
      <c r="AM11" s="272">
        <f>59.788-AL11-AK11-AJ11</f>
        <v>16.667999999999999</v>
      </c>
      <c r="AN11" s="270">
        <v>17.274000000000001</v>
      </c>
      <c r="AO11" s="271">
        <f>34.96-AN11</f>
        <v>17.686</v>
      </c>
      <c r="AP11" s="271">
        <f>52.095-AO11-AN11</f>
        <v>17.134999999999998</v>
      </c>
      <c r="AQ11" s="272">
        <f>69.545-AP11-AO11-AN11</f>
        <v>17.450000000000003</v>
      </c>
      <c r="AR11" s="270">
        <v>18.518000000000001</v>
      </c>
      <c r="AS11" s="271">
        <f>37-AR11</f>
        <v>18.481999999999999</v>
      </c>
      <c r="AT11" s="271">
        <f>55.4-AS11-AR11</f>
        <v>18.399999999999999</v>
      </c>
      <c r="AU11" s="272">
        <f>74.3-AT11-AS11-AR11</f>
        <v>18.899999999999999</v>
      </c>
      <c r="AV11" s="270">
        <v>20.8</v>
      </c>
      <c r="AW11" s="271">
        <f>42.4-AV11</f>
        <v>21.599999999999998</v>
      </c>
      <c r="AX11" s="271">
        <f>66.5-AW11-AV11</f>
        <v>24.100000000000005</v>
      </c>
      <c r="AY11" s="272">
        <f>96.8-AX11-AW11-AV11</f>
        <v>30.299999999999994</v>
      </c>
      <c r="AZ11" s="270">
        <v>35.700000000000003</v>
      </c>
      <c r="BA11" s="271">
        <f>74.5-AZ11</f>
        <v>38.799999999999997</v>
      </c>
      <c r="BB11" s="271">
        <f>116.4-BA11-AZ11</f>
        <v>41.900000000000006</v>
      </c>
      <c r="BC11" s="272">
        <f>162.3-BB11-BA11-AZ11</f>
        <v>45.900000000000006</v>
      </c>
      <c r="BD11" s="270">
        <v>51.5</v>
      </c>
      <c r="BE11" s="271">
        <f>105-BD11</f>
        <v>53.5</v>
      </c>
      <c r="BF11" s="271">
        <f>159.6-BE11-BD11</f>
        <v>54.599999999999994</v>
      </c>
      <c r="BG11" s="272">
        <f>214.4-BF11-BE11-BD11</f>
        <v>54.800000000000011</v>
      </c>
      <c r="BH11" s="270">
        <v>55.3</v>
      </c>
      <c r="BI11" s="271">
        <f>111.2-BH11</f>
        <v>55.900000000000006</v>
      </c>
      <c r="BJ11" s="271">
        <f>166.8-BI11-BH11</f>
        <v>55.600000000000009</v>
      </c>
      <c r="BK11" s="272">
        <f>227.2-BJ11-BI11-BH11</f>
        <v>60.399999999999963</v>
      </c>
      <c r="BL11" s="270">
        <v>63.6</v>
      </c>
      <c r="BM11" s="273">
        <f t="shared" ref="BM11:BS11" si="32">BM69</f>
        <v>63.282000000000004</v>
      </c>
      <c r="BN11" s="273">
        <f t="shared" si="32"/>
        <v>65.99014284750001</v>
      </c>
      <c r="BO11" s="274">
        <f t="shared" si="32"/>
        <v>68.594499850012511</v>
      </c>
      <c r="BP11" s="273">
        <f t="shared" si="32"/>
        <v>71.689387578146253</v>
      </c>
      <c r="BQ11" s="273">
        <f t="shared" si="32"/>
        <v>74.106139257187678</v>
      </c>
      <c r="BR11" s="273">
        <f t="shared" si="32"/>
        <v>76.306682209071241</v>
      </c>
      <c r="BS11" s="274">
        <f t="shared" si="32"/>
        <v>78.507878218930216</v>
      </c>
      <c r="BT11" s="273">
        <f t="shared" ref="BT11:BW11" si="33">BT69</f>
        <v>80.87556700708295</v>
      </c>
      <c r="BU11" s="273">
        <f t="shared" si="33"/>
        <v>83.343159220358231</v>
      </c>
      <c r="BV11" s="273">
        <f t="shared" si="33"/>
        <v>85.676712111846513</v>
      </c>
      <c r="BW11" s="274">
        <f t="shared" si="33"/>
        <v>88.040631977119759</v>
      </c>
      <c r="BX11" s="718"/>
      <c r="BY11" s="273">
        <f t="shared" si="0"/>
        <v>36.941000000000003</v>
      </c>
      <c r="BZ11" s="273">
        <f t="shared" si="1"/>
        <v>35.829000000000001</v>
      </c>
      <c r="CA11" s="273">
        <f t="shared" si="2"/>
        <v>37.277000000000001</v>
      </c>
      <c r="CB11" s="273">
        <f t="shared" si="3"/>
        <v>38.216999999999999</v>
      </c>
      <c r="CC11" s="273">
        <f t="shared" si="4"/>
        <v>39.237000000000002</v>
      </c>
      <c r="CD11" s="273">
        <f t="shared" si="5"/>
        <v>44.712000000000003</v>
      </c>
      <c r="CE11" s="273">
        <f t="shared" si="6"/>
        <v>44.412999999999997</v>
      </c>
      <c r="CF11" s="273">
        <f t="shared" si="7"/>
        <v>46.573</v>
      </c>
      <c r="CG11" s="273">
        <f t="shared" si="8"/>
        <v>59.787999999999997</v>
      </c>
      <c r="CH11" s="273">
        <f t="shared" si="9"/>
        <v>69.545000000000002</v>
      </c>
      <c r="CI11" s="274">
        <f t="shared" si="10"/>
        <v>74.3</v>
      </c>
      <c r="CJ11" s="275">
        <f t="shared" si="11"/>
        <v>96.8</v>
      </c>
      <c r="CK11" s="273">
        <f t="shared" si="12"/>
        <v>162.30000000000001</v>
      </c>
      <c r="CL11" s="273">
        <f t="shared" si="13"/>
        <v>214.4</v>
      </c>
      <c r="CM11" s="273">
        <f t="shared" si="14"/>
        <v>227.2</v>
      </c>
      <c r="CN11" s="273">
        <f t="shared" si="15"/>
        <v>261.4666426975125</v>
      </c>
      <c r="CO11" s="273">
        <f>SUM(BP11:BS11)</f>
        <v>300.6100872633354</v>
      </c>
      <c r="CP11" s="274">
        <f t="shared" si="17"/>
        <v>337.93607031640744</v>
      </c>
      <c r="CQ11" s="951"/>
      <c r="CR11" s="275">
        <f t="shared" si="18"/>
        <v>36.978999999999999</v>
      </c>
      <c r="CS11" s="273">
        <f t="shared" si="19"/>
        <v>38.575000000000003</v>
      </c>
      <c r="CT11" s="273">
        <f t="shared" si="20"/>
        <v>40.65100000000001</v>
      </c>
      <c r="CU11" s="273">
        <f t="shared" si="21"/>
        <v>45.006999999999998</v>
      </c>
      <c r="CV11" s="273">
        <f t="shared" si="22"/>
        <v>44.071999999999996</v>
      </c>
      <c r="CW11" s="273">
        <f t="shared" si="23"/>
        <v>49.291999999999994</v>
      </c>
      <c r="CX11" s="273">
        <f t="shared" si="24"/>
        <v>63.472999999999999</v>
      </c>
      <c r="CY11" s="273">
        <f t="shared" si="25"/>
        <v>70.789000000000001</v>
      </c>
      <c r="CZ11" s="273">
        <f t="shared" si="26"/>
        <v>76.581999999999994</v>
      </c>
      <c r="DA11" s="273">
        <f t="shared" si="27"/>
        <v>111.7</v>
      </c>
      <c r="DB11" s="273">
        <f t="shared" si="28"/>
        <v>178.10000000000002</v>
      </c>
      <c r="DC11" s="273">
        <f t="shared" si="29"/>
        <v>218.2</v>
      </c>
      <c r="DD11" s="273">
        <f t="shared" ref="DD11:DD20" si="34">SUM(BI11:BL11)</f>
        <v>235.49999999999997</v>
      </c>
      <c r="DE11" s="273">
        <f t="shared" si="30"/>
        <v>269.55603027565877</v>
      </c>
      <c r="DF11" s="274">
        <f t="shared" si="31"/>
        <v>309.79626669227207</v>
      </c>
      <c r="DG11" s="110"/>
      <c r="DH11" s="110"/>
      <c r="DI11" s="110"/>
      <c r="DJ11" s="110"/>
      <c r="DK11"/>
      <c r="DL11"/>
      <c r="DM11"/>
      <c r="DN11"/>
      <c r="DO11"/>
      <c r="DP11"/>
    </row>
    <row r="12" spans="2:122" s="109" customFormat="1" ht="14.25">
      <c r="B12" s="268" t="s">
        <v>204</v>
      </c>
      <c r="C12" s="269"/>
      <c r="D12" s="270">
        <v>1.127</v>
      </c>
      <c r="E12" s="271">
        <f>2.235-D12</f>
        <v>1.1079999999999999</v>
      </c>
      <c r="F12" s="271">
        <f>3.31-E12-D12</f>
        <v>1.075</v>
      </c>
      <c r="G12" s="272">
        <f>4.386-F12-E12-D12</f>
        <v>1.0760000000000003</v>
      </c>
      <c r="H12" s="270">
        <v>0.76900000000000002</v>
      </c>
      <c r="I12" s="271">
        <f>1.538-H12</f>
        <v>0.76900000000000002</v>
      </c>
      <c r="J12" s="271">
        <f>2.307-I12-H12</f>
        <v>0.76899999999999979</v>
      </c>
      <c r="K12" s="272">
        <f>3.043-J12-I12-H12</f>
        <v>0.73600000000000032</v>
      </c>
      <c r="L12" s="270">
        <v>0.73699999999999999</v>
      </c>
      <c r="M12" s="271">
        <f>1.282-L12</f>
        <v>0.54500000000000004</v>
      </c>
      <c r="N12" s="271">
        <f>1.818-M12-L12</f>
        <v>0.53600000000000014</v>
      </c>
      <c r="O12" s="272">
        <f>2.354-N12-M12-L12</f>
        <v>0.53600000000000014</v>
      </c>
      <c r="P12" s="270">
        <v>0.53600000000000003</v>
      </c>
      <c r="Q12" s="271">
        <f>1.072-P12</f>
        <v>0.53600000000000003</v>
      </c>
      <c r="R12" s="271">
        <f>1.608-Q12-P12</f>
        <v>0.53600000000000003</v>
      </c>
      <c r="S12" s="272">
        <f>2.144-R12-Q12-P12</f>
        <v>0.53600000000000003</v>
      </c>
      <c r="T12" s="270">
        <v>0.53600000000000003</v>
      </c>
      <c r="U12" s="271">
        <f>1.072-T12</f>
        <v>0.53600000000000003</v>
      </c>
      <c r="V12" s="271">
        <f>1.608-U12-T12</f>
        <v>0.53600000000000003</v>
      </c>
      <c r="W12" s="272">
        <f>2.144-V12-U12-T12</f>
        <v>0.53600000000000003</v>
      </c>
      <c r="X12" s="270">
        <v>1.9319999999999999</v>
      </c>
      <c r="Y12" s="271">
        <f>4.112-X12</f>
        <v>2.1800000000000002</v>
      </c>
      <c r="Z12" s="271">
        <f>5.522-Y12-X12</f>
        <v>1.4100000000000001</v>
      </c>
      <c r="AA12" s="272">
        <f>6.933-Z12-Y12-X12</f>
        <v>1.4109999999999996</v>
      </c>
      <c r="AB12" s="270">
        <v>1.149</v>
      </c>
      <c r="AC12" s="271">
        <f>2.395-AB12</f>
        <v>1.246</v>
      </c>
      <c r="AD12" s="271">
        <f>3.943-AC12-AB12</f>
        <v>1.548</v>
      </c>
      <c r="AE12" s="272">
        <f>6.118-AD12-AC12-AB12</f>
        <v>2.1750000000000003</v>
      </c>
      <c r="AF12" s="270">
        <v>1.5009999999999999</v>
      </c>
      <c r="AG12" s="271">
        <f>3.001-AF12</f>
        <v>1.5</v>
      </c>
      <c r="AH12" s="271">
        <f>4.502-AG12-AF12</f>
        <v>1.5009999999999999</v>
      </c>
      <c r="AI12" s="272">
        <f>6.136-AH12-AG12-AF12</f>
        <v>1.6339999999999999</v>
      </c>
      <c r="AJ12" s="270">
        <v>1.6020000000000001</v>
      </c>
      <c r="AK12" s="271">
        <f>3.24-AJ12</f>
        <v>1.6380000000000001</v>
      </c>
      <c r="AL12" s="271">
        <f>7.246-AK12-AJ12</f>
        <v>4.0060000000000002</v>
      </c>
      <c r="AM12" s="272">
        <f>16.742-AL12-AK12-AJ12</f>
        <v>9.4960000000000004</v>
      </c>
      <c r="AN12" s="270">
        <v>6.3120000000000003</v>
      </c>
      <c r="AO12" s="271">
        <f>16.117-AN12</f>
        <v>9.8049999999999997</v>
      </c>
      <c r="AP12" s="271">
        <f>24.724-AO12-AN12</f>
        <v>8.6069999999999993</v>
      </c>
      <c r="AQ12" s="272">
        <f>33.209-AP12-AO12-AN12</f>
        <v>8.485000000000003</v>
      </c>
      <c r="AR12" s="270">
        <v>8.1560000000000006</v>
      </c>
      <c r="AS12" s="271">
        <f>15.4-AR12</f>
        <v>7.2439999999999998</v>
      </c>
      <c r="AT12" s="271">
        <f>22.4-AS12-AR12</f>
        <v>6.9999999999999982</v>
      </c>
      <c r="AU12" s="272">
        <f>29.1-AT12-AS12-AR12</f>
        <v>6.7000000000000011</v>
      </c>
      <c r="AV12" s="270">
        <v>6.5</v>
      </c>
      <c r="AW12" s="271">
        <f>12.8-AV12</f>
        <v>6.3000000000000007</v>
      </c>
      <c r="AX12" s="271">
        <f>18.5-AW12-AV12</f>
        <v>5.6999999999999993</v>
      </c>
      <c r="AY12" s="272">
        <f>25.9-AX12-AW12-AV12</f>
        <v>7.3999999999999986</v>
      </c>
      <c r="AZ12" s="270">
        <v>8.5</v>
      </c>
      <c r="BA12" s="271">
        <f>16.8-AZ12</f>
        <v>8.3000000000000007</v>
      </c>
      <c r="BB12" s="271">
        <f>25.2-BA12-AZ12</f>
        <v>8.3999999999999986</v>
      </c>
      <c r="BC12" s="272">
        <f>33.5-BB12-BA12-AZ12</f>
        <v>8.3000000000000007</v>
      </c>
      <c r="BD12" s="270">
        <v>8.4</v>
      </c>
      <c r="BE12" s="271">
        <f>17-BD12</f>
        <v>8.6</v>
      </c>
      <c r="BF12" s="271">
        <f>27-BE12-BD12</f>
        <v>9.9999999999999982</v>
      </c>
      <c r="BG12" s="272">
        <f>33.4-BF12-BE12-BD12</f>
        <v>6.3999999999999986</v>
      </c>
      <c r="BH12" s="270">
        <v>8.5</v>
      </c>
      <c r="BI12" s="271">
        <f>15.5-BH12</f>
        <v>7</v>
      </c>
      <c r="BJ12" s="271">
        <f>22.6-BI12-BH12</f>
        <v>7.1000000000000014</v>
      </c>
      <c r="BK12" s="272">
        <f>27.6-BJ12-BI12-BH12</f>
        <v>5</v>
      </c>
      <c r="BL12" s="270">
        <v>5.5</v>
      </c>
      <c r="BM12" s="273">
        <f>BS!BL17-BS!BM17+BS!BL18-BS!BM18</f>
        <v>0</v>
      </c>
      <c r="BN12" s="273">
        <f>BS!BM17-BS!BN17+BS!BM18-BS!BN18</f>
        <v>0</v>
      </c>
      <c r="BO12" s="274">
        <f>BS!BN17-BS!BO17+BS!BN18-BS!BO18</f>
        <v>0</v>
      </c>
      <c r="BP12" s="273">
        <f>BS!BO17-BS!BP17+BS!BO18-BS!BP18</f>
        <v>0</v>
      </c>
      <c r="BQ12" s="273">
        <f>BS!BP17-BS!BQ17+BS!BP18-BS!BQ18</f>
        <v>0</v>
      </c>
      <c r="BR12" s="273">
        <f>BS!BQ17-BS!BR17+BS!BQ18-BS!BR18</f>
        <v>0</v>
      </c>
      <c r="BS12" s="274">
        <f>BS!BR17-BS!BS17+BS!BR18-BS!BS18</f>
        <v>0</v>
      </c>
      <c r="BT12" s="273">
        <f>BS!BS17-BS!BT17+BS!BS18-BS!BT18</f>
        <v>0</v>
      </c>
      <c r="BU12" s="273">
        <f>BS!BT17-BS!BU17+BS!BT18-BS!BU18</f>
        <v>0</v>
      </c>
      <c r="BV12" s="273">
        <f>BS!BU17-BS!BV17+BS!BU18-BS!BV18</f>
        <v>0</v>
      </c>
      <c r="BW12" s="274">
        <f>BS!BV17-BS!BW17+BS!BV18-BS!BW18</f>
        <v>0</v>
      </c>
      <c r="BX12" s="718"/>
      <c r="BY12" s="273">
        <f t="shared" si="0"/>
        <v>4.3860000000000001</v>
      </c>
      <c r="BZ12" s="273">
        <f t="shared" si="1"/>
        <v>3.0430000000000001</v>
      </c>
      <c r="CA12" s="273">
        <f t="shared" si="2"/>
        <v>2.3540000000000001</v>
      </c>
      <c r="CB12" s="273">
        <f t="shared" si="3"/>
        <v>2.1440000000000001</v>
      </c>
      <c r="CC12" s="273">
        <f t="shared" si="4"/>
        <v>2.1440000000000001</v>
      </c>
      <c r="CD12" s="273">
        <f t="shared" si="5"/>
        <v>6.9329999999999998</v>
      </c>
      <c r="CE12" s="273">
        <f t="shared" si="6"/>
        <v>6.1180000000000003</v>
      </c>
      <c r="CF12" s="273">
        <f t="shared" si="7"/>
        <v>6.1359999999999992</v>
      </c>
      <c r="CG12" s="273">
        <f t="shared" si="8"/>
        <v>16.742000000000001</v>
      </c>
      <c r="CH12" s="273">
        <f t="shared" si="9"/>
        <v>33.209000000000003</v>
      </c>
      <c r="CI12" s="274">
        <f t="shared" si="10"/>
        <v>29.1</v>
      </c>
      <c r="CJ12" s="275">
        <f t="shared" si="11"/>
        <v>25.9</v>
      </c>
      <c r="CK12" s="273">
        <f t="shared" si="12"/>
        <v>33.5</v>
      </c>
      <c r="CL12" s="273">
        <f t="shared" si="13"/>
        <v>33.4</v>
      </c>
      <c r="CM12" s="273">
        <f t="shared" si="14"/>
        <v>27.6</v>
      </c>
      <c r="CN12" s="273">
        <f t="shared" si="15"/>
        <v>5.5</v>
      </c>
      <c r="CO12" s="273">
        <f t="shared" si="16"/>
        <v>0</v>
      </c>
      <c r="CP12" s="274">
        <f t="shared" si="17"/>
        <v>0</v>
      </c>
      <c r="CQ12" s="951"/>
      <c r="CR12" s="275">
        <f t="shared" si="18"/>
        <v>2.1530000000000005</v>
      </c>
      <c r="CS12" s="273">
        <f t="shared" si="19"/>
        <v>2.1440000000000001</v>
      </c>
      <c r="CT12" s="273">
        <f t="shared" si="20"/>
        <v>3.54</v>
      </c>
      <c r="CU12" s="273">
        <f t="shared" si="21"/>
        <v>6.1499999999999995</v>
      </c>
      <c r="CV12" s="273">
        <f t="shared" si="22"/>
        <v>6.4700000000000006</v>
      </c>
      <c r="CW12" s="273">
        <f t="shared" si="23"/>
        <v>6.2370000000000001</v>
      </c>
      <c r="CX12" s="273">
        <f t="shared" si="24"/>
        <v>21.452000000000002</v>
      </c>
      <c r="CY12" s="273">
        <f t="shared" si="25"/>
        <v>35.053000000000004</v>
      </c>
      <c r="CZ12" s="273">
        <f t="shared" si="26"/>
        <v>27.443999999999999</v>
      </c>
      <c r="DA12" s="273">
        <f t="shared" si="27"/>
        <v>27.9</v>
      </c>
      <c r="DB12" s="273">
        <f t="shared" si="28"/>
        <v>33.4</v>
      </c>
      <c r="DC12" s="273">
        <f t="shared" si="29"/>
        <v>33.5</v>
      </c>
      <c r="DD12" s="273">
        <f t="shared" si="34"/>
        <v>24.6</v>
      </c>
      <c r="DE12" s="273">
        <f t="shared" si="30"/>
        <v>0</v>
      </c>
      <c r="DF12" s="274">
        <f t="shared" si="31"/>
        <v>0</v>
      </c>
      <c r="DG12" s="110"/>
      <c r="DH12" s="110"/>
      <c r="DI12" s="110"/>
      <c r="DJ12" s="110"/>
      <c r="DK12"/>
      <c r="DL12"/>
      <c r="DM12"/>
      <c r="DN12"/>
      <c r="DO12"/>
      <c r="DP12"/>
    </row>
    <row r="13" spans="2:122" s="109" customFormat="1" ht="14.25">
      <c r="B13" s="268" t="s">
        <v>205</v>
      </c>
      <c r="C13" s="276"/>
      <c r="D13" s="270">
        <v>0.27100000000000002</v>
      </c>
      <c r="E13" s="271">
        <f>0.819-D13</f>
        <v>0.54799999999999993</v>
      </c>
      <c r="F13" s="271">
        <f>1.379-E13-D13</f>
        <v>0.56000000000000005</v>
      </c>
      <c r="G13" s="272">
        <f>2.123-F13-E13-D13</f>
        <v>0.74400000000000011</v>
      </c>
      <c r="H13" s="270">
        <v>0.55300000000000005</v>
      </c>
      <c r="I13" s="271">
        <f>1.106-H13</f>
        <v>0.55300000000000005</v>
      </c>
      <c r="J13" s="271">
        <f>1.623-I13-H13</f>
        <v>0.51699999999999979</v>
      </c>
      <c r="K13" s="272">
        <f>2.176-J13-I13-H13</f>
        <v>0.55300000000000027</v>
      </c>
      <c r="L13" s="270">
        <v>0.39900000000000002</v>
      </c>
      <c r="M13" s="271">
        <f>0.798-L13</f>
        <v>0.39900000000000002</v>
      </c>
      <c r="N13" s="271">
        <f>1.197-M13-L13</f>
        <v>0.39900000000000002</v>
      </c>
      <c r="O13" s="272">
        <f>1.596-N13-M13-L13</f>
        <v>0.39900000000000002</v>
      </c>
      <c r="P13" s="270">
        <v>0.39900000000000002</v>
      </c>
      <c r="Q13" s="271">
        <f>1.37-P13</f>
        <v>0.97100000000000009</v>
      </c>
      <c r="R13" s="271">
        <f>1.681-Q13-P13</f>
        <v>0.31099999999999994</v>
      </c>
      <c r="S13" s="272">
        <f>1.992-R13-Q13-P13</f>
        <v>0.31099999999999994</v>
      </c>
      <c r="T13" s="270">
        <v>0.311</v>
      </c>
      <c r="U13" s="271">
        <f>1.29-T13</f>
        <v>0.97900000000000009</v>
      </c>
      <c r="V13" s="271">
        <f>1.8-U13-T13</f>
        <v>0.51</v>
      </c>
      <c r="W13" s="272">
        <f>2.311-V13-U13-T13</f>
        <v>0.5109999999999999</v>
      </c>
      <c r="X13" s="270">
        <v>0.48099999999999998</v>
      </c>
      <c r="Y13" s="271">
        <f>0.892-X13</f>
        <v>0.41100000000000003</v>
      </c>
      <c r="Z13" s="271">
        <f>1.332-Y13-X13</f>
        <v>0.44000000000000006</v>
      </c>
      <c r="AA13" s="272">
        <f>1.753-Z13-Y13-X13</f>
        <v>0.42099999999999971</v>
      </c>
      <c r="AB13" s="270">
        <v>0.16</v>
      </c>
      <c r="AC13" s="271">
        <f>0.292-AB13</f>
        <v>0.13199999999999998</v>
      </c>
      <c r="AD13" s="271">
        <f>0.422-AC13-AB13</f>
        <v>0.13000000000000003</v>
      </c>
      <c r="AE13" s="272">
        <f>0.943-AD13-AC13-AB13</f>
        <v>0.52099999999999991</v>
      </c>
      <c r="AF13" s="270">
        <v>8.8999999999999996E-2</v>
      </c>
      <c r="AG13" s="271">
        <f>0.134-AF13</f>
        <v>4.5000000000000012E-2</v>
      </c>
      <c r="AH13" s="271">
        <f>0.168-AG13-AF13</f>
        <v>3.4000000000000002E-2</v>
      </c>
      <c r="AI13" s="272">
        <f>0-AH13-AG13-AF13</f>
        <v>-0.16800000000000001</v>
      </c>
      <c r="AJ13" s="270">
        <v>0</v>
      </c>
      <c r="AK13" s="271">
        <f>0.705-AJ13</f>
        <v>0.70499999999999996</v>
      </c>
      <c r="AL13" s="271">
        <f>1.066-AK13-AJ13</f>
        <v>0.3610000000000001</v>
      </c>
      <c r="AM13" s="272">
        <f>1.434-AL13-AK13-AJ13</f>
        <v>0.36799999999999999</v>
      </c>
      <c r="AN13" s="270">
        <v>0</v>
      </c>
      <c r="AO13" s="271">
        <f>0-AN13</f>
        <v>0</v>
      </c>
      <c r="AP13" s="271">
        <f>0-AO13-AN13</f>
        <v>0</v>
      </c>
      <c r="AQ13" s="272">
        <f>0-AP13-AO13-AN13</f>
        <v>0</v>
      </c>
      <c r="AR13" s="270">
        <v>0</v>
      </c>
      <c r="AS13" s="271">
        <f>0-AR13</f>
        <v>0</v>
      </c>
      <c r="AT13" s="271">
        <f>0-AS13-AR13</f>
        <v>0</v>
      </c>
      <c r="AU13" s="272">
        <f>0-AT13-AS13-AR13</f>
        <v>0</v>
      </c>
      <c r="AV13" s="270">
        <v>0</v>
      </c>
      <c r="AW13" s="271">
        <f>0-AV13</f>
        <v>0</v>
      </c>
      <c r="AX13" s="271">
        <f>0-AW13-AV13</f>
        <v>0</v>
      </c>
      <c r="AY13" s="272">
        <f>0-AX13-AW13-AV13</f>
        <v>0</v>
      </c>
      <c r="AZ13" s="270">
        <v>0</v>
      </c>
      <c r="BA13" s="271">
        <f>0-AZ13</f>
        <v>0</v>
      </c>
      <c r="BB13" s="271">
        <f>0-BA13-AZ13</f>
        <v>0</v>
      </c>
      <c r="BC13" s="272">
        <f>0-BB13-BA13-AZ13</f>
        <v>0</v>
      </c>
      <c r="BD13" s="270">
        <v>0</v>
      </c>
      <c r="BE13" s="271">
        <f>0-BD13</f>
        <v>0</v>
      </c>
      <c r="BF13" s="271">
        <f>0-BE13-BD13</f>
        <v>0</v>
      </c>
      <c r="BG13" s="272">
        <f>0-BF13-BE13-BD13</f>
        <v>0</v>
      </c>
      <c r="BH13" s="270">
        <v>0</v>
      </c>
      <c r="BI13" s="271">
        <f>0-BH13</f>
        <v>0</v>
      </c>
      <c r="BJ13" s="271">
        <f>0-BI13-BH13</f>
        <v>0</v>
      </c>
      <c r="BK13" s="272">
        <f>0-BJ13-BI13-BH13</f>
        <v>0</v>
      </c>
      <c r="BL13" s="270">
        <v>0</v>
      </c>
      <c r="BM13" s="273">
        <f t="shared" ref="BM13:BO15" si="35">BL13</f>
        <v>0</v>
      </c>
      <c r="BN13" s="273">
        <f t="shared" si="35"/>
        <v>0</v>
      </c>
      <c r="BO13" s="274">
        <f t="shared" si="35"/>
        <v>0</v>
      </c>
      <c r="BP13" s="273">
        <f t="shared" ref="BP13:BS15" si="36">BO13</f>
        <v>0</v>
      </c>
      <c r="BQ13" s="273">
        <f t="shared" si="36"/>
        <v>0</v>
      </c>
      <c r="BR13" s="273">
        <f t="shared" si="36"/>
        <v>0</v>
      </c>
      <c r="BS13" s="273">
        <f t="shared" si="36"/>
        <v>0</v>
      </c>
      <c r="BT13" s="275">
        <f t="shared" ref="BT13:BT15" si="37">BS13</f>
        <v>0</v>
      </c>
      <c r="BU13" s="273">
        <f t="shared" ref="BU13:BU15" si="38">BT13</f>
        <v>0</v>
      </c>
      <c r="BV13" s="273">
        <f t="shared" ref="BV13:BV15" si="39">BU13</f>
        <v>0</v>
      </c>
      <c r="BW13" s="274">
        <f t="shared" ref="BW13:BW15" si="40">BV13</f>
        <v>0</v>
      </c>
      <c r="BX13" s="718"/>
      <c r="BY13" s="273">
        <f t="shared" si="0"/>
        <v>2.1230000000000002</v>
      </c>
      <c r="BZ13" s="273">
        <f t="shared" si="1"/>
        <v>2.1760000000000002</v>
      </c>
      <c r="CA13" s="273">
        <f t="shared" si="2"/>
        <v>1.5960000000000001</v>
      </c>
      <c r="CB13" s="273">
        <f t="shared" si="3"/>
        <v>1.992</v>
      </c>
      <c r="CC13" s="273">
        <f t="shared" si="4"/>
        <v>2.3109999999999999</v>
      </c>
      <c r="CD13" s="273">
        <f t="shared" si="5"/>
        <v>1.7529999999999997</v>
      </c>
      <c r="CE13" s="273">
        <f t="shared" si="6"/>
        <v>0.94299999999999995</v>
      </c>
      <c r="CF13" s="273">
        <f t="shared" si="7"/>
        <v>0</v>
      </c>
      <c r="CG13" s="273">
        <f t="shared" si="8"/>
        <v>1.4340000000000002</v>
      </c>
      <c r="CH13" s="273">
        <f t="shared" si="9"/>
        <v>0</v>
      </c>
      <c r="CI13" s="274">
        <f t="shared" si="10"/>
        <v>0</v>
      </c>
      <c r="CJ13" s="275">
        <f t="shared" si="11"/>
        <v>0</v>
      </c>
      <c r="CK13" s="273">
        <f t="shared" si="12"/>
        <v>0</v>
      </c>
      <c r="CL13" s="273">
        <f t="shared" si="13"/>
        <v>0</v>
      </c>
      <c r="CM13" s="273">
        <f t="shared" si="14"/>
        <v>0</v>
      </c>
      <c r="CN13" s="273">
        <f t="shared" si="15"/>
        <v>0</v>
      </c>
      <c r="CO13" s="273">
        <f t="shared" si="16"/>
        <v>0</v>
      </c>
      <c r="CP13" s="274">
        <f t="shared" si="17"/>
        <v>0</v>
      </c>
      <c r="CQ13" s="951"/>
      <c r="CR13" s="275">
        <f t="shared" si="18"/>
        <v>1.5960000000000001</v>
      </c>
      <c r="CS13" s="273">
        <f t="shared" si="19"/>
        <v>1.9039999999999999</v>
      </c>
      <c r="CT13" s="273">
        <f t="shared" si="20"/>
        <v>2.4809999999999999</v>
      </c>
      <c r="CU13" s="273">
        <f t="shared" si="21"/>
        <v>1.4319999999999997</v>
      </c>
      <c r="CV13" s="273">
        <f t="shared" si="22"/>
        <v>0.87199999999999989</v>
      </c>
      <c r="CW13" s="273">
        <f t="shared" si="23"/>
        <v>-8.8999999999999996E-2</v>
      </c>
      <c r="CX13" s="273">
        <f t="shared" si="24"/>
        <v>1.4340000000000002</v>
      </c>
      <c r="CY13" s="273">
        <f t="shared" si="25"/>
        <v>0</v>
      </c>
      <c r="CZ13" s="273">
        <f t="shared" si="26"/>
        <v>0</v>
      </c>
      <c r="DA13" s="273">
        <f t="shared" si="27"/>
        <v>0</v>
      </c>
      <c r="DB13" s="273">
        <f t="shared" si="28"/>
        <v>0</v>
      </c>
      <c r="DC13" s="273">
        <f t="shared" si="29"/>
        <v>0</v>
      </c>
      <c r="DD13" s="273">
        <f t="shared" si="34"/>
        <v>0</v>
      </c>
      <c r="DE13" s="273">
        <f t="shared" si="30"/>
        <v>0</v>
      </c>
      <c r="DF13" s="274">
        <f t="shared" si="31"/>
        <v>0</v>
      </c>
      <c r="DG13" s="110"/>
      <c r="DH13" s="110"/>
      <c r="DI13" s="110"/>
      <c r="DJ13" s="110"/>
      <c r="DK13"/>
      <c r="DL13"/>
      <c r="DM13"/>
      <c r="DN13"/>
      <c r="DO13"/>
      <c r="DP13"/>
    </row>
    <row r="14" spans="2:122" s="109" customFormat="1" ht="14.25">
      <c r="B14" s="268" t="s">
        <v>206</v>
      </c>
      <c r="C14" s="276"/>
      <c r="D14" s="270">
        <v>0</v>
      </c>
      <c r="E14" s="271">
        <f>0-D14</f>
        <v>0</v>
      </c>
      <c r="F14" s="271">
        <f>0-E14-D14</f>
        <v>0</v>
      </c>
      <c r="G14" s="272">
        <f>0-F14-E14-D14</f>
        <v>0</v>
      </c>
      <c r="H14" s="270">
        <v>0</v>
      </c>
      <c r="I14" s="271">
        <f>0-H14</f>
        <v>0</v>
      </c>
      <c r="J14" s="271">
        <f>0-I14-H14</f>
        <v>0</v>
      </c>
      <c r="K14" s="272">
        <f>0-J14-I14-H14</f>
        <v>0</v>
      </c>
      <c r="L14" s="270">
        <v>0</v>
      </c>
      <c r="M14" s="271">
        <f>0-L14</f>
        <v>0</v>
      </c>
      <c r="N14" s="271">
        <f>0-M14-L14</f>
        <v>0</v>
      </c>
      <c r="O14" s="272">
        <f>0-N14-M14-L14</f>
        <v>0</v>
      </c>
      <c r="P14" s="270">
        <v>0</v>
      </c>
      <c r="Q14" s="271">
        <f>0-P14</f>
        <v>0</v>
      </c>
      <c r="R14" s="271">
        <f>0-Q14-P14</f>
        <v>0</v>
      </c>
      <c r="S14" s="272">
        <f>0-R14-Q14-P14</f>
        <v>0</v>
      </c>
      <c r="T14" s="270">
        <v>0</v>
      </c>
      <c r="U14" s="271">
        <f>0-T14</f>
        <v>0</v>
      </c>
      <c r="V14" s="271">
        <f>0-U14-T14</f>
        <v>0</v>
      </c>
      <c r="W14" s="272">
        <f>0-V14-U14-T14</f>
        <v>0</v>
      </c>
      <c r="X14" s="270">
        <v>0</v>
      </c>
      <c r="Y14" s="271">
        <f>0-X14</f>
        <v>0</v>
      </c>
      <c r="Z14" s="271">
        <f>0-Y14-X14</f>
        <v>0</v>
      </c>
      <c r="AA14" s="272">
        <f>0-Z14-Y14-X14</f>
        <v>0</v>
      </c>
      <c r="AB14" s="270">
        <v>1.3939999999999999</v>
      </c>
      <c r="AC14" s="271">
        <f>2.56-AB14</f>
        <v>1.1660000000000001</v>
      </c>
      <c r="AD14" s="271">
        <f>3.747-AC14-AB14</f>
        <v>1.1869999999999996</v>
      </c>
      <c r="AE14" s="272">
        <f>0-AD14-AC14-AB14</f>
        <v>-3.7469999999999999</v>
      </c>
      <c r="AF14" s="270">
        <v>0.98899999999999999</v>
      </c>
      <c r="AG14" s="271">
        <f>1.702-AF14</f>
        <v>0.71299999999999997</v>
      </c>
      <c r="AH14" s="271">
        <f>2.18-AG14-AF14</f>
        <v>0.47800000000000009</v>
      </c>
      <c r="AI14" s="272">
        <f>2.693-AH14-AG14-AF14</f>
        <v>0.51299999999999979</v>
      </c>
      <c r="AJ14" s="270">
        <v>0.35</v>
      </c>
      <c r="AK14" s="271">
        <f>0-AJ14</f>
        <v>-0.35</v>
      </c>
      <c r="AL14" s="271">
        <f>0-AK14-AJ14</f>
        <v>0</v>
      </c>
      <c r="AM14" s="272">
        <f>0-AL14-AK14-AJ14</f>
        <v>0</v>
      </c>
      <c r="AN14" s="270">
        <v>0</v>
      </c>
      <c r="AO14" s="271">
        <f>0-AN14</f>
        <v>0</v>
      </c>
      <c r="AP14" s="271">
        <f>0-AO14-AN14</f>
        <v>0</v>
      </c>
      <c r="AQ14" s="272">
        <f>0-AP14-AO14-AN14</f>
        <v>0</v>
      </c>
      <c r="AR14" s="270">
        <v>0</v>
      </c>
      <c r="AS14" s="271">
        <f>0-AR14</f>
        <v>0</v>
      </c>
      <c r="AT14" s="271">
        <f>0-AS14-AR14</f>
        <v>0</v>
      </c>
      <c r="AU14" s="272">
        <f>0-AT14-AS14-AR14</f>
        <v>0</v>
      </c>
      <c r="AV14" s="270">
        <v>0</v>
      </c>
      <c r="AW14" s="271">
        <f>0-AV14</f>
        <v>0</v>
      </c>
      <c r="AX14" s="271">
        <f>0-AW14-AV14</f>
        <v>0</v>
      </c>
      <c r="AY14" s="272">
        <f>0-AX14-AW14-AV14</f>
        <v>0</v>
      </c>
      <c r="AZ14" s="270">
        <v>0</v>
      </c>
      <c r="BA14" s="271">
        <f>0-AZ14</f>
        <v>0</v>
      </c>
      <c r="BB14" s="271">
        <f>0-BA14-AZ14</f>
        <v>0</v>
      </c>
      <c r="BC14" s="272">
        <f>0-BB14-BA14-AZ14</f>
        <v>0</v>
      </c>
      <c r="BD14" s="270">
        <v>0</v>
      </c>
      <c r="BE14" s="271">
        <f>0-BD14</f>
        <v>0</v>
      </c>
      <c r="BF14" s="271">
        <f>0-BE14-BD14</f>
        <v>0</v>
      </c>
      <c r="BG14" s="272">
        <f>0-BF14-BE14-BD14</f>
        <v>0</v>
      </c>
      <c r="BH14" s="270">
        <v>0</v>
      </c>
      <c r="BI14" s="271">
        <f>0-BH14</f>
        <v>0</v>
      </c>
      <c r="BJ14" s="271">
        <f>0-BI14-BH14</f>
        <v>0</v>
      </c>
      <c r="BK14" s="272">
        <f>0-BJ14-BI14-BH14</f>
        <v>0</v>
      </c>
      <c r="BL14" s="270">
        <v>0</v>
      </c>
      <c r="BM14" s="273">
        <f t="shared" si="35"/>
        <v>0</v>
      </c>
      <c r="BN14" s="273">
        <f t="shared" si="35"/>
        <v>0</v>
      </c>
      <c r="BO14" s="274">
        <f t="shared" si="35"/>
        <v>0</v>
      </c>
      <c r="BP14" s="273">
        <f t="shared" si="36"/>
        <v>0</v>
      </c>
      <c r="BQ14" s="273">
        <f t="shared" si="36"/>
        <v>0</v>
      </c>
      <c r="BR14" s="273">
        <f t="shared" si="36"/>
        <v>0</v>
      </c>
      <c r="BS14" s="273">
        <f t="shared" si="36"/>
        <v>0</v>
      </c>
      <c r="BT14" s="275">
        <f t="shared" si="37"/>
        <v>0</v>
      </c>
      <c r="BU14" s="273">
        <f t="shared" si="38"/>
        <v>0</v>
      </c>
      <c r="BV14" s="273">
        <f t="shared" si="39"/>
        <v>0</v>
      </c>
      <c r="BW14" s="274">
        <f t="shared" si="40"/>
        <v>0</v>
      </c>
      <c r="BX14" s="718"/>
      <c r="BY14" s="273">
        <f t="shared" si="0"/>
        <v>0</v>
      </c>
      <c r="BZ14" s="273">
        <f t="shared" si="1"/>
        <v>0</v>
      </c>
      <c r="CA14" s="273">
        <f t="shared" si="2"/>
        <v>0</v>
      </c>
      <c r="CB14" s="273">
        <f t="shared" si="3"/>
        <v>0</v>
      </c>
      <c r="CC14" s="273">
        <f t="shared" si="4"/>
        <v>0</v>
      </c>
      <c r="CD14" s="273">
        <f t="shared" si="5"/>
        <v>0</v>
      </c>
      <c r="CE14" s="273">
        <f t="shared" si="6"/>
        <v>0</v>
      </c>
      <c r="CF14" s="273">
        <f t="shared" si="7"/>
        <v>2.6930000000000001</v>
      </c>
      <c r="CG14" s="273">
        <f t="shared" si="8"/>
        <v>0</v>
      </c>
      <c r="CH14" s="273">
        <f t="shared" si="9"/>
        <v>0</v>
      </c>
      <c r="CI14" s="274">
        <f t="shared" si="10"/>
        <v>0</v>
      </c>
      <c r="CJ14" s="275">
        <f t="shared" si="11"/>
        <v>0</v>
      </c>
      <c r="CK14" s="273">
        <f t="shared" si="12"/>
        <v>0</v>
      </c>
      <c r="CL14" s="273">
        <f t="shared" si="13"/>
        <v>0</v>
      </c>
      <c r="CM14" s="273">
        <f t="shared" si="14"/>
        <v>0</v>
      </c>
      <c r="CN14" s="273">
        <f t="shared" si="15"/>
        <v>0</v>
      </c>
      <c r="CO14" s="273">
        <f t="shared" si="16"/>
        <v>0</v>
      </c>
      <c r="CP14" s="274">
        <f t="shared" si="17"/>
        <v>0</v>
      </c>
      <c r="CQ14" s="951"/>
      <c r="CR14" s="275">
        <f t="shared" si="18"/>
        <v>0</v>
      </c>
      <c r="CS14" s="273">
        <f t="shared" si="19"/>
        <v>0</v>
      </c>
      <c r="CT14" s="273">
        <f t="shared" si="20"/>
        <v>0</v>
      </c>
      <c r="CU14" s="273">
        <f t="shared" si="21"/>
        <v>1.3939999999999999</v>
      </c>
      <c r="CV14" s="273">
        <f t="shared" si="22"/>
        <v>-0.40500000000000014</v>
      </c>
      <c r="CW14" s="273">
        <f t="shared" si="23"/>
        <v>2.0539999999999998</v>
      </c>
      <c r="CX14" s="273">
        <f t="shared" si="24"/>
        <v>-0.35</v>
      </c>
      <c r="CY14" s="273">
        <f t="shared" si="25"/>
        <v>0</v>
      </c>
      <c r="CZ14" s="273">
        <f t="shared" si="26"/>
        <v>0</v>
      </c>
      <c r="DA14" s="273">
        <f t="shared" si="27"/>
        <v>0</v>
      </c>
      <c r="DB14" s="273">
        <f t="shared" si="28"/>
        <v>0</v>
      </c>
      <c r="DC14" s="273">
        <f t="shared" si="29"/>
        <v>0</v>
      </c>
      <c r="DD14" s="273">
        <f t="shared" si="34"/>
        <v>0</v>
      </c>
      <c r="DE14" s="273">
        <f t="shared" si="30"/>
        <v>0</v>
      </c>
      <c r="DF14" s="274">
        <f t="shared" si="31"/>
        <v>0</v>
      </c>
      <c r="DG14" s="110"/>
      <c r="DH14" s="110"/>
      <c r="DI14" s="110"/>
      <c r="DJ14" s="110"/>
      <c r="DK14"/>
      <c r="DL14"/>
      <c r="DM14"/>
      <c r="DN14"/>
      <c r="DO14"/>
      <c r="DP14"/>
    </row>
    <row r="15" spans="2:122" s="109" customFormat="1" ht="14.25">
      <c r="B15" s="268" t="s">
        <v>207</v>
      </c>
      <c r="C15" s="269"/>
      <c r="D15" s="270">
        <v>1.4710000000000001</v>
      </c>
      <c r="E15" s="271">
        <f>2.46-D15</f>
        <v>0.98899999999999988</v>
      </c>
      <c r="F15" s="271">
        <f>4.975-E15-D15</f>
        <v>2.5149999999999997</v>
      </c>
      <c r="G15" s="272">
        <f>7.482-F15-E15-D15</f>
        <v>2.5070000000000006</v>
      </c>
      <c r="H15" s="270">
        <v>0.72499999999999998</v>
      </c>
      <c r="I15" s="271">
        <f>4.207-H15</f>
        <v>3.4819999999999998</v>
      </c>
      <c r="J15" s="271">
        <f>5.267-I15-H15</f>
        <v>1.0600000000000005</v>
      </c>
      <c r="K15" s="272">
        <f>8.162-J15-I15-H15</f>
        <v>2.8950000000000005</v>
      </c>
      <c r="L15" s="270">
        <v>1.2689999999999999</v>
      </c>
      <c r="M15" s="271">
        <f>4.79-L15</f>
        <v>3.5209999999999999</v>
      </c>
      <c r="N15" s="271">
        <f>8.77-M15-L15</f>
        <v>3.9799999999999995</v>
      </c>
      <c r="O15" s="272">
        <f>10.437-N15-M15-L15</f>
        <v>1.667</v>
      </c>
      <c r="P15" s="270">
        <v>0.61599999999999999</v>
      </c>
      <c r="Q15" s="271">
        <f>4.521-P15</f>
        <v>3.9049999999999998</v>
      </c>
      <c r="R15" s="271">
        <f>5.573-Q15-P15</f>
        <v>1.0520000000000005</v>
      </c>
      <c r="S15" s="272">
        <f>8.064-R15-Q15-P15</f>
        <v>2.4909999999999997</v>
      </c>
      <c r="T15" s="270">
        <v>1</v>
      </c>
      <c r="U15" s="271">
        <f>3.633-T15</f>
        <v>2.633</v>
      </c>
      <c r="V15" s="271">
        <f>5.259-U15-T15</f>
        <v>1.6260000000000003</v>
      </c>
      <c r="W15" s="272">
        <f>8.565-V15-U15-T15</f>
        <v>3.3059999999999992</v>
      </c>
      <c r="X15" s="270">
        <v>0.82799999999999996</v>
      </c>
      <c r="Y15" s="271">
        <f>5.016-X15</f>
        <v>4.1879999999999997</v>
      </c>
      <c r="Z15" s="271">
        <f>6.378-Y15-X15</f>
        <v>1.3620000000000005</v>
      </c>
      <c r="AA15" s="272">
        <f>10.407-Z15-Y15-X15</f>
        <v>4.0289999999999999</v>
      </c>
      <c r="AB15" s="270">
        <v>1.232</v>
      </c>
      <c r="AC15" s="271">
        <f>4.43-AB15</f>
        <v>3.1979999999999995</v>
      </c>
      <c r="AD15" s="271">
        <f>5.457-AC15-AB15</f>
        <v>1.0270000000000004</v>
      </c>
      <c r="AE15" s="272">
        <f>8.502-AD15-AC15-AB15</f>
        <v>3.0450000000000008</v>
      </c>
      <c r="AF15" s="270">
        <v>0.85399999999999998</v>
      </c>
      <c r="AG15" s="271">
        <f>5.6-AF15</f>
        <v>4.7459999999999996</v>
      </c>
      <c r="AH15" s="271">
        <f>6.834-AG15-AF15</f>
        <v>1.234</v>
      </c>
      <c r="AI15" s="272">
        <f>11.706-AH15-AG15-AF15</f>
        <v>4.8719999999999999</v>
      </c>
      <c r="AJ15" s="270">
        <v>1.4710000000000001</v>
      </c>
      <c r="AK15" s="271">
        <f>6.638-AJ15</f>
        <v>5.1669999999999998</v>
      </c>
      <c r="AL15" s="271">
        <f>8.241-AK15-AJ15</f>
        <v>1.6029999999999998</v>
      </c>
      <c r="AM15" s="272">
        <f>13.718-AL15-AK15-AJ15</f>
        <v>5.4770000000000003</v>
      </c>
      <c r="AN15" s="270">
        <v>1.0109999999999999</v>
      </c>
      <c r="AO15" s="271">
        <f>7.958-AN15</f>
        <v>6.9470000000000001</v>
      </c>
      <c r="AP15" s="271">
        <f>9.202-AO15-AN15</f>
        <v>1.244</v>
      </c>
      <c r="AQ15" s="272">
        <f>16.074-AP15-AO15-AN15</f>
        <v>6.8720000000000017</v>
      </c>
      <c r="AR15" s="270">
        <v>1.2230000000000001</v>
      </c>
      <c r="AS15" s="271">
        <f>8.7-AR15</f>
        <v>7.4769999999999994</v>
      </c>
      <c r="AT15" s="271">
        <f>10.5-AS15-AR15</f>
        <v>1.8000000000000005</v>
      </c>
      <c r="AU15" s="272">
        <f>17.1-AT15-AS15-AR15</f>
        <v>6.6000000000000014</v>
      </c>
      <c r="AV15" s="270">
        <v>1.3</v>
      </c>
      <c r="AW15" s="271">
        <f>8.7-AV15</f>
        <v>7.3999999999999995</v>
      </c>
      <c r="AX15" s="271">
        <f>10.4-AW15-AV15</f>
        <v>1.7000000000000008</v>
      </c>
      <c r="AY15" s="272">
        <f>17.1-AX15-AW15-AV15</f>
        <v>6.7</v>
      </c>
      <c r="AZ15" s="270">
        <v>1.8</v>
      </c>
      <c r="BA15" s="271">
        <f>11.2-AZ15</f>
        <v>9.3999999999999986</v>
      </c>
      <c r="BB15" s="271">
        <f>13.1-BA15-AZ15</f>
        <v>1.900000000000001</v>
      </c>
      <c r="BC15" s="272">
        <f>20.9-BB15-BA15-AZ15</f>
        <v>7.799999999999998</v>
      </c>
      <c r="BD15" s="270">
        <v>2.7</v>
      </c>
      <c r="BE15" s="271">
        <f>11.3-BD15</f>
        <v>8.6000000000000014</v>
      </c>
      <c r="BF15" s="271">
        <f>11.3-BE15-BD15</f>
        <v>0</v>
      </c>
      <c r="BG15" s="272">
        <f>18-BF15-BE15-BD15</f>
        <v>6.6999999999999984</v>
      </c>
      <c r="BH15" s="270">
        <v>0</v>
      </c>
      <c r="BI15" s="271">
        <f>7.2-BH15</f>
        <v>7.2</v>
      </c>
      <c r="BJ15" s="271">
        <f>7.2-BI15-BH15</f>
        <v>0</v>
      </c>
      <c r="BK15" s="272">
        <f>15-BJ15-BI15-BH15</f>
        <v>7.8</v>
      </c>
      <c r="BL15" s="270">
        <v>0</v>
      </c>
      <c r="BM15" s="273">
        <f t="shared" si="35"/>
        <v>0</v>
      </c>
      <c r="BN15" s="273">
        <f t="shared" si="35"/>
        <v>0</v>
      </c>
      <c r="BO15" s="274">
        <f t="shared" si="35"/>
        <v>0</v>
      </c>
      <c r="BP15" s="273">
        <f t="shared" si="36"/>
        <v>0</v>
      </c>
      <c r="BQ15" s="273">
        <f t="shared" si="36"/>
        <v>0</v>
      </c>
      <c r="BR15" s="273">
        <f t="shared" si="36"/>
        <v>0</v>
      </c>
      <c r="BS15" s="273">
        <f t="shared" si="36"/>
        <v>0</v>
      </c>
      <c r="BT15" s="275">
        <f t="shared" si="37"/>
        <v>0</v>
      </c>
      <c r="BU15" s="273">
        <f t="shared" si="38"/>
        <v>0</v>
      </c>
      <c r="BV15" s="273">
        <f t="shared" si="39"/>
        <v>0</v>
      </c>
      <c r="BW15" s="274">
        <f t="shared" si="40"/>
        <v>0</v>
      </c>
      <c r="BX15" s="718"/>
      <c r="BY15" s="273">
        <f t="shared" si="0"/>
        <v>7.4820000000000002</v>
      </c>
      <c r="BZ15" s="273">
        <f t="shared" si="1"/>
        <v>8.1620000000000008</v>
      </c>
      <c r="CA15" s="273">
        <f t="shared" si="2"/>
        <v>10.436999999999999</v>
      </c>
      <c r="CB15" s="273">
        <f t="shared" si="3"/>
        <v>8.0640000000000001</v>
      </c>
      <c r="CC15" s="273">
        <f t="shared" si="4"/>
        <v>8.5649999999999995</v>
      </c>
      <c r="CD15" s="273">
        <f t="shared" si="5"/>
        <v>10.407</v>
      </c>
      <c r="CE15" s="273">
        <f t="shared" si="6"/>
        <v>8.5020000000000007</v>
      </c>
      <c r="CF15" s="273">
        <f t="shared" si="7"/>
        <v>11.706</v>
      </c>
      <c r="CG15" s="273">
        <f t="shared" si="8"/>
        <v>13.718</v>
      </c>
      <c r="CH15" s="273">
        <f t="shared" si="9"/>
        <v>16.074000000000002</v>
      </c>
      <c r="CI15" s="274">
        <f t="shared" si="10"/>
        <v>17.100000000000001</v>
      </c>
      <c r="CJ15" s="275">
        <f t="shared" si="11"/>
        <v>17.100000000000001</v>
      </c>
      <c r="CK15" s="273">
        <f t="shared" si="12"/>
        <v>20.9</v>
      </c>
      <c r="CL15" s="273">
        <f t="shared" si="13"/>
        <v>18</v>
      </c>
      <c r="CM15" s="273">
        <f t="shared" si="14"/>
        <v>15</v>
      </c>
      <c r="CN15" s="273">
        <f t="shared" si="15"/>
        <v>0</v>
      </c>
      <c r="CO15" s="273">
        <f t="shared" si="16"/>
        <v>0</v>
      </c>
      <c r="CP15" s="274">
        <f t="shared" si="17"/>
        <v>0</v>
      </c>
      <c r="CQ15" s="951"/>
      <c r="CR15" s="275">
        <f t="shared" si="18"/>
        <v>9.7839999999999989</v>
      </c>
      <c r="CS15" s="273">
        <f t="shared" si="19"/>
        <v>8.4480000000000004</v>
      </c>
      <c r="CT15" s="273">
        <f t="shared" si="20"/>
        <v>8.3929999999999989</v>
      </c>
      <c r="CU15" s="273">
        <f t="shared" si="21"/>
        <v>10.811</v>
      </c>
      <c r="CV15" s="273">
        <f t="shared" si="22"/>
        <v>8.1240000000000006</v>
      </c>
      <c r="CW15" s="273">
        <f t="shared" si="23"/>
        <v>12.323</v>
      </c>
      <c r="CX15" s="273">
        <f t="shared" si="24"/>
        <v>13.257999999999999</v>
      </c>
      <c r="CY15" s="273">
        <f t="shared" si="25"/>
        <v>16.286000000000001</v>
      </c>
      <c r="CZ15" s="273">
        <f t="shared" si="26"/>
        <v>17.177</v>
      </c>
      <c r="DA15" s="273">
        <f t="shared" si="27"/>
        <v>17.600000000000001</v>
      </c>
      <c r="DB15" s="273">
        <f t="shared" si="28"/>
        <v>21.799999999999997</v>
      </c>
      <c r="DC15" s="273">
        <f t="shared" si="29"/>
        <v>15.3</v>
      </c>
      <c r="DD15" s="273">
        <f t="shared" si="34"/>
        <v>15</v>
      </c>
      <c r="DE15" s="273">
        <f t="shared" si="30"/>
        <v>0</v>
      </c>
      <c r="DF15" s="274">
        <f t="shared" si="31"/>
        <v>0</v>
      </c>
      <c r="DG15" s="110"/>
      <c r="DH15" s="110"/>
      <c r="DI15" s="110"/>
      <c r="DJ15" s="110"/>
      <c r="DK15"/>
      <c r="DL15"/>
      <c r="DM15"/>
      <c r="DN15"/>
      <c r="DO15"/>
      <c r="DP15"/>
    </row>
    <row r="16" spans="2:122" s="109" customFormat="1" ht="14.25">
      <c r="B16" s="268" t="s">
        <v>208</v>
      </c>
      <c r="C16" s="269"/>
      <c r="D16" s="270">
        <v>0.30099999999999999</v>
      </c>
      <c r="E16" s="271">
        <f>0.642-D16</f>
        <v>0.34100000000000003</v>
      </c>
      <c r="F16" s="271">
        <f>0.64-E16-D16</f>
        <v>-2.0000000000000018E-3</v>
      </c>
      <c r="G16" s="272">
        <f>0.351-F16-E16-D16</f>
        <v>-0.28900000000000003</v>
      </c>
      <c r="H16" s="270">
        <v>0</v>
      </c>
      <c r="I16" s="271">
        <f>0-H16</f>
        <v>0</v>
      </c>
      <c r="J16" s="271">
        <f>0-I16-H16</f>
        <v>0</v>
      </c>
      <c r="K16" s="272">
        <f>3.055-J16-I16-H16</f>
        <v>3.0550000000000002</v>
      </c>
      <c r="L16" s="270">
        <v>1.964</v>
      </c>
      <c r="M16" s="271">
        <f>2.586-L16</f>
        <v>0.62199999999999989</v>
      </c>
      <c r="N16" s="271">
        <f>1.248-M16-L16</f>
        <v>-1.3379999999999999</v>
      </c>
      <c r="O16" s="272">
        <f>3.253-N16-M16-L16</f>
        <v>2.0050000000000003</v>
      </c>
      <c r="P16" s="270">
        <v>0.82699999999999996</v>
      </c>
      <c r="Q16" s="271">
        <f>1.801-P16</f>
        <v>0.97399999999999998</v>
      </c>
      <c r="R16" s="271">
        <f>2.742-Q16-P16</f>
        <v>0.94100000000000006</v>
      </c>
      <c r="S16" s="272">
        <f>16.547-R16-Q16-P16</f>
        <v>13.805</v>
      </c>
      <c r="T16" s="270">
        <v>-0.65600000000000003</v>
      </c>
      <c r="U16" s="271">
        <f>-0.51-T16</f>
        <v>0.14600000000000002</v>
      </c>
      <c r="V16" s="271">
        <f>-0.324-U16-T16</f>
        <v>0.186</v>
      </c>
      <c r="W16" s="272">
        <f>-1.741-V16-U16-T16</f>
        <v>-1.4169999999999998</v>
      </c>
      <c r="X16" s="270">
        <v>-0.25700000000000001</v>
      </c>
      <c r="Y16" s="271">
        <f>-0.3-X16</f>
        <v>-4.2999999999999983E-2</v>
      </c>
      <c r="Z16" s="271">
        <f>-0.313-Y16-X16</f>
        <v>-1.3000000000000012E-2</v>
      </c>
      <c r="AA16" s="272">
        <f>-36.648-Z16-Y16-X16</f>
        <v>-36.335000000000008</v>
      </c>
      <c r="AB16" s="270">
        <v>4.3999999999999997E-2</v>
      </c>
      <c r="AC16" s="271">
        <f>1.239-AB16</f>
        <v>1.1950000000000001</v>
      </c>
      <c r="AD16" s="271">
        <f>1.196-AC16-AB16</f>
        <v>-4.3000000000000108E-2</v>
      </c>
      <c r="AE16" s="272">
        <f>-27.182-AD16-AC16-AB16</f>
        <v>-28.378</v>
      </c>
      <c r="AF16" s="270">
        <v>8.2940000000000005</v>
      </c>
      <c r="AG16" s="271">
        <f>12.43-AF16</f>
        <v>4.1359999999999992</v>
      </c>
      <c r="AH16" s="271">
        <f>23.831-AG16-AF16</f>
        <v>11.401</v>
      </c>
      <c r="AI16" s="272">
        <f>38.543-AH16-AG16-AF16</f>
        <v>14.712</v>
      </c>
      <c r="AJ16" s="270">
        <v>12.79</v>
      </c>
      <c r="AK16" s="271">
        <f>5.205-AJ16</f>
        <v>-7.5849999999999991</v>
      </c>
      <c r="AL16" s="271">
        <f>6.954-AK16-AJ16</f>
        <v>1.7489999999999988</v>
      </c>
      <c r="AM16" s="272">
        <f>12.37-AL16-AK16-AJ16</f>
        <v>5.4160000000000004</v>
      </c>
      <c r="AN16" s="270">
        <v>0.32400000000000001</v>
      </c>
      <c r="AO16" s="271">
        <f>2.218-AN16</f>
        <v>1.8939999999999999</v>
      </c>
      <c r="AP16" s="271">
        <f>2.306-AO16-AN16</f>
        <v>8.8000000000000134E-2</v>
      </c>
      <c r="AQ16" s="272">
        <f>12.906-AP16-AO16-AN16</f>
        <v>10.6</v>
      </c>
      <c r="AR16" s="270">
        <v>1.61</v>
      </c>
      <c r="AS16" s="271">
        <f>-1.3-AR16</f>
        <v>-2.91</v>
      </c>
      <c r="AT16" s="271">
        <f>0.9-AS16-AR16</f>
        <v>2.2000000000000002</v>
      </c>
      <c r="AU16" s="272">
        <f>13.7-AT16-AS16-AR16</f>
        <v>12.8</v>
      </c>
      <c r="AV16" s="270">
        <v>-3.5</v>
      </c>
      <c r="AW16" s="271">
        <f>-0.8-AV16</f>
        <v>2.7</v>
      </c>
      <c r="AX16" s="271">
        <f>1.1-AW16-AV16</f>
        <v>1.9</v>
      </c>
      <c r="AY16" s="272">
        <f>3.3-AX16-AW16-AV16</f>
        <v>2.1999999999999997</v>
      </c>
      <c r="AZ16" s="270">
        <v>-7.2</v>
      </c>
      <c r="BA16" s="271">
        <f>-3.7-AZ16</f>
        <v>3.5</v>
      </c>
      <c r="BB16" s="271">
        <f>-4.7-BA16-AZ16</f>
        <v>-0.99999999999999911</v>
      </c>
      <c r="BC16" s="272">
        <f>-3.9-BB16-BA16-AZ16</f>
        <v>0.79999999999999982</v>
      </c>
      <c r="BD16" s="270">
        <v>2</v>
      </c>
      <c r="BE16" s="271">
        <f>-0.2-BD16</f>
        <v>-2.2000000000000002</v>
      </c>
      <c r="BF16" s="271">
        <f>1.5-BE16-BD16</f>
        <v>1.7000000000000002</v>
      </c>
      <c r="BG16" s="272">
        <f>0-BF16-BE16-BD16</f>
        <v>-1.5</v>
      </c>
      <c r="BH16" s="270">
        <v>1.2</v>
      </c>
      <c r="BI16" s="271">
        <f>0.9-BH16</f>
        <v>-0.29999999999999993</v>
      </c>
      <c r="BJ16" s="271">
        <f>2.8-BI16-BH16</f>
        <v>1.8999999999999997</v>
      </c>
      <c r="BK16" s="272">
        <f>2.2-BJ16-BI16-BH16</f>
        <v>-0.59999999999999953</v>
      </c>
      <c r="BL16" s="270">
        <v>21.4</v>
      </c>
      <c r="BM16" s="273">
        <f>BS!BL19-BS!BM19</f>
        <v>0</v>
      </c>
      <c r="BN16" s="273">
        <f>BS!BM19-BS!BN19</f>
        <v>0</v>
      </c>
      <c r="BO16" s="274">
        <f>BS!BN19-BS!BO19</f>
        <v>0</v>
      </c>
      <c r="BP16" s="273">
        <f>BS!BO19-BS!BP19</f>
        <v>0</v>
      </c>
      <c r="BQ16" s="273">
        <f>BS!BP19-BS!BQ19</f>
        <v>0</v>
      </c>
      <c r="BR16" s="273">
        <f>BS!BQ19-BS!BR19</f>
        <v>0</v>
      </c>
      <c r="BS16" s="273">
        <f>BS!BR19-BS!BS19</f>
        <v>0</v>
      </c>
      <c r="BT16" s="275">
        <f>BS!BS19-BS!BT19</f>
        <v>0</v>
      </c>
      <c r="BU16" s="273">
        <f>BS!BT19-BS!BU19</f>
        <v>0</v>
      </c>
      <c r="BV16" s="273">
        <f>BS!BU19-BS!BV19</f>
        <v>0</v>
      </c>
      <c r="BW16" s="274">
        <f>BS!BV19-BS!BW19</f>
        <v>0</v>
      </c>
      <c r="BX16" s="718"/>
      <c r="BY16" s="273">
        <f t="shared" si="0"/>
        <v>0.35099999999999998</v>
      </c>
      <c r="BZ16" s="273">
        <f t="shared" si="1"/>
        <v>3.0550000000000002</v>
      </c>
      <c r="CA16" s="273">
        <f t="shared" si="2"/>
        <v>3.2530000000000001</v>
      </c>
      <c r="CB16" s="273">
        <f t="shared" si="3"/>
        <v>16.547000000000001</v>
      </c>
      <c r="CC16" s="273">
        <f t="shared" si="4"/>
        <v>-1.7409999999999999</v>
      </c>
      <c r="CD16" s="273">
        <f t="shared" si="5"/>
        <v>-36.64800000000001</v>
      </c>
      <c r="CE16" s="273">
        <f t="shared" si="6"/>
        <v>-27.181999999999999</v>
      </c>
      <c r="CF16" s="273">
        <f t="shared" si="7"/>
        <v>38.542999999999999</v>
      </c>
      <c r="CG16" s="273">
        <f t="shared" si="8"/>
        <v>12.37</v>
      </c>
      <c r="CH16" s="273">
        <f t="shared" si="9"/>
        <v>12.905999999999999</v>
      </c>
      <c r="CI16" s="274">
        <f t="shared" si="10"/>
        <v>13.700000000000001</v>
      </c>
      <c r="CJ16" s="275">
        <f t="shared" si="11"/>
        <v>3.3</v>
      </c>
      <c r="CK16" s="273">
        <f t="shared" si="12"/>
        <v>-3.8999999999999995</v>
      </c>
      <c r="CL16" s="273">
        <f t="shared" si="13"/>
        <v>0</v>
      </c>
      <c r="CM16" s="273">
        <f t="shared" si="14"/>
        <v>2.2000000000000002</v>
      </c>
      <c r="CN16" s="273">
        <f t="shared" si="15"/>
        <v>21.4</v>
      </c>
      <c r="CO16" s="273">
        <f t="shared" si="16"/>
        <v>0</v>
      </c>
      <c r="CP16" s="274">
        <f t="shared" si="17"/>
        <v>0</v>
      </c>
      <c r="CQ16" s="951"/>
      <c r="CR16" s="275">
        <f t="shared" si="18"/>
        <v>2.1160000000000005</v>
      </c>
      <c r="CS16" s="273">
        <f t="shared" si="19"/>
        <v>15.063999999999998</v>
      </c>
      <c r="CT16" s="273">
        <f t="shared" si="20"/>
        <v>-1.3419999999999996</v>
      </c>
      <c r="CU16" s="273">
        <f t="shared" si="21"/>
        <v>-36.347000000000008</v>
      </c>
      <c r="CV16" s="273">
        <f t="shared" si="22"/>
        <v>-18.931999999999999</v>
      </c>
      <c r="CW16" s="273">
        <f t="shared" si="23"/>
        <v>43.039000000000001</v>
      </c>
      <c r="CX16" s="273">
        <f t="shared" si="24"/>
        <v>-9.5999999999999919E-2</v>
      </c>
      <c r="CY16" s="273">
        <f t="shared" si="25"/>
        <v>14.191999999999998</v>
      </c>
      <c r="CZ16" s="273">
        <f t="shared" si="26"/>
        <v>8.59</v>
      </c>
      <c r="DA16" s="273">
        <f t="shared" si="27"/>
        <v>-0.40000000000000124</v>
      </c>
      <c r="DB16" s="273">
        <f t="shared" si="28"/>
        <v>5.3000000000000007</v>
      </c>
      <c r="DC16" s="273">
        <f t="shared" si="29"/>
        <v>-0.8</v>
      </c>
      <c r="DD16" s="273">
        <f t="shared" si="34"/>
        <v>22.4</v>
      </c>
      <c r="DE16" s="273">
        <f t="shared" si="30"/>
        <v>0</v>
      </c>
      <c r="DF16" s="274">
        <f t="shared" si="31"/>
        <v>0</v>
      </c>
      <c r="DG16" s="110"/>
      <c r="DH16" s="110"/>
      <c r="DI16" s="110"/>
      <c r="DJ16" s="110"/>
      <c r="DK16"/>
      <c r="DL16"/>
      <c r="DM16"/>
      <c r="DN16"/>
      <c r="DO16"/>
      <c r="DP16"/>
    </row>
    <row r="17" spans="2:122" s="109" customFormat="1" ht="14.25">
      <c r="B17" s="268" t="s">
        <v>263</v>
      </c>
      <c r="C17" s="269"/>
      <c r="D17" s="270">
        <v>0</v>
      </c>
      <c r="E17" s="271">
        <f>0-D17</f>
        <v>0</v>
      </c>
      <c r="F17" s="271">
        <f>0-E17-D17</f>
        <v>0</v>
      </c>
      <c r="G17" s="272">
        <f>0-F17-E17-D17</f>
        <v>0</v>
      </c>
      <c r="H17" s="270">
        <v>0</v>
      </c>
      <c r="I17" s="271">
        <f>0-H17</f>
        <v>0</v>
      </c>
      <c r="J17" s="271">
        <f>0-I17-H17</f>
        <v>0</v>
      </c>
      <c r="K17" s="272">
        <f>0-J17-I17-H17</f>
        <v>0</v>
      </c>
      <c r="L17" s="270">
        <v>0</v>
      </c>
      <c r="M17" s="271">
        <f>0-L17</f>
        <v>0</v>
      </c>
      <c r="N17" s="271">
        <f>0-M17-L17</f>
        <v>0</v>
      </c>
      <c r="O17" s="272">
        <f>0-N17-M17-L17</f>
        <v>0</v>
      </c>
      <c r="P17" s="270">
        <v>0</v>
      </c>
      <c r="Q17" s="271">
        <f>0-P17</f>
        <v>0</v>
      </c>
      <c r="R17" s="271">
        <f>0-Q17-P17</f>
        <v>0</v>
      </c>
      <c r="S17" s="272">
        <f>0-R17-Q17-P17</f>
        <v>0</v>
      </c>
      <c r="T17" s="270">
        <v>0</v>
      </c>
      <c r="U17" s="271">
        <f>0-T17</f>
        <v>0</v>
      </c>
      <c r="V17" s="271">
        <f>0-U17-T17</f>
        <v>0</v>
      </c>
      <c r="W17" s="272">
        <f>0-V17-U17-T17</f>
        <v>0</v>
      </c>
      <c r="X17" s="270">
        <v>0</v>
      </c>
      <c r="Y17" s="271">
        <f>0-X17</f>
        <v>0</v>
      </c>
      <c r="Z17" s="271">
        <f>0-Y17-X17</f>
        <v>0</v>
      </c>
      <c r="AA17" s="272">
        <f>0-Z17-Y17-X17</f>
        <v>0</v>
      </c>
      <c r="AB17" s="270">
        <v>0</v>
      </c>
      <c r="AC17" s="271">
        <f>0-AB17</f>
        <v>0</v>
      </c>
      <c r="AD17" s="271">
        <f>0-AC17-AB17</f>
        <v>0</v>
      </c>
      <c r="AE17" s="272">
        <f>0-AD17-AC17-AB17</f>
        <v>0</v>
      </c>
      <c r="AF17" s="270">
        <v>0</v>
      </c>
      <c r="AG17" s="271">
        <f>0-AF17</f>
        <v>0</v>
      </c>
      <c r="AH17" s="271">
        <f>0-AG17-AF17</f>
        <v>0</v>
      </c>
      <c r="AI17" s="272">
        <f>-6.287-AH17-AG17-AF17</f>
        <v>-6.2869999999999999</v>
      </c>
      <c r="AJ17" s="270">
        <v>-7.0350000000000001</v>
      </c>
      <c r="AK17" s="271">
        <f>-10.887-AJ17</f>
        <v>-3.8520000000000003</v>
      </c>
      <c r="AL17" s="271">
        <f>-12.074-AK17-AJ17</f>
        <v>-1.1869999999999994</v>
      </c>
      <c r="AM17" s="272">
        <f>-12.49-AL17-AK17-AJ17</f>
        <v>-0.41600000000000037</v>
      </c>
      <c r="AN17" s="270">
        <v>-5.3259999999999996</v>
      </c>
      <c r="AO17" s="271">
        <f>-5.363-AN17</f>
        <v>-3.700000000000081E-2</v>
      </c>
      <c r="AP17" s="271">
        <f>-8.909-AO17-AN17</f>
        <v>-3.5460000000000003</v>
      </c>
      <c r="AQ17" s="272">
        <f>-6.814-AP17-AO17-AN17</f>
        <v>2.0950000000000006</v>
      </c>
      <c r="AR17" s="270">
        <v>-3.06</v>
      </c>
      <c r="AS17" s="271">
        <f>-5.5-AR17</f>
        <v>-2.44</v>
      </c>
      <c r="AT17" s="271">
        <f>-5.3-AS17-AR17</f>
        <v>0.20000000000000018</v>
      </c>
      <c r="AU17" s="272">
        <f>-10.8-AT17-AS17-AR17</f>
        <v>-5.5</v>
      </c>
      <c r="AV17" s="270">
        <v>-11.7</v>
      </c>
      <c r="AW17" s="271">
        <f>-23.9-AV17</f>
        <v>-12.2</v>
      </c>
      <c r="AX17" s="271">
        <f>-38.3-AW17-AV17</f>
        <v>-14.399999999999999</v>
      </c>
      <c r="AY17" s="272">
        <f>-40.8-AX17-AW17-AV17</f>
        <v>-2.5</v>
      </c>
      <c r="AZ17" s="270">
        <v>-29.4</v>
      </c>
      <c r="BA17" s="271">
        <f>-40.7-AZ17</f>
        <v>-11.300000000000004</v>
      </c>
      <c r="BB17" s="271">
        <f>-50.2-BA17-AZ17</f>
        <v>-9.5</v>
      </c>
      <c r="BC17" s="272">
        <f>-57.3-BB17-BA17-AZ17</f>
        <v>-7.0999999999999943</v>
      </c>
      <c r="BD17" s="270">
        <v>-37.299999999999997</v>
      </c>
      <c r="BE17" s="271">
        <f>-41.6-BD17</f>
        <v>-4.3000000000000043</v>
      </c>
      <c r="BF17" s="271">
        <f>-45.1-BE17-BD17</f>
        <v>-3.5</v>
      </c>
      <c r="BG17" s="272">
        <f>-43.7-BF17-BE17-BD17</f>
        <v>1.3999999999999986</v>
      </c>
      <c r="BH17" s="270">
        <v>-21.5</v>
      </c>
      <c r="BI17" s="271">
        <f>-28.2-BH17</f>
        <v>-6.6999999999999993</v>
      </c>
      <c r="BJ17" s="271">
        <f>-35.4-BI17-BH17</f>
        <v>-7.1999999999999993</v>
      </c>
      <c r="BK17" s="272">
        <f>-40.8-BJ17-BI17-BH17</f>
        <v>-5.399999999999995</v>
      </c>
      <c r="BL17" s="270">
        <v>0</v>
      </c>
      <c r="BM17" s="273">
        <f t="shared" ref="BM17:BO20" si="41">BL17</f>
        <v>0</v>
      </c>
      <c r="BN17" s="273">
        <f t="shared" si="41"/>
        <v>0</v>
      </c>
      <c r="BO17" s="274">
        <f t="shared" si="41"/>
        <v>0</v>
      </c>
      <c r="BP17" s="273">
        <f t="shared" ref="BP17:BS20" si="42">BO17</f>
        <v>0</v>
      </c>
      <c r="BQ17" s="273">
        <f t="shared" si="42"/>
        <v>0</v>
      </c>
      <c r="BR17" s="273">
        <f t="shared" si="42"/>
        <v>0</v>
      </c>
      <c r="BS17" s="273">
        <f t="shared" si="42"/>
        <v>0</v>
      </c>
      <c r="BT17" s="275">
        <f t="shared" ref="BT17:BT20" si="43">BS17</f>
        <v>0</v>
      </c>
      <c r="BU17" s="273">
        <f t="shared" ref="BU17:BU20" si="44">BT17</f>
        <v>0</v>
      </c>
      <c r="BV17" s="273">
        <f t="shared" ref="BV17:BV20" si="45">BU17</f>
        <v>0</v>
      </c>
      <c r="BW17" s="273">
        <f t="shared" ref="BW17:BW20" si="46">BV17</f>
        <v>0</v>
      </c>
      <c r="BX17" s="718"/>
      <c r="BY17" s="273">
        <f t="shared" si="0"/>
        <v>0</v>
      </c>
      <c r="BZ17" s="273">
        <f t="shared" si="1"/>
        <v>0</v>
      </c>
      <c r="CA17" s="273">
        <f t="shared" si="2"/>
        <v>0</v>
      </c>
      <c r="CB17" s="273">
        <f t="shared" si="3"/>
        <v>0</v>
      </c>
      <c r="CC17" s="273">
        <f t="shared" si="4"/>
        <v>0</v>
      </c>
      <c r="CD17" s="273">
        <f t="shared" si="5"/>
        <v>0</v>
      </c>
      <c r="CE17" s="273">
        <f t="shared" si="6"/>
        <v>0</v>
      </c>
      <c r="CF17" s="273">
        <f t="shared" si="7"/>
        <v>-6.2869999999999999</v>
      </c>
      <c r="CG17" s="273">
        <f t="shared" si="8"/>
        <v>-12.49</v>
      </c>
      <c r="CH17" s="273">
        <f t="shared" si="9"/>
        <v>-6.8140000000000001</v>
      </c>
      <c r="CI17" s="274">
        <f t="shared" si="10"/>
        <v>-10.8</v>
      </c>
      <c r="CJ17" s="275">
        <f t="shared" si="11"/>
        <v>-40.799999999999997</v>
      </c>
      <c r="CK17" s="273">
        <f t="shared" si="12"/>
        <v>-57.3</v>
      </c>
      <c r="CL17" s="273">
        <f t="shared" si="13"/>
        <v>-43.7</v>
      </c>
      <c r="CM17" s="273">
        <f t="shared" si="14"/>
        <v>-40.799999999999997</v>
      </c>
      <c r="CN17" s="273">
        <f t="shared" si="15"/>
        <v>0</v>
      </c>
      <c r="CO17" s="273">
        <f t="shared" si="16"/>
        <v>0</v>
      </c>
      <c r="CP17" s="274">
        <f t="shared" si="17"/>
        <v>0</v>
      </c>
      <c r="CQ17" s="951"/>
      <c r="CR17" s="275"/>
      <c r="CS17" s="273"/>
      <c r="CT17" s="273"/>
      <c r="CU17" s="273"/>
      <c r="CV17" s="273"/>
      <c r="CW17" s="273">
        <f t="shared" si="23"/>
        <v>-13.321999999999999</v>
      </c>
      <c r="CX17" s="273">
        <f t="shared" si="24"/>
        <v>-10.780999999999999</v>
      </c>
      <c r="CY17" s="273">
        <f t="shared" si="25"/>
        <v>-4.548</v>
      </c>
      <c r="CZ17" s="273">
        <f t="shared" si="26"/>
        <v>-19.439999999999998</v>
      </c>
      <c r="DA17" s="273">
        <f t="shared" si="27"/>
        <v>-58.5</v>
      </c>
      <c r="DB17" s="273">
        <f t="shared" si="28"/>
        <v>-65.199999999999989</v>
      </c>
      <c r="DC17" s="273">
        <f t="shared" si="29"/>
        <v>-27.900000000000006</v>
      </c>
      <c r="DD17" s="273">
        <f t="shared" si="34"/>
        <v>-19.299999999999994</v>
      </c>
      <c r="DE17" s="273">
        <f t="shared" si="30"/>
        <v>0</v>
      </c>
      <c r="DF17" s="274">
        <f t="shared" si="31"/>
        <v>0</v>
      </c>
      <c r="DG17" s="110"/>
      <c r="DH17" s="110"/>
      <c r="DI17" s="110"/>
      <c r="DJ17" s="110"/>
      <c r="DK17"/>
      <c r="DL17"/>
      <c r="DM17"/>
      <c r="DN17"/>
      <c r="DO17"/>
      <c r="DP17"/>
    </row>
    <row r="18" spans="2:122" s="109" customFormat="1" ht="14.25">
      <c r="B18" s="268" t="s">
        <v>209</v>
      </c>
      <c r="C18" s="269"/>
      <c r="D18" s="270">
        <v>5.1999999999999998E-2</v>
      </c>
      <c r="E18" s="271">
        <f>0.229-D18</f>
        <v>0.17700000000000002</v>
      </c>
      <c r="F18" s="271">
        <f>-0.619-E18-D18</f>
        <v>-0.84800000000000009</v>
      </c>
      <c r="G18" s="272">
        <f>1.802-F18-E18-D18</f>
        <v>2.4210000000000003</v>
      </c>
      <c r="H18" s="270">
        <v>5.6000000000000001E-2</v>
      </c>
      <c r="I18" s="271">
        <f>0.336-H18</f>
        <v>0.28000000000000003</v>
      </c>
      <c r="J18" s="271">
        <f>0.219-I18-H18</f>
        <v>-0.11700000000000002</v>
      </c>
      <c r="K18" s="272">
        <f>0.034-J18-I18-H18</f>
        <v>-0.185</v>
      </c>
      <c r="L18" s="270">
        <v>0</v>
      </c>
      <c r="M18" s="271">
        <f>-0.084-L18</f>
        <v>-8.4000000000000005E-2</v>
      </c>
      <c r="N18" s="271">
        <f>-0.067-M18-L18</f>
        <v>1.7000000000000001E-2</v>
      </c>
      <c r="O18" s="272">
        <f>0.028-N18-M18-L18</f>
        <v>9.5000000000000001E-2</v>
      </c>
      <c r="P18" s="270">
        <v>-0.76400000000000001</v>
      </c>
      <c r="Q18" s="271">
        <f>-0.76-P18</f>
        <v>4.0000000000000036E-3</v>
      </c>
      <c r="R18" s="271">
        <f>-0.243-Q18-P18</f>
        <v>0.51700000000000002</v>
      </c>
      <c r="S18" s="272">
        <f>0.073-R18-Q18-P18</f>
        <v>0.316</v>
      </c>
      <c r="T18" s="270">
        <v>0.01</v>
      </c>
      <c r="U18" s="271">
        <f>0.209-T18</f>
        <v>0.19899999999999998</v>
      </c>
      <c r="V18" s="271">
        <f>0.226-U18-T18</f>
        <v>1.7000000000000022E-2</v>
      </c>
      <c r="W18" s="272">
        <f>0.227-V18-U18-T18</f>
        <v>1.0000000000000096E-3</v>
      </c>
      <c r="X18" s="270">
        <v>6.0000000000000001E-3</v>
      </c>
      <c r="Y18" s="271">
        <f>0.058-X18</f>
        <v>5.2000000000000005E-2</v>
      </c>
      <c r="Z18" s="271">
        <f>0.292-Y18-X18</f>
        <v>0.23399999999999999</v>
      </c>
      <c r="AA18" s="272">
        <f>0.276-Z18-Y18-X18</f>
        <v>-1.5999999999999966E-2</v>
      </c>
      <c r="AB18" s="270">
        <v>1E-3</v>
      </c>
      <c r="AC18" s="271">
        <f>0.047-AB18</f>
        <v>4.5999999999999999E-2</v>
      </c>
      <c r="AD18" s="271">
        <f>0.228-AC18-AB18</f>
        <v>0.18099999999999999</v>
      </c>
      <c r="AE18" s="272">
        <f>0.411-AD18-AC18-AB18</f>
        <v>0.183</v>
      </c>
      <c r="AF18" s="270">
        <v>7.1999999999999995E-2</v>
      </c>
      <c r="AG18" s="271">
        <f>0.096-AF18</f>
        <v>2.4000000000000007E-2</v>
      </c>
      <c r="AH18" s="271">
        <f>0.263-AG18-AF18</f>
        <v>0.16699999999999998</v>
      </c>
      <c r="AI18" s="272">
        <f>0.292-AH18-AG18-AF18</f>
        <v>2.8999999999999998E-2</v>
      </c>
      <c r="AJ18" s="270">
        <v>0</v>
      </c>
      <c r="AK18" s="271">
        <f>0.028-AJ18</f>
        <v>2.8000000000000001E-2</v>
      </c>
      <c r="AL18" s="271">
        <f>0.206-AK18-AJ18</f>
        <v>0.17799999999999999</v>
      </c>
      <c r="AM18" s="272">
        <f>0.234-AL18-AK18-AJ18</f>
        <v>2.8000000000000021E-2</v>
      </c>
      <c r="AN18" s="270">
        <v>0.115</v>
      </c>
      <c r="AO18" s="271">
        <f>0.455-AN18</f>
        <v>0.34</v>
      </c>
      <c r="AP18" s="271">
        <f>0-AO18-AN18</f>
        <v>-0.45500000000000002</v>
      </c>
      <c r="AQ18" s="272">
        <f>0-AP18-AO18-AN18</f>
        <v>0</v>
      </c>
      <c r="AR18" s="270">
        <v>0</v>
      </c>
      <c r="AS18" s="271">
        <f>0-AR18</f>
        <v>0</v>
      </c>
      <c r="AT18" s="271">
        <f>0-AS18-AR18</f>
        <v>0</v>
      </c>
      <c r="AU18" s="272">
        <f>0-AT18-AS18-AR18</f>
        <v>0</v>
      </c>
      <c r="AV18" s="270">
        <v>0</v>
      </c>
      <c r="AW18" s="271">
        <f>0-AV18</f>
        <v>0</v>
      </c>
      <c r="AX18" s="271">
        <f>0-AW18-AV18</f>
        <v>0</v>
      </c>
      <c r="AY18" s="272">
        <f>0-AX18-AW18-AV18</f>
        <v>0</v>
      </c>
      <c r="AZ18" s="270">
        <v>0</v>
      </c>
      <c r="BA18" s="271">
        <f>0-AZ18</f>
        <v>0</v>
      </c>
      <c r="BB18" s="271">
        <f>0-BA18-AZ18</f>
        <v>0</v>
      </c>
      <c r="BC18" s="272">
        <f>0-BB18-BA18-AZ18</f>
        <v>0</v>
      </c>
      <c r="BD18" s="270">
        <v>0</v>
      </c>
      <c r="BE18" s="271">
        <f>0-BD18</f>
        <v>0</v>
      </c>
      <c r="BF18" s="271">
        <f>0-BE18-BD18</f>
        <v>0</v>
      </c>
      <c r="BG18" s="272">
        <f>0-BF18-BE18-BD18</f>
        <v>0</v>
      </c>
      <c r="BH18" s="270">
        <v>0</v>
      </c>
      <c r="BI18" s="271">
        <f>0-BH18</f>
        <v>0</v>
      </c>
      <c r="BJ18" s="271">
        <f>0-BI18-BH18</f>
        <v>0</v>
      </c>
      <c r="BK18" s="272">
        <f>0-BJ18-BI18-BH18</f>
        <v>0</v>
      </c>
      <c r="BL18" s="270">
        <v>0</v>
      </c>
      <c r="BM18" s="273">
        <f t="shared" si="41"/>
        <v>0</v>
      </c>
      <c r="BN18" s="273">
        <f t="shared" si="41"/>
        <v>0</v>
      </c>
      <c r="BO18" s="274">
        <f t="shared" si="41"/>
        <v>0</v>
      </c>
      <c r="BP18" s="273">
        <f t="shared" si="42"/>
        <v>0</v>
      </c>
      <c r="BQ18" s="273">
        <f t="shared" si="42"/>
        <v>0</v>
      </c>
      <c r="BR18" s="273">
        <f t="shared" si="42"/>
        <v>0</v>
      </c>
      <c r="BS18" s="273">
        <f t="shared" si="42"/>
        <v>0</v>
      </c>
      <c r="BT18" s="275">
        <f t="shared" si="43"/>
        <v>0</v>
      </c>
      <c r="BU18" s="273">
        <f t="shared" si="44"/>
        <v>0</v>
      </c>
      <c r="BV18" s="273">
        <f t="shared" si="45"/>
        <v>0</v>
      </c>
      <c r="BW18" s="274">
        <f t="shared" si="46"/>
        <v>0</v>
      </c>
      <c r="BX18" s="718"/>
      <c r="BY18" s="273">
        <f t="shared" si="0"/>
        <v>1.802</v>
      </c>
      <c r="BZ18" s="273">
        <f t="shared" si="1"/>
        <v>3.4000000000000002E-2</v>
      </c>
      <c r="CA18" s="273">
        <f t="shared" si="2"/>
        <v>2.7999999999999997E-2</v>
      </c>
      <c r="CB18" s="273">
        <f t="shared" si="3"/>
        <v>7.3000000000000009E-2</v>
      </c>
      <c r="CC18" s="273">
        <f t="shared" si="4"/>
        <v>0.22700000000000001</v>
      </c>
      <c r="CD18" s="273">
        <f t="shared" si="5"/>
        <v>0.27600000000000002</v>
      </c>
      <c r="CE18" s="273">
        <f t="shared" si="6"/>
        <v>0.41099999999999998</v>
      </c>
      <c r="CF18" s="273">
        <f t="shared" si="7"/>
        <v>0.29200000000000004</v>
      </c>
      <c r="CG18" s="273">
        <f t="shared" si="8"/>
        <v>0.23400000000000001</v>
      </c>
      <c r="CH18" s="273">
        <f t="shared" si="9"/>
        <v>0</v>
      </c>
      <c r="CI18" s="274">
        <f t="shared" si="10"/>
        <v>0</v>
      </c>
      <c r="CJ18" s="275">
        <f t="shared" si="11"/>
        <v>0</v>
      </c>
      <c r="CK18" s="273">
        <f t="shared" si="12"/>
        <v>0</v>
      </c>
      <c r="CL18" s="273">
        <f t="shared" si="13"/>
        <v>0</v>
      </c>
      <c r="CM18" s="273">
        <f t="shared" si="14"/>
        <v>0</v>
      </c>
      <c r="CN18" s="273">
        <f t="shared" si="15"/>
        <v>0</v>
      </c>
      <c r="CO18" s="273">
        <f t="shared" si="16"/>
        <v>0</v>
      </c>
      <c r="CP18" s="274">
        <f t="shared" si="17"/>
        <v>0</v>
      </c>
      <c r="CQ18" s="951"/>
      <c r="CR18" s="275">
        <f>SUM(M18:P18)</f>
        <v>-0.73599999999999999</v>
      </c>
      <c r="CS18" s="273">
        <f>SUM(Q18:T18)</f>
        <v>0.84699999999999998</v>
      </c>
      <c r="CT18" s="273">
        <f>SUM(U18:X18)</f>
        <v>0.223</v>
      </c>
      <c r="CU18" s="273">
        <f>SUM(Y18:AB18)</f>
        <v>0.27100000000000002</v>
      </c>
      <c r="CV18" s="273">
        <f>SUM(AC18:AF18)</f>
        <v>0.48199999999999998</v>
      </c>
      <c r="CW18" s="273">
        <f t="shared" si="23"/>
        <v>0.22</v>
      </c>
      <c r="CX18" s="273">
        <f t="shared" si="24"/>
        <v>0.34900000000000003</v>
      </c>
      <c r="CY18" s="273">
        <f t="shared" si="25"/>
        <v>-0.11499999999999999</v>
      </c>
      <c r="CZ18" s="273">
        <f t="shared" si="26"/>
        <v>0</v>
      </c>
      <c r="DA18" s="273">
        <f t="shared" si="27"/>
        <v>0</v>
      </c>
      <c r="DB18" s="273">
        <f t="shared" si="28"/>
        <v>0</v>
      </c>
      <c r="DC18" s="273">
        <f t="shared" si="29"/>
        <v>0</v>
      </c>
      <c r="DD18" s="273">
        <f t="shared" si="34"/>
        <v>0</v>
      </c>
      <c r="DE18" s="273">
        <f t="shared" si="30"/>
        <v>0</v>
      </c>
      <c r="DF18" s="274">
        <f t="shared" si="31"/>
        <v>0</v>
      </c>
      <c r="DG18" s="110"/>
      <c r="DH18" s="110"/>
      <c r="DI18" s="110"/>
      <c r="DJ18" s="110"/>
      <c r="DK18"/>
      <c r="DL18"/>
      <c r="DM18"/>
      <c r="DN18"/>
      <c r="DO18"/>
      <c r="DP18"/>
    </row>
    <row r="19" spans="2:122" s="109" customFormat="1" ht="14.25">
      <c r="B19" s="268" t="s">
        <v>210</v>
      </c>
      <c r="C19" s="269"/>
      <c r="D19" s="270">
        <v>0</v>
      </c>
      <c r="E19" s="271">
        <f>0-D19</f>
        <v>0</v>
      </c>
      <c r="F19" s="271">
        <f>0-E19-D19</f>
        <v>0</v>
      </c>
      <c r="G19" s="272">
        <f>0-F19-E19-D19</f>
        <v>0</v>
      </c>
      <c r="H19" s="270">
        <v>0</v>
      </c>
      <c r="I19" s="271">
        <f>0-H19</f>
        <v>0</v>
      </c>
      <c r="J19" s="271">
        <f>0-I19-H19</f>
        <v>0</v>
      </c>
      <c r="K19" s="272">
        <f>0-J19-I19-H19</f>
        <v>0</v>
      </c>
      <c r="L19" s="270">
        <v>0.56399999999999995</v>
      </c>
      <c r="M19" s="271">
        <f>0.668-L19</f>
        <v>0.10400000000000009</v>
      </c>
      <c r="N19" s="271">
        <f>-0.512-M19-L19</f>
        <v>-1.1800000000000002</v>
      </c>
      <c r="O19" s="272">
        <f>5.127-N19-M19-L19</f>
        <v>5.6390000000000002</v>
      </c>
      <c r="P19" s="270">
        <v>0.114</v>
      </c>
      <c r="Q19" s="271">
        <f>0.161-P19</f>
        <v>4.7E-2</v>
      </c>
      <c r="R19" s="271">
        <f>0.51-Q19-P19</f>
        <v>0.34900000000000003</v>
      </c>
      <c r="S19" s="272">
        <f>31.206-R19-Q19-P19</f>
        <v>30.695999999999998</v>
      </c>
      <c r="T19" s="270">
        <v>-0.16500000000000001</v>
      </c>
      <c r="U19" s="271">
        <f>-0.198-T19</f>
        <v>-3.3000000000000002E-2</v>
      </c>
      <c r="V19" s="271">
        <f>1.725-U19-T19</f>
        <v>1.923</v>
      </c>
      <c r="W19" s="272">
        <f>2.203-V19-U19-T19</f>
        <v>0.47799999999999987</v>
      </c>
      <c r="X19" s="270">
        <v>-5.8000000000000003E-2</v>
      </c>
      <c r="Y19" s="271">
        <f>0.241-X19</f>
        <v>0.29899999999999999</v>
      </c>
      <c r="Z19" s="271">
        <f>-0.048-Y19-X19</f>
        <v>-0.28899999999999998</v>
      </c>
      <c r="AA19" s="272">
        <f>-0.614-Z19-Y19-X19</f>
        <v>-0.56599999999999995</v>
      </c>
      <c r="AB19" s="270">
        <v>2.4E-2</v>
      </c>
      <c r="AC19" s="271">
        <f>0.584-AB19</f>
        <v>0.55999999999999994</v>
      </c>
      <c r="AD19" s="271">
        <f>0.779-AC19-AB19</f>
        <v>0.19500000000000009</v>
      </c>
      <c r="AE19" s="272">
        <f>1.797-AD19-AC19-AB19</f>
        <v>1.0179999999999998</v>
      </c>
      <c r="AF19" s="270">
        <v>0.14099999999999999</v>
      </c>
      <c r="AG19" s="271">
        <f>0.26-AF19</f>
        <v>0.11900000000000002</v>
      </c>
      <c r="AH19" s="271">
        <f>0.554-AG19-AF19</f>
        <v>0.29400000000000004</v>
      </c>
      <c r="AI19" s="272">
        <f>0.703-AH19-AG19-AF19</f>
        <v>0.14899999999999994</v>
      </c>
      <c r="AJ19" s="270">
        <v>-6.8000000000000005E-2</v>
      </c>
      <c r="AK19" s="271">
        <f>-0.012-AJ19</f>
        <v>5.6000000000000008E-2</v>
      </c>
      <c r="AL19" s="271">
        <f>0.103-AK19-AJ19</f>
        <v>0.11499999999999999</v>
      </c>
      <c r="AM19" s="272">
        <f>-0.22-AL19-AK19-AJ19</f>
        <v>-0.32299999999999995</v>
      </c>
      <c r="AN19" s="270">
        <v>-4.4999999999999998E-2</v>
      </c>
      <c r="AO19" s="271">
        <f>0-AN19</f>
        <v>4.4999999999999998E-2</v>
      </c>
      <c r="AP19" s="271">
        <f>0-AO19-AN19</f>
        <v>0</v>
      </c>
      <c r="AQ19" s="272">
        <f>0-AP19-AO19-AN19</f>
        <v>0</v>
      </c>
      <c r="AR19" s="270">
        <v>0</v>
      </c>
      <c r="AS19" s="271">
        <f>0-AR19</f>
        <v>0</v>
      </c>
      <c r="AT19" s="271">
        <f>0-AS19-AR19</f>
        <v>0</v>
      </c>
      <c r="AU19" s="272">
        <f>0-AT19-AS19-AR19</f>
        <v>0</v>
      </c>
      <c r="AV19" s="270">
        <v>0</v>
      </c>
      <c r="AW19" s="271">
        <f>0-AV19</f>
        <v>0</v>
      </c>
      <c r="AX19" s="271">
        <f>0-AW19-AV19</f>
        <v>0</v>
      </c>
      <c r="AY19" s="272">
        <f>0-AX19-AW19-AV19</f>
        <v>0</v>
      </c>
      <c r="AZ19" s="270">
        <v>0</v>
      </c>
      <c r="BA19" s="271">
        <f>0-AZ19</f>
        <v>0</v>
      </c>
      <c r="BB19" s="271">
        <f>0-BA19-AZ19</f>
        <v>0</v>
      </c>
      <c r="BC19" s="272">
        <f>0-BB19-BA19-AZ19</f>
        <v>0</v>
      </c>
      <c r="BD19" s="270">
        <v>0</v>
      </c>
      <c r="BE19" s="271">
        <f>0-BD19</f>
        <v>0</v>
      </c>
      <c r="BF19" s="271">
        <f>0-BE19-BD19</f>
        <v>0</v>
      </c>
      <c r="BG19" s="272">
        <f>0-BF19-BE19-BD19</f>
        <v>0</v>
      </c>
      <c r="BH19" s="270">
        <v>0</v>
      </c>
      <c r="BI19" s="271">
        <f>0-BH19</f>
        <v>0</v>
      </c>
      <c r="BJ19" s="271">
        <f>0-BI19-BH19</f>
        <v>0</v>
      </c>
      <c r="BK19" s="272">
        <f>0-BJ19-BI19-BH19</f>
        <v>0</v>
      </c>
      <c r="BL19" s="270">
        <v>0</v>
      </c>
      <c r="BM19" s="273">
        <f t="shared" si="41"/>
        <v>0</v>
      </c>
      <c r="BN19" s="273">
        <f t="shared" si="41"/>
        <v>0</v>
      </c>
      <c r="BO19" s="274">
        <f t="shared" si="41"/>
        <v>0</v>
      </c>
      <c r="BP19" s="273">
        <f t="shared" si="42"/>
        <v>0</v>
      </c>
      <c r="BQ19" s="273">
        <f t="shared" si="42"/>
        <v>0</v>
      </c>
      <c r="BR19" s="273">
        <f t="shared" si="42"/>
        <v>0</v>
      </c>
      <c r="BS19" s="273">
        <f t="shared" si="42"/>
        <v>0</v>
      </c>
      <c r="BT19" s="275">
        <f t="shared" si="43"/>
        <v>0</v>
      </c>
      <c r="BU19" s="273">
        <f t="shared" si="44"/>
        <v>0</v>
      </c>
      <c r="BV19" s="273">
        <f t="shared" si="45"/>
        <v>0</v>
      </c>
      <c r="BW19" s="274">
        <f t="shared" si="46"/>
        <v>0</v>
      </c>
      <c r="BX19" s="718"/>
      <c r="BY19" s="273">
        <f t="shared" si="0"/>
        <v>0</v>
      </c>
      <c r="BZ19" s="273">
        <f t="shared" si="1"/>
        <v>0</v>
      </c>
      <c r="CA19" s="273">
        <f t="shared" si="2"/>
        <v>5.1269999999999998</v>
      </c>
      <c r="CB19" s="273">
        <f t="shared" si="3"/>
        <v>31.206</v>
      </c>
      <c r="CC19" s="273">
        <f t="shared" si="4"/>
        <v>2.2029999999999998</v>
      </c>
      <c r="CD19" s="273">
        <f t="shared" si="5"/>
        <v>-0.61399999999999988</v>
      </c>
      <c r="CE19" s="273">
        <f t="shared" si="6"/>
        <v>1.7969999999999997</v>
      </c>
      <c r="CF19" s="273">
        <f t="shared" si="7"/>
        <v>0.70299999999999996</v>
      </c>
      <c r="CG19" s="273">
        <f t="shared" si="8"/>
        <v>-0.21999999999999997</v>
      </c>
      <c r="CH19" s="273">
        <f t="shared" si="9"/>
        <v>0</v>
      </c>
      <c r="CI19" s="274">
        <f t="shared" si="10"/>
        <v>0</v>
      </c>
      <c r="CJ19" s="275">
        <f t="shared" si="11"/>
        <v>0</v>
      </c>
      <c r="CK19" s="273">
        <f t="shared" si="12"/>
        <v>0</v>
      </c>
      <c r="CL19" s="273">
        <f t="shared" si="13"/>
        <v>0</v>
      </c>
      <c r="CM19" s="273">
        <f t="shared" si="14"/>
        <v>0</v>
      </c>
      <c r="CN19" s="273">
        <f t="shared" si="15"/>
        <v>0</v>
      </c>
      <c r="CO19" s="273">
        <f t="shared" si="16"/>
        <v>0</v>
      </c>
      <c r="CP19" s="274">
        <f t="shared" si="17"/>
        <v>0</v>
      </c>
      <c r="CQ19" s="951"/>
      <c r="CR19" s="275">
        <f>SUM(M19:P19)</f>
        <v>4.6770000000000005</v>
      </c>
      <c r="CS19" s="273">
        <f>SUM(Q19:T19)</f>
        <v>30.927</v>
      </c>
      <c r="CT19" s="273">
        <f>SUM(U19:X19)</f>
        <v>2.31</v>
      </c>
      <c r="CU19" s="273">
        <f>SUM(Y19:AB19)</f>
        <v>-0.53199999999999992</v>
      </c>
      <c r="CV19" s="273">
        <f>SUM(AC19:AF19)</f>
        <v>1.9139999999999997</v>
      </c>
      <c r="CW19" s="273">
        <f t="shared" si="23"/>
        <v>0.49399999999999994</v>
      </c>
      <c r="CX19" s="273">
        <f t="shared" si="24"/>
        <v>-0.19699999999999995</v>
      </c>
      <c r="CY19" s="273">
        <f t="shared" si="25"/>
        <v>4.4999999999999998E-2</v>
      </c>
      <c r="CZ19" s="273">
        <f t="shared" si="26"/>
        <v>0</v>
      </c>
      <c r="DA19" s="273">
        <f t="shared" si="27"/>
        <v>0</v>
      </c>
      <c r="DB19" s="273">
        <f t="shared" si="28"/>
        <v>0</v>
      </c>
      <c r="DC19" s="273">
        <f t="shared" si="29"/>
        <v>0</v>
      </c>
      <c r="DD19" s="273">
        <f t="shared" si="34"/>
        <v>0</v>
      </c>
      <c r="DE19" s="273">
        <f t="shared" si="30"/>
        <v>0</v>
      </c>
      <c r="DF19" s="274">
        <f t="shared" si="31"/>
        <v>0</v>
      </c>
      <c r="DG19" s="110"/>
      <c r="DH19" s="110"/>
      <c r="DI19" s="110"/>
      <c r="DJ19" s="110"/>
      <c r="DK19"/>
      <c r="DL19"/>
      <c r="DM19"/>
      <c r="DN19"/>
      <c r="DO19"/>
      <c r="DP19"/>
    </row>
    <row r="20" spans="2:122" s="109" customFormat="1" ht="14.25">
      <c r="B20" s="268" t="s">
        <v>271</v>
      </c>
      <c r="C20" s="269"/>
      <c r="D20" s="270">
        <v>397.13900000000001</v>
      </c>
      <c r="E20" s="271">
        <f>397.139-D20</f>
        <v>0</v>
      </c>
      <c r="F20" s="271">
        <f>397.139-E20-D20</f>
        <v>0</v>
      </c>
      <c r="G20" s="272">
        <f>425.407+1.156-F20-E20-D20</f>
        <v>29.423999999999978</v>
      </c>
      <c r="H20" s="270">
        <v>0</v>
      </c>
      <c r="I20" s="271">
        <f>10.853+0-H20</f>
        <v>10.853</v>
      </c>
      <c r="J20" s="271">
        <f>10.853+0.984-I20-H20</f>
        <v>0.98399999999999999</v>
      </c>
      <c r="K20" s="272">
        <f>1.022+10.853+0.377-J20-I20-H20</f>
        <v>0.41500000000000092</v>
      </c>
      <c r="L20" s="270">
        <f>4.179</f>
        <v>4.1790000000000003</v>
      </c>
      <c r="M20" s="271">
        <f>7.213-L20</f>
        <v>3.0339999999999998</v>
      </c>
      <c r="N20" s="271">
        <f>9.495-M20-L20</f>
        <v>2.2819999999999991</v>
      </c>
      <c r="O20" s="272">
        <f>11.104-N20-M20-L20</f>
        <v>1.6089999999999991</v>
      </c>
      <c r="P20" s="270">
        <v>1.417</v>
      </c>
      <c r="Q20" s="271">
        <f>-0.517-P20</f>
        <v>-1.9340000000000002</v>
      </c>
      <c r="R20" s="271">
        <f>-0.346-Q20-P20</f>
        <v>0.17100000000000004</v>
      </c>
      <c r="S20" s="272">
        <f>4.197+6.426-R20-Q20-P20</f>
        <v>10.969000000000003</v>
      </c>
      <c r="T20" s="270">
        <f>1.344+0.419</f>
        <v>1.7630000000000001</v>
      </c>
      <c r="U20" s="271">
        <f>0.673+0.419-T20</f>
        <v>-0.67100000000000004</v>
      </c>
      <c r="V20" s="271">
        <f>1.515+0.419-U20-T20</f>
        <v>0.84199999999999986</v>
      </c>
      <c r="W20" s="272">
        <f>0.419-V20-U20-T20</f>
        <v>-1.5149999999999999</v>
      </c>
      <c r="X20" s="270">
        <f>1.465</f>
        <v>1.4650000000000001</v>
      </c>
      <c r="Y20" s="271">
        <f>2.72-X20</f>
        <v>1.2550000000000001</v>
      </c>
      <c r="Z20" s="271">
        <f>4.709-Y20-X20</f>
        <v>1.9889999999999997</v>
      </c>
      <c r="AA20" s="272">
        <f>7.014+0.567-Z20-Y20-X20</f>
        <v>2.8720000000000008</v>
      </c>
      <c r="AB20" s="270">
        <v>0</v>
      </c>
      <c r="AC20" s="271">
        <f>0.955+3.458+5.616-AB20</f>
        <v>10.029</v>
      </c>
      <c r="AD20" s="271">
        <f>0.955+3.458+5.616-AC20-AB20</f>
        <v>0</v>
      </c>
      <c r="AE20" s="272">
        <f>0.955+3.458+5.616-AD20-AC20-AB20</f>
        <v>0</v>
      </c>
      <c r="AF20" s="270">
        <v>0</v>
      </c>
      <c r="AG20" s="271">
        <f>0-AF20</f>
        <v>0</v>
      </c>
      <c r="AH20" s="271">
        <f>0-AG20-AF20</f>
        <v>0</v>
      </c>
      <c r="AI20" s="272">
        <f>0-AH20-AG20-AF20</f>
        <v>0</v>
      </c>
      <c r="AJ20" s="270">
        <v>0</v>
      </c>
      <c r="AK20" s="271">
        <f>0-AJ20</f>
        <v>0</v>
      </c>
      <c r="AL20" s="271">
        <f>0-AK20-AJ20</f>
        <v>0</v>
      </c>
      <c r="AM20" s="272">
        <f>-0.017-AL20-AK20-AJ20</f>
        <v>-1.7000000000000001E-2</v>
      </c>
      <c r="AN20" s="270">
        <f>0.72+0.373</f>
        <v>1.093</v>
      </c>
      <c r="AO20" s="271">
        <f>0-AN20</f>
        <v>-1.093</v>
      </c>
      <c r="AP20" s="271">
        <f>0.53-5.414-AO20-AN20</f>
        <v>-4.8839999999999995</v>
      </c>
      <c r="AQ20" s="272">
        <f>-5.414+0.531-AP20-AO20-AN20</f>
        <v>9.9999999999944578E-4</v>
      </c>
      <c r="AR20" s="270">
        <v>3.7999999999999999E-2</v>
      </c>
      <c r="AS20" s="271">
        <f>0-AR20</f>
        <v>-3.7999999999999999E-2</v>
      </c>
      <c r="AT20" s="271">
        <f>0.2-AS20-AR20</f>
        <v>0.2</v>
      </c>
      <c r="AU20" s="272">
        <f>0+0.3-AT20-AS20-AR20</f>
        <v>9.9999999999999978E-2</v>
      </c>
      <c r="AV20" s="270">
        <v>0.4</v>
      </c>
      <c r="AW20" s="271">
        <f>0.4-AV20</f>
        <v>0</v>
      </c>
      <c r="AX20" s="271">
        <f>0.6-AW20-AV20</f>
        <v>0.19999999999999996</v>
      </c>
      <c r="AY20" s="272">
        <f>1-AX20-AW20-AV20</f>
        <v>0.4</v>
      </c>
      <c r="AZ20" s="270">
        <v>0.2</v>
      </c>
      <c r="BA20" s="271">
        <f>0.7-AZ20</f>
        <v>0.49999999999999994</v>
      </c>
      <c r="BB20" s="271">
        <f>0.8-BA20-AZ20</f>
        <v>0.10000000000000009</v>
      </c>
      <c r="BC20" s="272">
        <f>0.5-BB20-BA20-AZ20</f>
        <v>-0.30000000000000004</v>
      </c>
      <c r="BD20" s="270">
        <v>0</v>
      </c>
      <c r="BE20" s="271">
        <f>0.2-BD20</f>
        <v>0.2</v>
      </c>
      <c r="BF20" s="271">
        <f>0.2-BE20-BD20</f>
        <v>0</v>
      </c>
      <c r="BG20" s="272">
        <f>0.3-BF20-BE20-BD20</f>
        <v>9.9999999999999978E-2</v>
      </c>
      <c r="BH20" s="270">
        <v>0</v>
      </c>
      <c r="BI20" s="271">
        <f>0-BH20</f>
        <v>0</v>
      </c>
      <c r="BJ20" s="271">
        <f>0-BI20-BH20</f>
        <v>0</v>
      </c>
      <c r="BK20" s="272">
        <f>0.3-BJ20-BI20-BH20</f>
        <v>0.3</v>
      </c>
      <c r="BL20" s="270">
        <v>0</v>
      </c>
      <c r="BM20" s="273">
        <f t="shared" si="41"/>
        <v>0</v>
      </c>
      <c r="BN20" s="273">
        <f t="shared" si="41"/>
        <v>0</v>
      </c>
      <c r="BO20" s="274">
        <f t="shared" si="41"/>
        <v>0</v>
      </c>
      <c r="BP20" s="273">
        <f t="shared" si="42"/>
        <v>0</v>
      </c>
      <c r="BQ20" s="273">
        <f t="shared" si="42"/>
        <v>0</v>
      </c>
      <c r="BR20" s="273">
        <f t="shared" si="42"/>
        <v>0</v>
      </c>
      <c r="BS20" s="273">
        <f t="shared" si="42"/>
        <v>0</v>
      </c>
      <c r="BT20" s="275">
        <f t="shared" si="43"/>
        <v>0</v>
      </c>
      <c r="BU20" s="273">
        <f t="shared" si="44"/>
        <v>0</v>
      </c>
      <c r="BV20" s="273">
        <f t="shared" si="45"/>
        <v>0</v>
      </c>
      <c r="BW20" s="274">
        <f t="shared" si="46"/>
        <v>0</v>
      </c>
      <c r="BX20" s="718"/>
      <c r="BY20" s="273">
        <f t="shared" si="0"/>
        <v>426.56299999999999</v>
      </c>
      <c r="BZ20" s="273">
        <f t="shared" si="1"/>
        <v>12.252000000000001</v>
      </c>
      <c r="CA20" s="273">
        <f t="shared" si="2"/>
        <v>11.103999999999999</v>
      </c>
      <c r="CB20" s="273">
        <f t="shared" si="3"/>
        <v>10.623000000000003</v>
      </c>
      <c r="CC20" s="273">
        <f t="shared" si="4"/>
        <v>0.41900000000000004</v>
      </c>
      <c r="CD20" s="273">
        <f t="shared" si="5"/>
        <v>7.5810000000000004</v>
      </c>
      <c r="CE20" s="273">
        <f t="shared" si="6"/>
        <v>10.029</v>
      </c>
      <c r="CF20" s="273">
        <f t="shared" si="7"/>
        <v>0</v>
      </c>
      <c r="CG20" s="273">
        <f t="shared" si="8"/>
        <v>-1.7000000000000001E-2</v>
      </c>
      <c r="CH20" s="273">
        <f t="shared" si="9"/>
        <v>-4.883</v>
      </c>
      <c r="CI20" s="274">
        <f t="shared" si="10"/>
        <v>0.3</v>
      </c>
      <c r="CJ20" s="275">
        <f t="shared" si="11"/>
        <v>1</v>
      </c>
      <c r="CK20" s="273">
        <f t="shared" si="12"/>
        <v>0.5</v>
      </c>
      <c r="CL20" s="273">
        <f t="shared" si="13"/>
        <v>0.3</v>
      </c>
      <c r="CM20" s="273">
        <f t="shared" si="14"/>
        <v>0.3</v>
      </c>
      <c r="CN20" s="273">
        <f t="shared" si="15"/>
        <v>0</v>
      </c>
      <c r="CO20" s="273">
        <f t="shared" si="16"/>
        <v>0</v>
      </c>
      <c r="CP20" s="274">
        <f t="shared" si="17"/>
        <v>0</v>
      </c>
      <c r="CQ20" s="951"/>
      <c r="CR20" s="275">
        <f>SUM(M20:P20)</f>
        <v>8.3419999999999987</v>
      </c>
      <c r="CS20" s="273">
        <f>SUM(Q20:T20)</f>
        <v>10.969000000000003</v>
      </c>
      <c r="CT20" s="273">
        <f>SUM(U20:X20)</f>
        <v>0.121</v>
      </c>
      <c r="CU20" s="273">
        <f>SUM(Y20:AB20)</f>
        <v>6.1160000000000005</v>
      </c>
      <c r="CV20" s="273">
        <f>SUM(AC20:AF20)</f>
        <v>10.029</v>
      </c>
      <c r="CW20" s="273">
        <f t="shared" si="23"/>
        <v>0</v>
      </c>
      <c r="CX20" s="273">
        <f t="shared" si="24"/>
        <v>1.0760000000000001</v>
      </c>
      <c r="CY20" s="273">
        <f t="shared" si="25"/>
        <v>-5.9379999999999997</v>
      </c>
      <c r="CZ20" s="273">
        <f t="shared" si="26"/>
        <v>0.66200000000000003</v>
      </c>
      <c r="DA20" s="273">
        <f t="shared" si="27"/>
        <v>0.8</v>
      </c>
      <c r="DB20" s="273">
        <f t="shared" si="28"/>
        <v>0.30000000000000004</v>
      </c>
      <c r="DC20" s="273">
        <f t="shared" si="29"/>
        <v>0.3</v>
      </c>
      <c r="DD20" s="273">
        <f t="shared" si="34"/>
        <v>0.3</v>
      </c>
      <c r="DE20" s="273">
        <f t="shared" si="30"/>
        <v>0</v>
      </c>
      <c r="DF20" s="274">
        <f t="shared" si="31"/>
        <v>0</v>
      </c>
      <c r="DG20" s="110"/>
      <c r="DH20" s="110"/>
      <c r="DI20" s="110"/>
      <c r="DJ20" s="110"/>
      <c r="DK20"/>
      <c r="DL20"/>
      <c r="DM20"/>
      <c r="DN20"/>
      <c r="DO20"/>
      <c r="DP20"/>
    </row>
    <row r="21" spans="2:122" s="109" customFormat="1" ht="14.25">
      <c r="B21" s="278" t="s">
        <v>178</v>
      </c>
      <c r="C21" s="279"/>
      <c r="D21" s="270"/>
      <c r="E21" s="277"/>
      <c r="F21" s="277"/>
      <c r="G21" s="280"/>
      <c r="H21" s="270"/>
      <c r="I21" s="277"/>
      <c r="J21" s="277"/>
      <c r="K21" s="280"/>
      <c r="L21" s="270"/>
      <c r="M21" s="277"/>
      <c r="N21" s="277"/>
      <c r="O21" s="280"/>
      <c r="P21" s="270"/>
      <c r="Q21" s="277"/>
      <c r="R21" s="277"/>
      <c r="S21" s="280"/>
      <c r="T21" s="270"/>
      <c r="U21" s="277"/>
      <c r="V21" s="277"/>
      <c r="W21" s="280"/>
      <c r="X21" s="270"/>
      <c r="Y21" s="277"/>
      <c r="Z21" s="277"/>
      <c r="AA21" s="280"/>
      <c r="AB21" s="270"/>
      <c r="AC21" s="277"/>
      <c r="AD21" s="277"/>
      <c r="AE21" s="280"/>
      <c r="AF21" s="270"/>
      <c r="AG21" s="277"/>
      <c r="AH21" s="277"/>
      <c r="AI21" s="280"/>
      <c r="AJ21" s="270"/>
      <c r="AK21" s="277"/>
      <c r="AL21" s="277"/>
      <c r="AM21" s="280"/>
      <c r="AN21" s="270"/>
      <c r="AO21" s="277"/>
      <c r="AP21" s="277"/>
      <c r="AQ21" s="280"/>
      <c r="AR21" s="270"/>
      <c r="AS21" s="277"/>
      <c r="AT21" s="277"/>
      <c r="AU21" s="280"/>
      <c r="AV21" s="270"/>
      <c r="AW21" s="277"/>
      <c r="AX21" s="277"/>
      <c r="AY21" s="280"/>
      <c r="AZ21" s="270"/>
      <c r="BA21" s="277"/>
      <c r="BB21" s="277"/>
      <c r="BC21" s="280"/>
      <c r="BD21" s="270"/>
      <c r="BE21" s="277"/>
      <c r="BF21" s="277"/>
      <c r="BG21" s="280"/>
      <c r="BH21" s="270"/>
      <c r="BI21" s="277"/>
      <c r="BJ21" s="277"/>
      <c r="BK21" s="280"/>
      <c r="BL21" s="270"/>
      <c r="BM21" s="271"/>
      <c r="BN21" s="271"/>
      <c r="BO21" s="272"/>
      <c r="BP21" s="271"/>
      <c r="BQ21" s="271"/>
      <c r="BR21" s="271"/>
      <c r="BS21" s="271"/>
      <c r="BT21" s="855"/>
      <c r="BU21" s="271"/>
      <c r="BV21" s="271"/>
      <c r="BW21" s="272"/>
      <c r="BX21" s="718"/>
      <c r="BY21" s="271"/>
      <c r="BZ21" s="271"/>
      <c r="CA21" s="271"/>
      <c r="CB21" s="271"/>
      <c r="CC21" s="271"/>
      <c r="CD21" s="271"/>
      <c r="CE21" s="271"/>
      <c r="CF21" s="271"/>
      <c r="CG21" s="271"/>
      <c r="CH21" s="271"/>
      <c r="CI21" s="272"/>
      <c r="CJ21" s="855"/>
      <c r="CK21" s="271"/>
      <c r="CL21" s="271"/>
      <c r="CM21" s="271"/>
      <c r="CN21" s="271"/>
      <c r="CO21" s="271"/>
      <c r="CP21" s="272"/>
      <c r="CQ21" s="951"/>
      <c r="CR21" s="270"/>
      <c r="CS21" s="277"/>
      <c r="CT21" s="277"/>
      <c r="CU21" s="277"/>
      <c r="CV21" s="277"/>
      <c r="CW21" s="277"/>
      <c r="CX21" s="277"/>
      <c r="CY21" s="277"/>
      <c r="CZ21" s="277"/>
      <c r="DA21" s="277"/>
      <c r="DB21" s="277"/>
      <c r="DC21" s="277"/>
      <c r="DD21" s="277"/>
      <c r="DE21" s="277"/>
      <c r="DF21" s="280">
        <f t="shared" si="31"/>
        <v>0</v>
      </c>
      <c r="DG21" s="110"/>
      <c r="DH21" s="110"/>
      <c r="DI21" s="110"/>
      <c r="DJ21" s="110"/>
      <c r="DK21"/>
      <c r="DL21"/>
      <c r="DM21"/>
      <c r="DN21"/>
      <c r="DO21"/>
      <c r="DP21"/>
    </row>
    <row r="22" spans="2:122" s="109" customFormat="1" ht="14.25">
      <c r="B22" s="268" t="s">
        <v>211</v>
      </c>
      <c r="C22" s="269"/>
      <c r="D22" s="270">
        <v>-15.481999999999999</v>
      </c>
      <c r="E22" s="271">
        <f>-27.702-D22</f>
        <v>-12.220000000000002</v>
      </c>
      <c r="F22" s="271">
        <f>-41.516-E22-D22</f>
        <v>-13.813999999999997</v>
      </c>
      <c r="G22" s="272">
        <f>-50.998-F22-E22-D22</f>
        <v>-9.4819999999999958</v>
      </c>
      <c r="H22" s="270">
        <v>-6.5750000000000002</v>
      </c>
      <c r="I22" s="271">
        <f>1.559-H22</f>
        <v>8.1340000000000003</v>
      </c>
      <c r="J22" s="271">
        <f>-12.263-I22-H22</f>
        <v>-13.821999999999999</v>
      </c>
      <c r="K22" s="272">
        <f>-13.882-J22-I22-H22</f>
        <v>-1.6190000000000007</v>
      </c>
      <c r="L22" s="270">
        <v>-13.651999999999999</v>
      </c>
      <c r="M22" s="271">
        <f>-9.254-L22</f>
        <v>4.3979999999999997</v>
      </c>
      <c r="N22" s="271">
        <f>-3.722-M22-L22</f>
        <v>5.532</v>
      </c>
      <c r="O22" s="272">
        <f>-18.809-N22-M22-L22</f>
        <v>-15.087000000000002</v>
      </c>
      <c r="P22" s="270">
        <v>0.64900000000000002</v>
      </c>
      <c r="Q22" s="271">
        <f>-1.125-P22</f>
        <v>-1.774</v>
      </c>
      <c r="R22" s="271">
        <f>-32.939-Q22-P22</f>
        <v>-31.814</v>
      </c>
      <c r="S22" s="272">
        <f>-18.177-R22-Q22-P22</f>
        <v>14.762</v>
      </c>
      <c r="T22" s="270">
        <v>-4.2990000000000004</v>
      </c>
      <c r="U22" s="271">
        <f>-2.197-T22</f>
        <v>2.1020000000000003</v>
      </c>
      <c r="V22" s="271">
        <f>-7.271-U22-T22</f>
        <v>-5.0740000000000007</v>
      </c>
      <c r="W22" s="272">
        <f>-10.724-V22-U22-T22</f>
        <v>-3.4529999999999994</v>
      </c>
      <c r="X22" s="270">
        <v>0.73</v>
      </c>
      <c r="Y22" s="271">
        <f>2.474-X22</f>
        <v>1.7440000000000002</v>
      </c>
      <c r="Z22" s="271">
        <f>-1.922-Y22-X22</f>
        <v>-4.3960000000000008</v>
      </c>
      <c r="AA22" s="272">
        <f>21.223-Z22-Y22-X22</f>
        <v>23.145</v>
      </c>
      <c r="AB22" s="270">
        <v>37.814999999999998</v>
      </c>
      <c r="AC22" s="271">
        <f>33.996-AB22</f>
        <v>-3.8189999999999955</v>
      </c>
      <c r="AD22" s="271">
        <f>33.537-AC22-AB22</f>
        <v>-0.45900000000000318</v>
      </c>
      <c r="AE22" s="272">
        <f>29.947-AD22-AC22-AB22</f>
        <v>-3.5900000000000034</v>
      </c>
      <c r="AF22" s="270">
        <v>-4.327</v>
      </c>
      <c r="AG22" s="271">
        <f>7.105-AF22</f>
        <v>11.432</v>
      </c>
      <c r="AH22" s="271">
        <f>-40.303-AG22-AF22</f>
        <v>-47.408000000000001</v>
      </c>
      <c r="AI22" s="272">
        <f>-60.901-AH22-AG22-AF22</f>
        <v>-20.598000000000006</v>
      </c>
      <c r="AJ22" s="270">
        <v>-25.605</v>
      </c>
      <c r="AK22" s="271">
        <f>-8.108-AJ22</f>
        <v>17.497</v>
      </c>
      <c r="AL22" s="271">
        <f>4.655-AK22-AJ22</f>
        <v>12.763000000000002</v>
      </c>
      <c r="AM22" s="272">
        <f>13.168-AL22-AK22-AJ22</f>
        <v>8.5129999999999981</v>
      </c>
      <c r="AN22" s="270">
        <v>-22.006</v>
      </c>
      <c r="AO22" s="271">
        <f>-23.816-AN22</f>
        <v>-1.8099999999999987</v>
      </c>
      <c r="AP22" s="271">
        <f>-58.52-AO22-AN22</f>
        <v>-34.704000000000008</v>
      </c>
      <c r="AQ22" s="272">
        <f>-109.213-AP22-AO22-AN22</f>
        <v>-50.692999999999984</v>
      </c>
      <c r="AR22" s="270">
        <v>45.44</v>
      </c>
      <c r="AS22" s="271">
        <f>63-AR22</f>
        <v>17.560000000000002</v>
      </c>
      <c r="AT22" s="271">
        <f>13.7-AS22-AR22</f>
        <v>-49.3</v>
      </c>
      <c r="AU22" s="272">
        <f>4.9-AT22-AS22-AR22</f>
        <v>-8.8000000000000043</v>
      </c>
      <c r="AV22" s="270">
        <v>25.6</v>
      </c>
      <c r="AW22" s="271">
        <f>76.4-AV22</f>
        <v>50.800000000000004</v>
      </c>
      <c r="AX22" s="271">
        <f>41.3-AW22-AV22</f>
        <v>-35.100000000000009</v>
      </c>
      <c r="AY22" s="272">
        <f>-12.4-AX22-AW22-AV22</f>
        <v>-53.699999999999996</v>
      </c>
      <c r="AZ22" s="270">
        <v>75.3</v>
      </c>
      <c r="BA22" s="271">
        <f>40.5-AZ22</f>
        <v>-34.799999999999997</v>
      </c>
      <c r="BB22" s="271">
        <f>-64.1-BA22-AZ22</f>
        <v>-104.6</v>
      </c>
      <c r="BC22" s="272">
        <f>-222.2-BB22-BA22-AZ22</f>
        <v>-158.1</v>
      </c>
      <c r="BD22" s="270">
        <v>3.1</v>
      </c>
      <c r="BE22" s="271">
        <f>-0.5-BD22</f>
        <v>-3.6</v>
      </c>
      <c r="BF22" s="271">
        <f>-32-BE22-BD22</f>
        <v>-31.5</v>
      </c>
      <c r="BG22" s="272">
        <f>121.4-BF22-BE22-BD22</f>
        <v>153.4</v>
      </c>
      <c r="BH22" s="270">
        <v>49.3</v>
      </c>
      <c r="BI22" s="271">
        <f>48.8-BH22</f>
        <v>-0.5</v>
      </c>
      <c r="BJ22" s="271">
        <f>20.2-BI22-BH22</f>
        <v>-28.599999999999998</v>
      </c>
      <c r="BK22" s="272">
        <f>-37.1-BJ22-BI22-BH22</f>
        <v>-57.3</v>
      </c>
      <c r="BL22" s="270">
        <v>-4.0999999999999996</v>
      </c>
      <c r="BM22" s="273">
        <f>BS!BL11-BS!BM11</f>
        <v>57.593652222222204</v>
      </c>
      <c r="BN22" s="273">
        <f>BS!BM11-BS!BN11</f>
        <v>15.375680738888832</v>
      </c>
      <c r="BO22" s="274">
        <f>BS!BN11-BS!BO11</f>
        <v>-72.671218610555627</v>
      </c>
      <c r="BP22" s="273">
        <f>BS!BO11-BS!BP11</f>
        <v>4.987990323152701</v>
      </c>
      <c r="BQ22" s="273">
        <f>BS!BP11-BS!BQ11</f>
        <v>40.572501886415409</v>
      </c>
      <c r="BR22" s="273">
        <f>BS!BQ11-BS!BR11</f>
        <v>-0.12254915094354146</v>
      </c>
      <c r="BS22" s="273">
        <f>BS!BR11-BS!BS11</f>
        <v>-31.243089260063982</v>
      </c>
      <c r="BT22" s="275">
        <f>BS!BS11-BS!BT11</f>
        <v>5.6239717130575286</v>
      </c>
      <c r="BU22" s="273">
        <f>BS!BT11-BS!BU11</f>
        <v>23.829212762131306</v>
      </c>
      <c r="BV22" s="273">
        <f>BS!BU11-BS!BV11</f>
        <v>-5.3985731173248723</v>
      </c>
      <c r="BW22" s="274">
        <f>BS!BV11-BS!BW11</f>
        <v>-34.192109438692285</v>
      </c>
      <c r="BX22" s="718"/>
      <c r="BY22" s="273">
        <f>SUM(D22:G22)</f>
        <v>-50.99799999999999</v>
      </c>
      <c r="BZ22" s="273">
        <f>SUM(H22:K22)</f>
        <v>-13.881999999999998</v>
      </c>
      <c r="CA22" s="273">
        <f>SUM(L22:O22)</f>
        <v>-18.809000000000001</v>
      </c>
      <c r="CB22" s="273">
        <f>SUM(P22:S22)</f>
        <v>-18.177</v>
      </c>
      <c r="CC22" s="273">
        <f>SUM(T22:W22)</f>
        <v>-10.724</v>
      </c>
      <c r="CD22" s="273">
        <f>SUM(X22:AA22)</f>
        <v>21.222999999999999</v>
      </c>
      <c r="CE22" s="273">
        <f>SUM(AB22:AE22)</f>
        <v>29.946999999999996</v>
      </c>
      <c r="CF22" s="273">
        <f>SUM(AF22:AI22)</f>
        <v>-60.901000000000003</v>
      </c>
      <c r="CG22" s="273">
        <f>SUM(AJ22:AM22)</f>
        <v>13.167999999999999</v>
      </c>
      <c r="CH22" s="273">
        <f>SUM(AN22:AQ22)</f>
        <v>-109.21299999999999</v>
      </c>
      <c r="CI22" s="274">
        <f>SUM(AR22:AU22)</f>
        <v>4.8999999999999986</v>
      </c>
      <c r="CJ22" s="275">
        <f>SUM(AV22:AY22)</f>
        <v>-12.399999999999999</v>
      </c>
      <c r="CK22" s="273">
        <f>SUM(AZ22:BC22)</f>
        <v>-222.2</v>
      </c>
      <c r="CL22" s="273">
        <f t="shared" si="13"/>
        <v>121.4</v>
      </c>
      <c r="CM22" s="273">
        <f t="shared" si="14"/>
        <v>-37.099999999999994</v>
      </c>
      <c r="CN22" s="273">
        <f t="shared" si="15"/>
        <v>-3.8018856494445856</v>
      </c>
      <c r="CO22" s="273">
        <f t="shared" si="16"/>
        <v>14.194853798560587</v>
      </c>
      <c r="CP22" s="274">
        <f t="shared" si="17"/>
        <v>-10.137498080828323</v>
      </c>
      <c r="CQ22" s="951"/>
      <c r="CR22" s="275">
        <f>SUM(M22:P22)</f>
        <v>-4.5080000000000018</v>
      </c>
      <c r="CS22" s="273">
        <f>SUM(Q22:T22)</f>
        <v>-23.125</v>
      </c>
      <c r="CT22" s="273">
        <f>SUM(U22:X22)</f>
        <v>-5.6950000000000003</v>
      </c>
      <c r="CU22" s="273">
        <f>SUM(Y22:AB22)</f>
        <v>58.307999999999993</v>
      </c>
      <c r="CV22" s="273">
        <f>SUM(AC22:AF22)</f>
        <v>-12.195000000000002</v>
      </c>
      <c r="CW22" s="273">
        <f>SUM(AG22:AJ22)</f>
        <v>-82.179000000000002</v>
      </c>
      <c r="CX22" s="273">
        <f>SUM(AK22:AN22)</f>
        <v>16.766999999999996</v>
      </c>
      <c r="CY22" s="273">
        <f>SUM(AO22:AR22)</f>
        <v>-41.766999999999996</v>
      </c>
      <c r="CZ22" s="273">
        <f>SUM(AS22:AV22)</f>
        <v>-14.939999999999998</v>
      </c>
      <c r="DA22" s="273">
        <f>SUM(AW22:AZ22)</f>
        <v>37.299999999999997</v>
      </c>
      <c r="DB22" s="273">
        <f>SUM(BA22:BD22)</f>
        <v>-294.39999999999998</v>
      </c>
      <c r="DC22" s="273">
        <f>SUM(BE22:BH22)</f>
        <v>167.60000000000002</v>
      </c>
      <c r="DD22" s="273">
        <f>SUM(BI22:BL22)</f>
        <v>-90.499999999999986</v>
      </c>
      <c r="DE22" s="273">
        <f>SUM(BM22:BP22)</f>
        <v>5.2861046737081097</v>
      </c>
      <c r="DF22" s="274">
        <f t="shared" si="31"/>
        <v>14.830835188465414</v>
      </c>
      <c r="DG22" s="110"/>
      <c r="DH22" s="110"/>
      <c r="DI22" s="110"/>
      <c r="DJ22" s="110"/>
      <c r="DK22"/>
      <c r="DL22"/>
      <c r="DM22"/>
      <c r="DN22"/>
      <c r="DO22"/>
      <c r="DP22"/>
    </row>
    <row r="23" spans="2:122" s="109" customFormat="1" ht="14.25">
      <c r="B23" s="268" t="s">
        <v>120</v>
      </c>
      <c r="C23" s="269"/>
      <c r="D23" s="270">
        <v>7.38</v>
      </c>
      <c r="E23" s="271">
        <f>-1.178-D23</f>
        <v>-8.5579999999999998</v>
      </c>
      <c r="F23" s="271">
        <f>-6.906-E23-D23</f>
        <v>-5.7279999999999998</v>
      </c>
      <c r="G23" s="272">
        <f>-2.525-F23-E23-D23</f>
        <v>4.3809999999999993</v>
      </c>
      <c r="H23" s="270">
        <v>-3.6760000000000002</v>
      </c>
      <c r="I23" s="271">
        <f>-14.166-H23</f>
        <v>-10.49</v>
      </c>
      <c r="J23" s="271">
        <f>-28.797-I23-H23</f>
        <v>-14.631000000000002</v>
      </c>
      <c r="K23" s="272">
        <f>-21.404-J23-I23-H23</f>
        <v>7.3930000000000025</v>
      </c>
      <c r="L23" s="270">
        <v>0.29799999999999999</v>
      </c>
      <c r="M23" s="271">
        <f>-1.023-L23</f>
        <v>-1.321</v>
      </c>
      <c r="N23" s="271">
        <f>-1.616-M23-L23</f>
        <v>-0.59300000000000019</v>
      </c>
      <c r="O23" s="272">
        <f>2.172-N23-M23-L23</f>
        <v>3.7880000000000003</v>
      </c>
      <c r="P23" s="270">
        <v>-0.878</v>
      </c>
      <c r="Q23" s="271">
        <f>-14.644-P23</f>
        <v>-13.766</v>
      </c>
      <c r="R23" s="271">
        <f>-23.798-Q23-P23</f>
        <v>-9.1539999999999981</v>
      </c>
      <c r="S23" s="272">
        <f>-3.454-R23-Q23-P23</f>
        <v>20.343999999999998</v>
      </c>
      <c r="T23" s="270">
        <v>10.265000000000001</v>
      </c>
      <c r="U23" s="271">
        <f>5.646-T23</f>
        <v>-4.6190000000000007</v>
      </c>
      <c r="V23" s="271">
        <f>-1.989-U23-T23</f>
        <v>-7.6349999999999998</v>
      </c>
      <c r="W23" s="272">
        <f>-0.247-V23-U23-T23</f>
        <v>1.7420000000000009</v>
      </c>
      <c r="X23" s="270">
        <v>1.58</v>
      </c>
      <c r="Y23" s="271">
        <f>-6.73-X23</f>
        <v>-8.31</v>
      </c>
      <c r="Z23" s="271">
        <f>-8.427-Y23-X23</f>
        <v>-1.6969999999999992</v>
      </c>
      <c r="AA23" s="272">
        <f>-16.082-Z23-Y23-X23</f>
        <v>-7.6550000000000011</v>
      </c>
      <c r="AB23" s="270">
        <v>5.3630000000000004</v>
      </c>
      <c r="AC23" s="271">
        <f>8.369-AB23</f>
        <v>3.0059999999999993</v>
      </c>
      <c r="AD23" s="271">
        <f>12.535-AC23-AB23</f>
        <v>4.1659999999999995</v>
      </c>
      <c r="AE23" s="272">
        <f>15.678-AD23-AC23-AB23</f>
        <v>3.1429999999999998</v>
      </c>
      <c r="AF23" s="270">
        <v>-11.962999999999999</v>
      </c>
      <c r="AG23" s="271">
        <f>-18.366-AF23</f>
        <v>-6.4030000000000005</v>
      </c>
      <c r="AH23" s="271">
        <f>-31.897-AG23-AF23</f>
        <v>-13.531000000000001</v>
      </c>
      <c r="AI23" s="272">
        <f>-38.818-AH23-AG23-AF23</f>
        <v>-6.9210000000000012</v>
      </c>
      <c r="AJ23" s="270">
        <v>-16.995000000000001</v>
      </c>
      <c r="AK23" s="271">
        <f>-25.308-AJ23</f>
        <v>-8.3129999999999988</v>
      </c>
      <c r="AL23" s="271">
        <f>-40.56-AK23-AJ23</f>
        <v>-15.251999999999999</v>
      </c>
      <c r="AM23" s="272">
        <f>-49.694-AL23-AK23-AJ23</f>
        <v>-9.1340000000000074</v>
      </c>
      <c r="AN23" s="270">
        <v>20.277999999999999</v>
      </c>
      <c r="AO23" s="271">
        <f>16.714-AN23</f>
        <v>-3.5640000000000001</v>
      </c>
      <c r="AP23" s="271">
        <f>3.588-AO23-AN23</f>
        <v>-13.125999999999998</v>
      </c>
      <c r="AQ23" s="272">
        <f>-19.314-AP23-AO23-AN23</f>
        <v>-22.902000000000001</v>
      </c>
      <c r="AR23" s="270">
        <v>3.5339999999999998</v>
      </c>
      <c r="AS23" s="271">
        <f>6-AR23</f>
        <v>2.4660000000000002</v>
      </c>
      <c r="AT23" s="271">
        <f>0.9-AS23-AR23</f>
        <v>-5.0999999999999996</v>
      </c>
      <c r="AU23" s="272">
        <f>3.4-AT23-AS23-AR23</f>
        <v>2.5</v>
      </c>
      <c r="AV23" s="270">
        <v>4.9000000000000004</v>
      </c>
      <c r="AW23" s="271">
        <f>12.6-AV23</f>
        <v>7.6999999999999993</v>
      </c>
      <c r="AX23" s="271">
        <f>30.8-AW23-AV23</f>
        <v>18.200000000000003</v>
      </c>
      <c r="AY23" s="272">
        <f>-6.1-AX23-AW23-AV23</f>
        <v>-36.9</v>
      </c>
      <c r="AZ23" s="270">
        <v>-2.7</v>
      </c>
      <c r="BA23" s="271">
        <f>-4.9-AZ23</f>
        <v>-2.2000000000000002</v>
      </c>
      <c r="BB23" s="271">
        <f>-1-BA23-AZ23</f>
        <v>3.9000000000000004</v>
      </c>
      <c r="BC23" s="272">
        <f>3.6-BB23-BA23-AZ23</f>
        <v>4.5999999999999996</v>
      </c>
      <c r="BD23" s="270">
        <v>-19</v>
      </c>
      <c r="BE23" s="271">
        <f>-66.4-BD23</f>
        <v>-47.400000000000006</v>
      </c>
      <c r="BF23" s="271">
        <f>-160.7-BE23-BD23</f>
        <v>-94.299999999999983</v>
      </c>
      <c r="BG23" s="272">
        <f>-147.3-BF23-BE23-BD23</f>
        <v>13.399999999999977</v>
      </c>
      <c r="BH23" s="270">
        <v>0.6</v>
      </c>
      <c r="BI23" s="271">
        <f>-21.3-BH23</f>
        <v>-21.900000000000002</v>
      </c>
      <c r="BJ23" s="271">
        <f>-58.7-BI23-BH23</f>
        <v>-37.4</v>
      </c>
      <c r="BK23" s="272">
        <f>-69.2-BJ23-BI23-BH23</f>
        <v>-10.500000000000002</v>
      </c>
      <c r="BL23" s="270">
        <v>34.5</v>
      </c>
      <c r="BM23" s="273">
        <f>BS!BL12-BS!BM12</f>
        <v>60.351945071491684</v>
      </c>
      <c r="BN23" s="273">
        <f>BS!BM12-BS!BN12</f>
        <v>16.31445653298664</v>
      </c>
      <c r="BO23" s="274">
        <f>BS!BN12-BS!BO12</f>
        <v>-70.988011249070269</v>
      </c>
      <c r="BP23" s="273">
        <f>BS!BO12-BS!BP12</f>
        <v>-18.375487852154833</v>
      </c>
      <c r="BQ23" s="273">
        <f>BS!BP12-BS!BQ12</f>
        <v>40.780979251420092</v>
      </c>
      <c r="BR23" s="273">
        <f>BS!BQ12-BS!BR12</f>
        <v>0.33716539676800039</v>
      </c>
      <c r="BS23" s="273">
        <f>BS!BR12-BS!BS12</f>
        <v>-31.161627399433314</v>
      </c>
      <c r="BT23" s="275">
        <f>BS!BS12-BS!BT12</f>
        <v>-19.590539780461938</v>
      </c>
      <c r="BU23" s="273">
        <f>BS!BT12-BS!BU12</f>
        <v>26.038545374724094</v>
      </c>
      <c r="BV23" s="273">
        <f>BS!BU12-BS!BV12</f>
        <v>-5.4402292824193523</v>
      </c>
      <c r="BW23" s="274">
        <f>BS!BV12-BS!BW12</f>
        <v>-37.395266524112913</v>
      </c>
      <c r="BX23" s="718"/>
      <c r="BY23" s="273">
        <f>SUM(D23:G23)</f>
        <v>-2.5250000000000004</v>
      </c>
      <c r="BZ23" s="273">
        <f>SUM(H23:K23)</f>
        <v>-21.404000000000003</v>
      </c>
      <c r="CA23" s="273">
        <f>SUM(L23:O23)</f>
        <v>2.1720000000000002</v>
      </c>
      <c r="CB23" s="273">
        <f>SUM(P23:S23)</f>
        <v>-3.4540000000000006</v>
      </c>
      <c r="CC23" s="273">
        <f>SUM(T23:W23)</f>
        <v>-0.246999999999999</v>
      </c>
      <c r="CD23" s="273">
        <f>SUM(X23:AA23)</f>
        <v>-16.082000000000001</v>
      </c>
      <c r="CE23" s="273">
        <f>SUM(AB23:AE23)</f>
        <v>15.678000000000001</v>
      </c>
      <c r="CF23" s="273">
        <f>SUM(AF23:AI23)</f>
        <v>-38.817999999999998</v>
      </c>
      <c r="CG23" s="273">
        <f>SUM(AJ23:AM23)</f>
        <v>-49.69400000000001</v>
      </c>
      <c r="CH23" s="273">
        <f>SUM(AN23:AQ23)</f>
        <v>-19.314</v>
      </c>
      <c r="CI23" s="274">
        <f>SUM(AR23:AU23)</f>
        <v>3.4000000000000004</v>
      </c>
      <c r="CJ23" s="275">
        <f>SUM(AV23:AY23)</f>
        <v>-6.0999999999999943</v>
      </c>
      <c r="CK23" s="273">
        <f>SUM(AZ23:BC23)</f>
        <v>3.5999999999999996</v>
      </c>
      <c r="CL23" s="273">
        <f t="shared" si="13"/>
        <v>-147.30000000000001</v>
      </c>
      <c r="CM23" s="273">
        <f t="shared" si="14"/>
        <v>-69.2</v>
      </c>
      <c r="CN23" s="273">
        <f t="shared" si="15"/>
        <v>40.178390355408055</v>
      </c>
      <c r="CO23" s="273">
        <f t="shared" si="16"/>
        <v>-8.4189706034000551</v>
      </c>
      <c r="CP23" s="274">
        <f t="shared" si="17"/>
        <v>-36.387490212270109</v>
      </c>
      <c r="CQ23" s="951"/>
      <c r="CR23" s="275">
        <f>SUM(M23:P23)</f>
        <v>0.99600000000000011</v>
      </c>
      <c r="CS23" s="273">
        <f>SUM(Q23:T23)</f>
        <v>7.6890000000000001</v>
      </c>
      <c r="CT23" s="273">
        <f>SUM(U23:X23)</f>
        <v>-8.9320000000000004</v>
      </c>
      <c r="CU23" s="273">
        <f>SUM(Y23:AB23)</f>
        <v>-12.298999999999999</v>
      </c>
      <c r="CV23" s="273">
        <f>SUM(AC23:AF23)</f>
        <v>-1.6480000000000015</v>
      </c>
      <c r="CW23" s="273">
        <f>SUM(AG23:AJ23)</f>
        <v>-43.850000000000009</v>
      </c>
      <c r="CX23" s="273">
        <f>SUM(AK23:AN23)</f>
        <v>-12.421000000000006</v>
      </c>
      <c r="CY23" s="273">
        <f>SUM(AO23:AR23)</f>
        <v>-36.058</v>
      </c>
      <c r="CZ23" s="273">
        <f>SUM(AS23:AV23)</f>
        <v>4.7660000000000009</v>
      </c>
      <c r="DA23" s="273">
        <f>SUM(AW23:AZ23)</f>
        <v>-13.699999999999996</v>
      </c>
      <c r="DB23" s="273">
        <f>SUM(BA23:BD23)</f>
        <v>-12.7</v>
      </c>
      <c r="DC23" s="273">
        <f>SUM(BE23:BH23)</f>
        <v>-127.70000000000002</v>
      </c>
      <c r="DD23" s="273">
        <f>SUM(BI23:BL23)</f>
        <v>-35.299999999999997</v>
      </c>
      <c r="DE23" s="273">
        <f>SUM(BM23:BP23)</f>
        <v>-12.697097496746778</v>
      </c>
      <c r="DF23" s="274">
        <f t="shared" si="31"/>
        <v>-9.6340225317071599</v>
      </c>
      <c r="DG23" s="110"/>
      <c r="DH23" s="110"/>
      <c r="DI23" s="110"/>
      <c r="DJ23" s="110"/>
      <c r="DK23"/>
      <c r="DL23"/>
      <c r="DM23"/>
      <c r="DN23"/>
      <c r="DO23"/>
      <c r="DP23"/>
    </row>
    <row r="24" spans="2:122" s="109" customFormat="1" ht="14.25">
      <c r="B24" s="268" t="s">
        <v>212</v>
      </c>
      <c r="C24" s="269"/>
      <c r="D24" s="270">
        <v>7.2779999999999996</v>
      </c>
      <c r="E24" s="271">
        <f>0.002-D24</f>
        <v>-7.2759999999999998</v>
      </c>
      <c r="F24" s="271">
        <f>4.678-E24-D24</f>
        <v>4.676000000000001</v>
      </c>
      <c r="G24" s="272">
        <f>6.369-F24-E24-D24</f>
        <v>1.6909999999999981</v>
      </c>
      <c r="H24" s="270">
        <v>-0.19900000000000001</v>
      </c>
      <c r="I24" s="271">
        <f>5.192-H24</f>
        <v>5.391</v>
      </c>
      <c r="J24" s="271">
        <f>2.129-I24-H24</f>
        <v>-3.0630000000000002</v>
      </c>
      <c r="K24" s="272">
        <f>3.794-J24-I24-H24</f>
        <v>1.6650000000000003</v>
      </c>
      <c r="L24" s="270">
        <v>0.71399999999999997</v>
      </c>
      <c r="M24" s="271">
        <f>-1.45-L24</f>
        <v>-2.1639999999999997</v>
      </c>
      <c r="N24" s="271">
        <f>0.527-M24-L24</f>
        <v>1.9769999999999999</v>
      </c>
      <c r="O24" s="272">
        <f>-3.706-N24-M24-L24</f>
        <v>-4.2330000000000005</v>
      </c>
      <c r="P24" s="270">
        <v>-0.92500000000000004</v>
      </c>
      <c r="Q24" s="271">
        <f>-2.706-P24</f>
        <v>-1.7809999999999999</v>
      </c>
      <c r="R24" s="271">
        <f>-0.539-Q24-P24</f>
        <v>2.1669999999999998</v>
      </c>
      <c r="S24" s="272">
        <f>-3.395-R24-Q24-P24</f>
        <v>-2.8559999999999999</v>
      </c>
      <c r="T24" s="270">
        <v>-0.65200000000000002</v>
      </c>
      <c r="U24" s="271">
        <f>0.114-T24</f>
        <v>0.76600000000000001</v>
      </c>
      <c r="V24" s="271">
        <f>-0.174-U24-T24</f>
        <v>-0.28799999999999992</v>
      </c>
      <c r="W24" s="272">
        <f>-1.534-V24-U24-T24</f>
        <v>-1.3599999999999999</v>
      </c>
      <c r="X24" s="270">
        <v>1.331</v>
      </c>
      <c r="Y24" s="271">
        <f>2.376-X24</f>
        <v>1.0449999999999999</v>
      </c>
      <c r="Z24" s="271">
        <f>0.619-Y24-X24</f>
        <v>-1.7569999999999999</v>
      </c>
      <c r="AA24" s="272">
        <f>2.86-Z24-Y24-X24</f>
        <v>2.2410000000000001</v>
      </c>
      <c r="AB24" s="270">
        <v>1.4019999999999999</v>
      </c>
      <c r="AC24" s="271">
        <f>-1.577-AB24</f>
        <v>-2.9790000000000001</v>
      </c>
      <c r="AD24" s="271">
        <f>-1.241-AC24-AB24</f>
        <v>0.33600000000000008</v>
      </c>
      <c r="AE24" s="272">
        <f>-3.932-AD24-AC24-AB24</f>
        <v>-2.6909999999999998</v>
      </c>
      <c r="AF24" s="270">
        <v>2.0790000000000002</v>
      </c>
      <c r="AG24" s="271">
        <f>-2.118-AF24</f>
        <v>-4.1970000000000001</v>
      </c>
      <c r="AH24" s="271">
        <f>-6.542-AG24-AF24</f>
        <v>-4.4239999999999995</v>
      </c>
      <c r="AI24" s="272">
        <f>-8.349-AH24-AG24-AF24</f>
        <v>-1.8070000000000008</v>
      </c>
      <c r="AJ24" s="270">
        <v>3.3679999999999999</v>
      </c>
      <c r="AK24" s="271">
        <f>2.986-AJ24</f>
        <v>-0.38199999999999967</v>
      </c>
      <c r="AL24" s="271">
        <f>0.44-AK24-AJ24</f>
        <v>-2.5460000000000003</v>
      </c>
      <c r="AM24" s="272">
        <f>-1.732-AL24-AK24-AJ24</f>
        <v>-2.1719999999999997</v>
      </c>
      <c r="AN24" s="270">
        <v>-5.2690000000000001</v>
      </c>
      <c r="AO24" s="271">
        <f>-4.43-AN24</f>
        <v>0.83900000000000041</v>
      </c>
      <c r="AP24" s="271">
        <f>-6.248-AO24-AN24</f>
        <v>-1.8180000000000005</v>
      </c>
      <c r="AQ24" s="272">
        <f>-9.518-AP24-AO24-AN24</f>
        <v>-3.2700000000000014</v>
      </c>
      <c r="AR24" s="270">
        <v>-1.4E-2</v>
      </c>
      <c r="AS24" s="271">
        <f>-2.9-AR24</f>
        <v>-2.8860000000000001</v>
      </c>
      <c r="AT24" s="271">
        <f>-2.1-AS24-AR24</f>
        <v>0.8</v>
      </c>
      <c r="AU24" s="272">
        <f>-0.2-AT24-AS24-AR24</f>
        <v>1.9000000000000001</v>
      </c>
      <c r="AV24" s="270">
        <v>-0.3</v>
      </c>
      <c r="AW24" s="271">
        <f>8.5-AV24</f>
        <v>8.8000000000000007</v>
      </c>
      <c r="AX24" s="271">
        <f>8.3-AW24-AV24</f>
        <v>-0.2</v>
      </c>
      <c r="AY24" s="272">
        <f>7.3-AX24-AW24-AV24</f>
        <v>-1.0000000000000007</v>
      </c>
      <c r="AZ24" s="270">
        <v>8</v>
      </c>
      <c r="BA24" s="271">
        <f>-23.6-AZ24</f>
        <v>-31.6</v>
      </c>
      <c r="BB24" s="271">
        <f>-18-BA24-AZ24</f>
        <v>5.6000000000000014</v>
      </c>
      <c r="BC24" s="272">
        <f>-39.2-BB24-BA24-AZ24</f>
        <v>-21.200000000000003</v>
      </c>
      <c r="BD24" s="270">
        <v>11.8</v>
      </c>
      <c r="BE24" s="271">
        <f>-4.3-BD24</f>
        <v>-16.100000000000001</v>
      </c>
      <c r="BF24" s="271">
        <f>-7.2-BE24-BD24</f>
        <v>-2.8999999999999986</v>
      </c>
      <c r="BG24" s="272">
        <f>-20.4-BF24-BE24-BD24</f>
        <v>-13.2</v>
      </c>
      <c r="BH24" s="270">
        <v>12.3</v>
      </c>
      <c r="BI24" s="271">
        <f>-18.1-BH24</f>
        <v>-30.400000000000002</v>
      </c>
      <c r="BJ24" s="271">
        <f>-9.3-BI24-BH24</f>
        <v>8.8000000000000007</v>
      </c>
      <c r="BK24" s="272">
        <f>3.3-BJ24-BI24-BH24</f>
        <v>12.600000000000001</v>
      </c>
      <c r="BL24" s="270">
        <v>-20.6</v>
      </c>
      <c r="BM24" s="273">
        <f>BS!BL13-BS!BM13+BS!BL20-BS!BM20</f>
        <v>-3.3878280730841333</v>
      </c>
      <c r="BN24" s="273">
        <f>BS!BM13-BS!BN13+BS!BM20-BS!BN20</f>
        <v>0.44858713432828878</v>
      </c>
      <c r="BO24" s="274">
        <f>BS!BN13-BS!BO13+BS!BN20-BS!BO20</f>
        <v>-7.3562603101637833</v>
      </c>
      <c r="BP24" s="273">
        <f>BS!BO13-BS!BP13+BS!BO20-BS!BP20</f>
        <v>-0.91862625221181204</v>
      </c>
      <c r="BQ24" s="273">
        <f>BS!BP13-BS!BQ13+BS!BP20-BS!BQ20</f>
        <v>3.3889758121855031</v>
      </c>
      <c r="BR24" s="273">
        <f>BS!BQ13-BS!BR13+BS!BQ20-BS!BR20</f>
        <v>0.12993622898864032</v>
      </c>
      <c r="BS24" s="273">
        <f>BS!BR13-BS!BS13+BS!BR20-BS!BS20</f>
        <v>-2.5928568095715825</v>
      </c>
      <c r="BT24" s="275">
        <f>BS!BS13-BS!BT13+BS!BS20-BS!BT20</f>
        <v>-0.63331927454792236</v>
      </c>
      <c r="BU24" s="273">
        <f>BS!BT13-BS!BU13+BS!BT20-BS!BU20</f>
        <v>2.2876739787476197</v>
      </c>
      <c r="BV24" s="273">
        <f>BS!BU13-BS!BV13+BS!BU20-BS!BV20</f>
        <v>-0.16342311139851873</v>
      </c>
      <c r="BW24" s="274">
        <f>BS!BV13-BS!BW13+BS!BV20-BS!BW20</f>
        <v>-2.8378332552137913</v>
      </c>
      <c r="BX24" s="718"/>
      <c r="BY24" s="273">
        <f>SUM(D24:G24)</f>
        <v>6.3689999999999989</v>
      </c>
      <c r="BZ24" s="273">
        <f>SUM(H24:K24)</f>
        <v>3.7940000000000005</v>
      </c>
      <c r="CA24" s="273">
        <f>SUM(L24:O24)</f>
        <v>-3.7060000000000004</v>
      </c>
      <c r="CB24" s="273">
        <f>SUM(P24:S24)</f>
        <v>-3.395</v>
      </c>
      <c r="CC24" s="273">
        <f>SUM(T24:W24)</f>
        <v>-1.5339999999999998</v>
      </c>
      <c r="CD24" s="273">
        <f>SUM(X24:AA24)</f>
        <v>2.8600000000000003</v>
      </c>
      <c r="CE24" s="273">
        <f>SUM(AB24:AE24)</f>
        <v>-3.9319999999999999</v>
      </c>
      <c r="CF24" s="273">
        <f>SUM(AF24:AI24)</f>
        <v>-8.3490000000000002</v>
      </c>
      <c r="CG24" s="273">
        <f>SUM(AJ24:AM24)</f>
        <v>-1.7319999999999998</v>
      </c>
      <c r="CH24" s="273">
        <f>SUM(AN24:AQ24)</f>
        <v>-9.5180000000000007</v>
      </c>
      <c r="CI24" s="274">
        <f>SUM(AR24:AU24)</f>
        <v>-0.19999999999999951</v>
      </c>
      <c r="CJ24" s="275">
        <f>SUM(AV24:AY24)</f>
        <v>7.3</v>
      </c>
      <c r="CK24" s="273">
        <f>SUM(AZ24:BC24)</f>
        <v>-39.200000000000003</v>
      </c>
      <c r="CL24" s="273">
        <f t="shared" si="13"/>
        <v>-20.399999999999999</v>
      </c>
      <c r="CM24" s="273">
        <f t="shared" si="14"/>
        <v>3.3000000000000007</v>
      </c>
      <c r="CN24" s="273">
        <f t="shared" si="15"/>
        <v>-30.895501248919629</v>
      </c>
      <c r="CO24" s="273">
        <f t="shared" si="16"/>
        <v>7.4289793907489354E-3</v>
      </c>
      <c r="CP24" s="274">
        <f t="shared" si="17"/>
        <v>-1.3469016624126127</v>
      </c>
      <c r="CQ24" s="951"/>
      <c r="CR24" s="275">
        <f>SUM(M24:P24)</f>
        <v>-5.3449999999999998</v>
      </c>
      <c r="CS24" s="273">
        <f>SUM(Q24:T24)</f>
        <v>-3.1219999999999999</v>
      </c>
      <c r="CT24" s="273">
        <f>SUM(U24:X24)</f>
        <v>0.44900000000000018</v>
      </c>
      <c r="CU24" s="273">
        <f>SUM(Y24:AB24)</f>
        <v>2.931</v>
      </c>
      <c r="CV24" s="273">
        <f>SUM(AC24:AF24)</f>
        <v>-3.2549999999999994</v>
      </c>
      <c r="CW24" s="273">
        <f>SUM(AG24:AJ24)</f>
        <v>-7.0599999999999987</v>
      </c>
      <c r="CX24" s="273">
        <f>SUM(AK24:AN24)</f>
        <v>-10.369</v>
      </c>
      <c r="CY24" s="273">
        <f>SUM(AO24:AR24)</f>
        <v>-4.2630000000000017</v>
      </c>
      <c r="CZ24" s="273">
        <f>SUM(AS24:AV24)</f>
        <v>-0.48600000000000015</v>
      </c>
      <c r="DA24" s="273">
        <f>SUM(AW24:AZ24)</f>
        <v>15.600000000000001</v>
      </c>
      <c r="DB24" s="273">
        <f>SUM(BA24:BD24)</f>
        <v>-35.400000000000006</v>
      </c>
      <c r="DC24" s="273">
        <f>SUM(BE24:BH24)</f>
        <v>-19.900000000000002</v>
      </c>
      <c r="DD24" s="273">
        <f>SUM(BI24:BL24)</f>
        <v>-29.6</v>
      </c>
      <c r="DE24" s="273">
        <f>SUM(BM24:BP24)</f>
        <v>-11.21412750113144</v>
      </c>
      <c r="DF24" s="274">
        <f t="shared" si="31"/>
        <v>0.29273595705463862</v>
      </c>
      <c r="DG24" s="110"/>
      <c r="DH24" s="110"/>
      <c r="DI24" s="110"/>
      <c r="DJ24" s="110"/>
      <c r="DK24"/>
      <c r="DL24"/>
      <c r="DM24"/>
      <c r="DN24"/>
      <c r="DO24"/>
      <c r="DP24"/>
    </row>
    <row r="25" spans="2:122" s="109" customFormat="1" ht="14.25">
      <c r="B25" s="268" t="s">
        <v>129</v>
      </c>
      <c r="C25" s="269"/>
      <c r="D25" s="270">
        <v>0.377</v>
      </c>
      <c r="E25" s="271">
        <f>23.982-D25</f>
        <v>23.605</v>
      </c>
      <c r="F25" s="271">
        <f>31.123-E25-D25</f>
        <v>7.1410000000000009</v>
      </c>
      <c r="G25" s="272">
        <f>5.019-F25-E25-D25</f>
        <v>-26.103999999999999</v>
      </c>
      <c r="H25" s="270">
        <v>14.023999999999999</v>
      </c>
      <c r="I25" s="271">
        <f>19.663-H25</f>
        <v>5.6390000000000011</v>
      </c>
      <c r="J25" s="271">
        <f>38.152-I25-H25</f>
        <v>18.488999999999997</v>
      </c>
      <c r="K25" s="272">
        <f>23.036-J25-I25-H25</f>
        <v>-15.115999999999996</v>
      </c>
      <c r="L25" s="270">
        <v>1.105</v>
      </c>
      <c r="M25" s="271">
        <f>-6.865-L25</f>
        <v>-7.9700000000000006</v>
      </c>
      <c r="N25" s="271">
        <f>-11.283-M25-L25</f>
        <v>-4.4179999999999993</v>
      </c>
      <c r="O25" s="272">
        <f>-1.129-N25-M25-L25</f>
        <v>10.154</v>
      </c>
      <c r="P25" s="270">
        <v>0.02</v>
      </c>
      <c r="Q25" s="271">
        <f>2.457-P25</f>
        <v>2.4369999999999998</v>
      </c>
      <c r="R25" s="271">
        <f>3.527-Q25-P25</f>
        <v>1.0700000000000003</v>
      </c>
      <c r="S25" s="272">
        <f>0.795-R25-Q25-P25</f>
        <v>-2.7320000000000002</v>
      </c>
      <c r="T25" s="270">
        <v>-17.004000000000001</v>
      </c>
      <c r="U25" s="271">
        <f>-12.373-T25</f>
        <v>4.631000000000002</v>
      </c>
      <c r="V25" s="271">
        <f>-15.396-U25-T25</f>
        <v>-3.0229999999999997</v>
      </c>
      <c r="W25" s="272">
        <f>-16.654-V25-U25-T25</f>
        <v>-1.2579999999999991</v>
      </c>
      <c r="X25" s="270">
        <v>12.81</v>
      </c>
      <c r="Y25" s="271">
        <f>20.274-X25</f>
        <v>7.4640000000000004</v>
      </c>
      <c r="Z25" s="271">
        <f>12.822-Y25-X25</f>
        <v>-7.4520000000000017</v>
      </c>
      <c r="AA25" s="272">
        <f>2.11-Z25-Y25-X25</f>
        <v>-10.712</v>
      </c>
      <c r="AB25" s="270">
        <v>-5.9489999999999998</v>
      </c>
      <c r="AC25" s="271">
        <f>-10.429-AB25</f>
        <v>-4.4800000000000004</v>
      </c>
      <c r="AD25" s="271">
        <f>-10.314-AC25-AB25</f>
        <v>0.11500000000000021</v>
      </c>
      <c r="AE25" s="272">
        <f>9.219-AD25-AC25-AB25</f>
        <v>19.533000000000001</v>
      </c>
      <c r="AF25" s="270">
        <v>7.8479999999999999</v>
      </c>
      <c r="AG25" s="271">
        <f>7.499-AF25</f>
        <v>-0.3490000000000002</v>
      </c>
      <c r="AH25" s="271">
        <f>33.49-AG25-AF25</f>
        <v>25.991</v>
      </c>
      <c r="AI25" s="272">
        <f>42.869-AH25-AG25-AF25</f>
        <v>9.3790000000000013</v>
      </c>
      <c r="AJ25" s="270">
        <v>8.5679999999999996</v>
      </c>
      <c r="AK25" s="271">
        <f>-0.018-AJ25</f>
        <v>-8.5860000000000003</v>
      </c>
      <c r="AL25" s="271">
        <f>-12.992-AK25-AJ25</f>
        <v>-12.974</v>
      </c>
      <c r="AM25" s="272">
        <f>-14.35-AL25-AK25-AJ25</f>
        <v>-1.3579999999999988</v>
      </c>
      <c r="AN25" s="270">
        <v>-19.260000000000002</v>
      </c>
      <c r="AO25" s="271">
        <f>11.338-AN25</f>
        <v>30.597999999999999</v>
      </c>
      <c r="AP25" s="271">
        <f>10.258-AO25-AN25</f>
        <v>-1.0799999999999983</v>
      </c>
      <c r="AQ25" s="272">
        <f>15.244-AP25-AO25-AN25</f>
        <v>4.9860000000000007</v>
      </c>
      <c r="AR25" s="270">
        <v>-29.221</v>
      </c>
      <c r="AS25" s="271">
        <f>-29-AR25</f>
        <v>0.22100000000000009</v>
      </c>
      <c r="AT25" s="271">
        <f>-25.4-AS25-AR25</f>
        <v>3.6000000000000014</v>
      </c>
      <c r="AU25" s="272">
        <f>-14.1-AT25-AS25-AR25</f>
        <v>11.299999999999997</v>
      </c>
      <c r="AV25" s="270">
        <v>-19.2</v>
      </c>
      <c r="AW25" s="271">
        <f>-0.7-AV25</f>
        <v>18.5</v>
      </c>
      <c r="AX25" s="271">
        <f>37.5-AW25-AV25</f>
        <v>38.200000000000003</v>
      </c>
      <c r="AY25" s="272">
        <f>74.2-AX25-AW25-AV25</f>
        <v>36.700000000000003</v>
      </c>
      <c r="AZ25" s="270">
        <v>10.4</v>
      </c>
      <c r="BA25" s="271">
        <f>30.4-AZ25</f>
        <v>20</v>
      </c>
      <c r="BB25" s="271">
        <f>27.4-BA25-AZ25</f>
        <v>-3.0000000000000018</v>
      </c>
      <c r="BC25" s="272">
        <f>90.5-BB25-BA25-AZ25</f>
        <v>63.1</v>
      </c>
      <c r="BD25" s="270">
        <v>-96.2</v>
      </c>
      <c r="BE25" s="271">
        <f>-110.5-BD25</f>
        <v>-14.299999999999997</v>
      </c>
      <c r="BF25" s="271">
        <f>-110.2-BE25-BD25</f>
        <v>0.29999999999999716</v>
      </c>
      <c r="BG25" s="272">
        <f>-181.5-BF25-BE25-BD25</f>
        <v>-71.3</v>
      </c>
      <c r="BH25" s="270">
        <v>50.9</v>
      </c>
      <c r="BI25" s="271">
        <f>53.2-BH25</f>
        <v>2.3000000000000043</v>
      </c>
      <c r="BJ25" s="271">
        <f>68.1-BI25-BH25</f>
        <v>14.899999999999984</v>
      </c>
      <c r="BK25" s="272">
        <f>147.8-BJ25-BI25-BH25</f>
        <v>79.700000000000017</v>
      </c>
      <c r="BL25" s="270">
        <v>-105.4</v>
      </c>
      <c r="BM25" s="273">
        <f>BS!BM25-BS!BL25</f>
        <v>-13.729171543406579</v>
      </c>
      <c r="BN25" s="273">
        <f>BS!BN25-BS!BM25</f>
        <v>-6.0576120171758134</v>
      </c>
      <c r="BO25" s="274">
        <f>BS!BO25-BS!BN25</f>
        <v>26.358084876950329</v>
      </c>
      <c r="BP25" s="273">
        <f>BS!BP25-BS!BO25</f>
        <v>41.821716031201902</v>
      </c>
      <c r="BQ25" s="273">
        <f>BS!BQ25-BS!BP25</f>
        <v>-18.170536014076475</v>
      </c>
      <c r="BR25" s="273">
        <f>BS!BR25-BS!BQ25</f>
        <v>-0.15022876098444726</v>
      </c>
      <c r="BS25" s="273">
        <f>BS!BS25-BS!BR25</f>
        <v>13.884499178594837</v>
      </c>
      <c r="BT25" s="275">
        <f>BS!BT25-BS!BS25</f>
        <v>8.7288391586056662</v>
      </c>
      <c r="BU25" s="273">
        <f>BS!BU25-BS!BT25</f>
        <v>-11.60183828761572</v>
      </c>
      <c r="BV25" s="273">
        <f>BS!BV25-BS!BU25</f>
        <v>2.423970289962881</v>
      </c>
      <c r="BW25" s="274">
        <f>BS!BW25-BS!BV25</f>
        <v>16.661984327135059</v>
      </c>
      <c r="BX25" s="718"/>
      <c r="BY25" s="273">
        <f>SUM(D25:G25)</f>
        <v>5.0190000000000019</v>
      </c>
      <c r="BZ25" s="273">
        <f>SUM(H25:K25)</f>
        <v>23.036000000000005</v>
      </c>
      <c r="CA25" s="273">
        <f>SUM(L25:O25)</f>
        <v>-1.1289999999999996</v>
      </c>
      <c r="CB25" s="273">
        <f>SUM(P25:S25)</f>
        <v>0.79499999999999993</v>
      </c>
      <c r="CC25" s="273">
        <f>SUM(T25:W25)</f>
        <v>-16.653999999999996</v>
      </c>
      <c r="CD25" s="273">
        <f>SUM(X25:AA25)</f>
        <v>2.1099999999999994</v>
      </c>
      <c r="CE25" s="273">
        <f>SUM(AB25:AE25)</f>
        <v>9.2190000000000012</v>
      </c>
      <c r="CF25" s="273">
        <f>SUM(AF25:AI25)</f>
        <v>42.869</v>
      </c>
      <c r="CG25" s="273">
        <f>SUM(AJ25:AM25)</f>
        <v>-14.35</v>
      </c>
      <c r="CH25" s="273">
        <f>SUM(AN25:AQ25)</f>
        <v>15.244</v>
      </c>
      <c r="CI25" s="274">
        <f>SUM(AR25:AU25)</f>
        <v>-14.100000000000001</v>
      </c>
      <c r="CJ25" s="275">
        <f>SUM(AV25:AY25)</f>
        <v>74.2</v>
      </c>
      <c r="CK25" s="273">
        <f>SUM(AZ25:BC25)</f>
        <v>90.5</v>
      </c>
      <c r="CL25" s="273">
        <f t="shared" si="13"/>
        <v>-181.5</v>
      </c>
      <c r="CM25" s="273">
        <f t="shared" si="14"/>
        <v>147.80000000000001</v>
      </c>
      <c r="CN25" s="273">
        <f t="shared" si="15"/>
        <v>-98.828698683632069</v>
      </c>
      <c r="CO25" s="273">
        <f t="shared" si="16"/>
        <v>37.385450434735816</v>
      </c>
      <c r="CP25" s="274">
        <f t="shared" si="17"/>
        <v>16.212955488087886</v>
      </c>
      <c r="CQ25" s="951"/>
      <c r="CR25" s="275">
        <f>SUM(M25:P25)</f>
        <v>-2.214</v>
      </c>
      <c r="CS25" s="273">
        <f>SUM(Q25:T25)</f>
        <v>-16.229000000000003</v>
      </c>
      <c r="CT25" s="273">
        <f>SUM(U25:X25)</f>
        <v>13.160000000000004</v>
      </c>
      <c r="CU25" s="273">
        <f>SUM(Y25:AB25)</f>
        <v>-16.649000000000001</v>
      </c>
      <c r="CV25" s="273">
        <f>SUM(AC25:AF25)</f>
        <v>23.016000000000002</v>
      </c>
      <c r="CW25" s="273">
        <f>SUM(AG25:AJ25)</f>
        <v>43.588999999999999</v>
      </c>
      <c r="CX25" s="273">
        <f>SUM(AK25:AN25)</f>
        <v>-42.177999999999997</v>
      </c>
      <c r="CY25" s="273">
        <f>SUM(AO25:AR25)</f>
        <v>5.2830000000000048</v>
      </c>
      <c r="CZ25" s="273">
        <f>SUM(AS25:AV25)</f>
        <v>-4.0790000000000006</v>
      </c>
      <c r="DA25" s="273">
        <f>SUM(AW25:AZ25)</f>
        <v>103.80000000000001</v>
      </c>
      <c r="DB25" s="273">
        <f>SUM(BA25:BD25)</f>
        <v>-16.100000000000009</v>
      </c>
      <c r="DC25" s="273">
        <f>SUM(BE25:BH25)</f>
        <v>-34.4</v>
      </c>
      <c r="DD25" s="273">
        <f>SUM(BI25:BL25)</f>
        <v>-8.5</v>
      </c>
      <c r="DE25" s="273">
        <f>SUM(BM25:BP25)</f>
        <v>48.393017347569838</v>
      </c>
      <c r="DF25" s="274">
        <f t="shared" si="31"/>
        <v>4.2925735621395802</v>
      </c>
      <c r="DG25" s="110"/>
      <c r="DH25" s="110"/>
      <c r="DI25" s="110"/>
      <c r="DJ25" s="110"/>
      <c r="DK25"/>
      <c r="DL25"/>
      <c r="DM25"/>
      <c r="DN25"/>
      <c r="DO25"/>
      <c r="DP25"/>
    </row>
    <row r="26" spans="2:122" s="109" customFormat="1" ht="14.25">
      <c r="B26" s="268" t="s">
        <v>213</v>
      </c>
      <c r="C26" s="269"/>
      <c r="D26" s="270">
        <v>-43.726999999999997</v>
      </c>
      <c r="E26" s="271">
        <f>-43.137-D26</f>
        <v>0.58999999999999631</v>
      </c>
      <c r="F26" s="271">
        <f>-56.552-E26-D26</f>
        <v>-13.414999999999999</v>
      </c>
      <c r="G26" s="272">
        <f>-58.149-F26-E26-D26</f>
        <v>-1.5970000000000013</v>
      </c>
      <c r="H26" s="270">
        <v>7.6509999999999998</v>
      </c>
      <c r="I26" s="271">
        <f>3.022-H26</f>
        <v>-4.6289999999999996</v>
      </c>
      <c r="J26" s="271">
        <f>9.215-I26-H26</f>
        <v>6.1929999999999996</v>
      </c>
      <c r="K26" s="272">
        <f>13.406-J26-I26-H26</f>
        <v>4.1910000000000007</v>
      </c>
      <c r="L26" s="270">
        <v>-13.81</v>
      </c>
      <c r="M26" s="271">
        <f>-14.422-L26</f>
        <v>-0.6120000000000001</v>
      </c>
      <c r="N26" s="271">
        <f>-12.58-M26-L26</f>
        <v>1.8420000000000005</v>
      </c>
      <c r="O26" s="272">
        <f>-21.118-N26-M26-L26</f>
        <v>-8.5379999999999985</v>
      </c>
      <c r="P26" s="270">
        <v>3.5270000000000001</v>
      </c>
      <c r="Q26" s="271">
        <f>0.959-P26</f>
        <v>-2.5680000000000001</v>
      </c>
      <c r="R26" s="271">
        <f>0.089-Q26-P26</f>
        <v>-0.87000000000000011</v>
      </c>
      <c r="S26" s="272">
        <f>16.524-R26-Q26-P26</f>
        <v>16.435000000000002</v>
      </c>
      <c r="T26" s="270">
        <v>1.0860000000000001</v>
      </c>
      <c r="U26" s="271">
        <f>-5.271-T26</f>
        <v>-6.3570000000000002</v>
      </c>
      <c r="V26" s="271">
        <f>-6.839-U26-T26</f>
        <v>-1.5680000000000003</v>
      </c>
      <c r="W26" s="272">
        <f>-10.815-V26-U26-T26</f>
        <v>-3.976</v>
      </c>
      <c r="X26" s="270">
        <v>-0.35499999999999998</v>
      </c>
      <c r="Y26" s="271">
        <f>-3.654-X26</f>
        <v>-3.2989999999999999</v>
      </c>
      <c r="Z26" s="271">
        <f>-5.302-Y26-X26</f>
        <v>-1.6479999999999997</v>
      </c>
      <c r="AA26" s="272">
        <f>-5.051-Z26-Y26-X26</f>
        <v>0.25099999999999945</v>
      </c>
      <c r="AB26" s="270">
        <v>-6.2850000000000001</v>
      </c>
      <c r="AC26" s="271">
        <f>-3.836-AB26</f>
        <v>2.4490000000000003</v>
      </c>
      <c r="AD26" s="271">
        <f>-4.012-AC26-AB26</f>
        <v>-0.17600000000000016</v>
      </c>
      <c r="AE26" s="272">
        <f>-2.549-AD26-AC26-AB26</f>
        <v>1.4630000000000001</v>
      </c>
      <c r="AF26" s="270">
        <v>0.47099999999999997</v>
      </c>
      <c r="AG26" s="271">
        <f>1.026-AF26</f>
        <v>0.55500000000000005</v>
      </c>
      <c r="AH26" s="271">
        <f>5.713-AG26-AF26</f>
        <v>4.6870000000000003</v>
      </c>
      <c r="AI26" s="272">
        <f>9.767-AH26-AG26-AF26</f>
        <v>4.0539999999999994</v>
      </c>
      <c r="AJ26" s="270">
        <v>-1.3620000000000001</v>
      </c>
      <c r="AK26" s="271">
        <f>15.721-AJ26</f>
        <v>17.082999999999998</v>
      </c>
      <c r="AL26" s="271">
        <f>31.55-AK26-AJ26</f>
        <v>15.829000000000002</v>
      </c>
      <c r="AM26" s="272">
        <f>41.944-AL26-AK26-AJ26</f>
        <v>10.394000000000004</v>
      </c>
      <c r="AN26" s="270">
        <v>9.8550000000000004</v>
      </c>
      <c r="AO26" s="271">
        <f>11.793-AN26</f>
        <v>1.9379999999999988</v>
      </c>
      <c r="AP26" s="271">
        <f>17.143-AO26-AN26</f>
        <v>5.3500000000000014</v>
      </c>
      <c r="AQ26" s="272">
        <f>13.753-AP26-AO26-AN26</f>
        <v>-3.3900000000000006</v>
      </c>
      <c r="AR26" s="270">
        <v>17.266999999999999</v>
      </c>
      <c r="AS26" s="271">
        <f>22.3-AR26</f>
        <v>5.0330000000000013</v>
      </c>
      <c r="AT26" s="271">
        <f>23-AS26-AR26</f>
        <v>0.69999999999999929</v>
      </c>
      <c r="AU26" s="272">
        <f>32.2-AT26-AS26-AR26</f>
        <v>9.2000000000000028</v>
      </c>
      <c r="AV26" s="270">
        <v>20.6</v>
      </c>
      <c r="AW26" s="271">
        <f>25.6-AV26</f>
        <v>5</v>
      </c>
      <c r="AX26" s="271">
        <f>50.1-AW26-AV26</f>
        <v>24.5</v>
      </c>
      <c r="AY26" s="272">
        <f>62.4-AX26-AW26-AV26</f>
        <v>12.299999999999997</v>
      </c>
      <c r="AZ26" s="270">
        <v>65.7</v>
      </c>
      <c r="BA26" s="271">
        <f>26.9-AZ26</f>
        <v>-38.800000000000004</v>
      </c>
      <c r="BB26" s="271">
        <f>71.7-BA26-AZ26</f>
        <v>44.8</v>
      </c>
      <c r="BC26" s="272">
        <f>106-BB26-BA26-AZ26</f>
        <v>34.299999999999997</v>
      </c>
      <c r="BD26" s="270">
        <v>39.700000000000003</v>
      </c>
      <c r="BE26" s="271">
        <f>-14-BD26</f>
        <v>-53.7</v>
      </c>
      <c r="BF26" s="271">
        <f>-10.4-BE26-BD26</f>
        <v>3.6000000000000014</v>
      </c>
      <c r="BG26" s="272">
        <f>27.9-BF26-BE26-BD26</f>
        <v>38.299999999999997</v>
      </c>
      <c r="BH26" s="270">
        <v>59.9</v>
      </c>
      <c r="BI26" s="271">
        <f>36.2-BH26</f>
        <v>-23.699999999999996</v>
      </c>
      <c r="BJ26" s="271">
        <f>68.4-BI26-BH26</f>
        <v>32.199999999999996</v>
      </c>
      <c r="BK26" s="272">
        <f>96.3-BJ26-BI26-BH26</f>
        <v>27.899999999999984</v>
      </c>
      <c r="BL26" s="270">
        <v>269.7</v>
      </c>
      <c r="BM26" s="402">
        <f>BS!BM27-BS!BL27+BS!BM26-BS!BL26+BS!BM31-BS!BL31+BS!BM57-BS!BL57</f>
        <v>0</v>
      </c>
      <c r="BN26" s="402">
        <f>BS!BN27-BS!BM27+BS!BN26-BS!BM26+BS!BN31-BS!BM31+BS!BN57-BS!BM57</f>
        <v>0</v>
      </c>
      <c r="BO26" s="582">
        <f>BS!BO27-BS!BN27+BS!BO26-BS!BN26+BS!BO31-BS!BN31+BS!BO57-BS!BN57</f>
        <v>0</v>
      </c>
      <c r="BP26" s="402">
        <f>BS!BP27-BS!BO27+BS!BP26-BS!BO26+BS!BP31-BS!BO31+BS!BP57-BS!BO57</f>
        <v>0</v>
      </c>
      <c r="BQ26" s="402">
        <f>BS!BQ27-BS!BP27+BS!BQ26-BS!BP26+BS!BQ31-BS!BP31+BS!BQ57-BS!BP57</f>
        <v>0</v>
      </c>
      <c r="BR26" s="402">
        <f>BS!BR27-BS!BQ27+BS!BR26-BS!BQ26+BS!BR31-BS!BQ31+BS!BR57-BS!BQ57</f>
        <v>0</v>
      </c>
      <c r="BS26" s="402">
        <f>BS!BS27-BS!BR27+BS!BS26-BS!BR26+BS!BS31-BS!BR31+BS!BS57-BS!BR57</f>
        <v>0</v>
      </c>
      <c r="BT26" s="917">
        <f>BS!BT27-BS!BS27+BS!BT26-BS!BS26+BS!BT31-BS!BS31+BS!BT57-BS!BS57</f>
        <v>0</v>
      </c>
      <c r="BU26" s="402">
        <f>BS!BU27-BS!BT27+BS!BU26-BS!BT26+BS!BU31-BS!BT31+BS!BU57-BS!BT57</f>
        <v>0</v>
      </c>
      <c r="BV26" s="402">
        <f>BS!BV27-BS!BU27+BS!BV26-BS!BU26+BS!BV31-BS!BU31+BS!BV57-BS!BU57</f>
        <v>0</v>
      </c>
      <c r="BW26" s="402">
        <f>BS!BW27-BS!BV27+BS!BW26-BS!BV26+BS!BW31-BS!BV31+BS!BW57-BS!BV57</f>
        <v>0</v>
      </c>
      <c r="BX26" s="718"/>
      <c r="BY26" s="402">
        <f>SUM(D26:G26)</f>
        <v>-58.149000000000001</v>
      </c>
      <c r="BZ26" s="402">
        <f>SUM(H26:K26)</f>
        <v>13.406000000000001</v>
      </c>
      <c r="CA26" s="402">
        <f>SUM(L26:O26)</f>
        <v>-21.117999999999999</v>
      </c>
      <c r="CB26" s="402">
        <f>SUM(P26:S26)</f>
        <v>16.524000000000001</v>
      </c>
      <c r="CC26" s="402">
        <f>SUM(T26:W26)</f>
        <v>-10.815000000000001</v>
      </c>
      <c r="CD26" s="402">
        <f>SUM(X26:AA26)</f>
        <v>-5.0510000000000002</v>
      </c>
      <c r="CE26" s="402">
        <f>SUM(AB26:AE26)</f>
        <v>-2.5490000000000004</v>
      </c>
      <c r="CF26" s="402">
        <f>SUM(AF26:AI26)</f>
        <v>9.7669999999999995</v>
      </c>
      <c r="CG26" s="273">
        <f>SUM(AJ26:AM26)</f>
        <v>41.944000000000003</v>
      </c>
      <c r="CH26" s="273">
        <f>SUM(AN26:AQ26)</f>
        <v>13.753</v>
      </c>
      <c r="CI26" s="582">
        <f>SUM(AR26:AU26)</f>
        <v>32.200000000000003</v>
      </c>
      <c r="CJ26" s="856">
        <f>SUM(AV26:AY26)</f>
        <v>62.4</v>
      </c>
      <c r="CK26" s="402">
        <f>SUM(AZ26:BC26)</f>
        <v>105.99999999999999</v>
      </c>
      <c r="CL26" s="402">
        <f t="shared" si="13"/>
        <v>27.9</v>
      </c>
      <c r="CM26" s="402">
        <f t="shared" si="14"/>
        <v>96.299999999999983</v>
      </c>
      <c r="CN26" s="402">
        <f t="shared" si="15"/>
        <v>269.7</v>
      </c>
      <c r="CO26" s="402">
        <f t="shared" si="16"/>
        <v>0</v>
      </c>
      <c r="CP26" s="582">
        <f t="shared" si="17"/>
        <v>0</v>
      </c>
      <c r="CQ26" s="951"/>
      <c r="CR26" s="275">
        <f>SUM(M26:P26)</f>
        <v>-3.7809999999999979</v>
      </c>
      <c r="CS26" s="273">
        <f>SUM(Q26:T26)</f>
        <v>14.083000000000002</v>
      </c>
      <c r="CT26" s="378">
        <f>SUM(U26:X26)</f>
        <v>-12.256</v>
      </c>
      <c r="CU26" s="273">
        <f>SUM(Y26:AB26)</f>
        <v>-10.981</v>
      </c>
      <c r="CV26" s="273">
        <f>SUM(AC26:AF26)</f>
        <v>4.2069999999999999</v>
      </c>
      <c r="CW26" s="273">
        <f>SUM(AG26:AJ26)</f>
        <v>7.9339999999999993</v>
      </c>
      <c r="CX26" s="273">
        <f>SUM(AK26:AN26)</f>
        <v>53.161000000000001</v>
      </c>
      <c r="CY26" s="273">
        <f>SUM(AO26:AR26)</f>
        <v>21.164999999999999</v>
      </c>
      <c r="CZ26" s="378">
        <f>SUM(AS26:AV26)</f>
        <v>35.533000000000001</v>
      </c>
      <c r="DA26" s="378">
        <f>SUM(AW26:AZ26)</f>
        <v>107.5</v>
      </c>
      <c r="DB26" s="378">
        <f>SUM(BA26:BD26)</f>
        <v>80</v>
      </c>
      <c r="DC26" s="378">
        <f>SUM(BE26:BH26)</f>
        <v>48.099999999999994</v>
      </c>
      <c r="DD26" s="378">
        <f>SUM(BI26:BL26)</f>
        <v>306.09999999999997</v>
      </c>
      <c r="DE26" s="378">
        <f>SUM(BM26:BP26)</f>
        <v>0</v>
      </c>
      <c r="DF26" s="379">
        <f t="shared" si="31"/>
        <v>0</v>
      </c>
      <c r="DG26" s="110"/>
      <c r="DH26" s="110"/>
      <c r="DI26" s="110"/>
      <c r="DJ26" s="110"/>
      <c r="DK26"/>
      <c r="DL26"/>
      <c r="DM26"/>
      <c r="DN26"/>
      <c r="DO26"/>
      <c r="DP26"/>
    </row>
    <row r="27" spans="2:122" s="281" customFormat="1" ht="15.75" thickBot="1">
      <c r="B27" s="394" t="s">
        <v>179</v>
      </c>
      <c r="C27" s="395"/>
      <c r="D27" s="284">
        <f t="shared" ref="D27:S27" si="47">D8+SUM(D10:D26)</f>
        <v>-31.052999999999997</v>
      </c>
      <c r="E27" s="285">
        <f t="shared" si="47"/>
        <v>2.601999999999987</v>
      </c>
      <c r="F27" s="285">
        <f t="shared" si="47"/>
        <v>-14.778999999999979</v>
      </c>
      <c r="G27" s="285">
        <f t="shared" si="47"/>
        <v>-28.822000000000031</v>
      </c>
      <c r="H27" s="284">
        <f t="shared" si="47"/>
        <v>26.124999999999993</v>
      </c>
      <c r="I27" s="285">
        <f>I8+SUM(I10:I26)</f>
        <v>18.980000000000011</v>
      </c>
      <c r="J27" s="285">
        <f t="shared" si="47"/>
        <v>18.401000000000003</v>
      </c>
      <c r="K27" s="285">
        <f t="shared" si="47"/>
        <v>28.406999999999954</v>
      </c>
      <c r="L27" s="284">
        <f t="shared" si="47"/>
        <v>7.1260000000000119</v>
      </c>
      <c r="M27" s="285">
        <f t="shared" si="47"/>
        <v>-73.737000000000009</v>
      </c>
      <c r="N27" s="285">
        <f t="shared" si="47"/>
        <v>25.465000000000011</v>
      </c>
      <c r="O27" s="285">
        <f t="shared" si="47"/>
        <v>95.342999999999975</v>
      </c>
      <c r="P27" s="284">
        <f t="shared" si="47"/>
        <v>21.999999999999993</v>
      </c>
      <c r="Q27" s="285">
        <f t="shared" si="47"/>
        <v>0.84900000000001041</v>
      </c>
      <c r="R27" s="285">
        <f t="shared" si="47"/>
        <v>-18.340999999999998</v>
      </c>
      <c r="S27" s="285">
        <f t="shared" si="47"/>
        <v>22.717700000000036</v>
      </c>
      <c r="T27" s="284">
        <f>T8+SUM(T10:T26)</f>
        <v>15.76</v>
      </c>
      <c r="U27" s="285">
        <f>U8+SUM(U10:U26)</f>
        <v>25.882000000000019</v>
      </c>
      <c r="V27" s="285">
        <f>V8+SUM(V10:V26)</f>
        <v>13.119000000000003</v>
      </c>
      <c r="W27" s="285">
        <f>W8+SUM(W10:W26)</f>
        <v>30.016999999999907</v>
      </c>
      <c r="X27" s="284">
        <f t="shared" ref="X27:AW27" si="48">X8+SUM(X10:X26)</f>
        <v>55.493999999999993</v>
      </c>
      <c r="Y27" s="285">
        <f t="shared" si="48"/>
        <v>40.378999999999991</v>
      </c>
      <c r="Z27" s="285">
        <f t="shared" si="48"/>
        <v>26.201999999999991</v>
      </c>
      <c r="AA27" s="285">
        <f t="shared" si="48"/>
        <v>51.60300000000008</v>
      </c>
      <c r="AB27" s="284">
        <f t="shared" si="48"/>
        <v>77.735000000000014</v>
      </c>
      <c r="AC27" s="285">
        <f t="shared" si="48"/>
        <v>21.939000000000021</v>
      </c>
      <c r="AD27" s="285">
        <f t="shared" si="48"/>
        <v>43.590999999999987</v>
      </c>
      <c r="AE27" s="285">
        <f t="shared" si="48"/>
        <v>68.578999999999951</v>
      </c>
      <c r="AF27" s="284">
        <f t="shared" si="48"/>
        <v>53.012</v>
      </c>
      <c r="AG27" s="285">
        <f t="shared" si="48"/>
        <v>60.164999999999992</v>
      </c>
      <c r="AH27" s="285">
        <f t="shared" si="48"/>
        <v>36.499999999999993</v>
      </c>
      <c r="AI27" s="286">
        <f t="shared" si="48"/>
        <v>73.285000000000025</v>
      </c>
      <c r="AJ27" s="284">
        <f t="shared" si="48"/>
        <v>64.822000000000017</v>
      </c>
      <c r="AK27" s="285">
        <f t="shared" si="48"/>
        <v>92.222999999999985</v>
      </c>
      <c r="AL27" s="285">
        <f t="shared" si="48"/>
        <v>85.974000000000018</v>
      </c>
      <c r="AM27" s="286">
        <f t="shared" si="48"/>
        <v>122.79899999999998</v>
      </c>
      <c r="AN27" s="284">
        <f t="shared" si="48"/>
        <v>77.232000000000028</v>
      </c>
      <c r="AO27" s="285">
        <f t="shared" si="48"/>
        <v>116.95600000000002</v>
      </c>
      <c r="AP27" s="285">
        <f t="shared" si="48"/>
        <v>40.697000000000003</v>
      </c>
      <c r="AQ27" s="286">
        <f t="shared" si="48"/>
        <v>50.354000000000035</v>
      </c>
      <c r="AR27" s="284">
        <f t="shared" si="48"/>
        <v>147.67999999999998</v>
      </c>
      <c r="AS27" s="285">
        <f t="shared" si="48"/>
        <v>130.21299999999997</v>
      </c>
      <c r="AT27" s="285">
        <f t="shared" si="48"/>
        <v>64.300000000000026</v>
      </c>
      <c r="AU27" s="286">
        <f t="shared" si="48"/>
        <v>157.5</v>
      </c>
      <c r="AV27" s="284">
        <f t="shared" si="48"/>
        <v>158.80000000000001</v>
      </c>
      <c r="AW27" s="285">
        <f t="shared" si="48"/>
        <v>214.2</v>
      </c>
      <c r="AX27" s="285">
        <f t="shared" ref="AX27:BC27" si="49">AX8+SUM(AX10:AX26)</f>
        <v>199</v>
      </c>
      <c r="AY27" s="286">
        <f t="shared" si="49"/>
        <v>200.40000000000003</v>
      </c>
      <c r="AZ27" s="284">
        <f t="shared" si="49"/>
        <v>383.2</v>
      </c>
      <c r="BA27" s="285">
        <f t="shared" si="49"/>
        <v>155</v>
      </c>
      <c r="BB27" s="285">
        <f t="shared" si="49"/>
        <v>221.90000000000003</v>
      </c>
      <c r="BC27" s="286">
        <f t="shared" si="49"/>
        <v>232.69999999999993</v>
      </c>
      <c r="BD27" s="284">
        <f t="shared" ref="BD27:BO27" si="50">BD8+SUM(BD10:BD26)</f>
        <v>345.3</v>
      </c>
      <c r="BE27" s="285">
        <f t="shared" si="50"/>
        <v>154.50000000000003</v>
      </c>
      <c r="BF27" s="285">
        <f t="shared" si="50"/>
        <v>140.90000000000009</v>
      </c>
      <c r="BG27" s="286">
        <f t="shared" si="50"/>
        <v>454.99999999999994</v>
      </c>
      <c r="BH27" s="284">
        <f>BH8+SUM(BH10:BH26)</f>
        <v>495.9</v>
      </c>
      <c r="BI27" s="285">
        <f>BI8+SUM(BI10:BI26)</f>
        <v>235.90000000000003</v>
      </c>
      <c r="BJ27" s="285">
        <f>BJ8+SUM(BJ10:BJ26)</f>
        <v>314.09999999999997</v>
      </c>
      <c r="BK27" s="286">
        <f t="shared" ref="BK27" si="51">BK8+SUM(BK10:BK26)</f>
        <v>425.40000000000003</v>
      </c>
      <c r="BL27" s="284">
        <f>BL8+SUM(BL10:BL26)</f>
        <v>360.80000000000007</v>
      </c>
      <c r="BM27" s="285">
        <f t="shared" si="50"/>
        <v>456.84817093682329</v>
      </c>
      <c r="BN27" s="285">
        <f t="shared" si="50"/>
        <v>372.97763215237006</v>
      </c>
      <c r="BO27" s="286">
        <f t="shared" si="50"/>
        <v>290.67745706784916</v>
      </c>
      <c r="BP27" s="285">
        <f t="shared" ref="BP27:BW27" si="52">BP8+SUM(BP10:BP26)</f>
        <v>466.4950886922561</v>
      </c>
      <c r="BQ27" s="285">
        <f t="shared" si="52"/>
        <v>469.37248811674988</v>
      </c>
      <c r="BR27" s="285">
        <f t="shared" si="52"/>
        <v>405.77767178710252</v>
      </c>
      <c r="BS27" s="285">
        <f t="shared" si="52"/>
        <v>384.80338667782661</v>
      </c>
      <c r="BT27" s="284">
        <f t="shared" si="52"/>
        <v>449.41980747120124</v>
      </c>
      <c r="BU27" s="285">
        <f t="shared" si="52"/>
        <v>475.1610065511195</v>
      </c>
      <c r="BV27" s="285">
        <f t="shared" si="52"/>
        <v>433.79411946344567</v>
      </c>
      <c r="BW27" s="285">
        <f t="shared" si="52"/>
        <v>418.42945421215717</v>
      </c>
      <c r="BX27" s="719"/>
      <c r="BY27" s="285">
        <f>BY8+SUM(BY10:BY26)</f>
        <v>-72.052000000000021</v>
      </c>
      <c r="BZ27" s="285">
        <f>BZ8+SUM(BZ10:BZ26)</f>
        <v>91.912999999999968</v>
      </c>
      <c r="CA27" s="285">
        <f>CA8+SUM(CA10:CA26)</f>
        <v>54.197000000000003</v>
      </c>
      <c r="CB27" s="285">
        <f>CB8+SUM(CB10:CB26)</f>
        <v>27.225700000000018</v>
      </c>
      <c r="CC27" s="285">
        <f>CC8+SUM(CC10:CC26)</f>
        <v>84.777999999999921</v>
      </c>
      <c r="CD27" s="285">
        <f t="shared" ref="CD27:CN27" si="53">CD8+SUM(CD10:CD26)</f>
        <v>173.67800000000005</v>
      </c>
      <c r="CE27" s="285">
        <f t="shared" si="53"/>
        <v>211.84399999999994</v>
      </c>
      <c r="CF27" s="285">
        <f t="shared" si="53"/>
        <v>222.96199999999999</v>
      </c>
      <c r="CG27" s="285">
        <f t="shared" si="53"/>
        <v>365.81799999999998</v>
      </c>
      <c r="CH27" s="285">
        <f t="shared" si="53"/>
        <v>285.23900000000003</v>
      </c>
      <c r="CI27" s="286">
        <f t="shared" si="53"/>
        <v>499.69300000000004</v>
      </c>
      <c r="CJ27" s="284">
        <f t="shared" si="53"/>
        <v>772.4</v>
      </c>
      <c r="CK27" s="285">
        <f t="shared" si="53"/>
        <v>992.80000000000007</v>
      </c>
      <c r="CL27" s="285">
        <f t="shared" si="53"/>
        <v>1095.7</v>
      </c>
      <c r="CM27" s="285">
        <f t="shared" si="53"/>
        <v>1471.3000000000002</v>
      </c>
      <c r="CN27" s="285">
        <f t="shared" si="53"/>
        <v>1481.3032601570426</v>
      </c>
      <c r="CO27" s="285">
        <f>CO8+SUM(CO10:CO26)</f>
        <v>1726.4486352739352</v>
      </c>
      <c r="CP27" s="286">
        <f>CP8+SUM(CP10:CP26)</f>
        <v>1776.8043876979236</v>
      </c>
      <c r="CQ27" s="952"/>
      <c r="CR27" s="284">
        <f>CR8+SUM(CR10:CR26)</f>
        <v>69.070999999999984</v>
      </c>
      <c r="CS27" s="285">
        <f>CS8+SUM(CS10:CS26)</f>
        <v>20.985700000000051</v>
      </c>
      <c r="CT27" s="285">
        <f>CT8+SUM(CT10:CT26)</f>
        <v>124.5119999999999</v>
      </c>
      <c r="CU27" s="285">
        <f t="shared" ref="CU27:CZ27" si="54">CU8+SUM(CU10:CU26)</f>
        <v>195.9190000000001</v>
      </c>
      <c r="CV27" s="285">
        <f t="shared" si="54"/>
        <v>187.12099999999992</v>
      </c>
      <c r="CW27" s="285">
        <f t="shared" si="54"/>
        <v>234.77199999999999</v>
      </c>
      <c r="CX27" s="285">
        <f t="shared" si="54"/>
        <v>378.22799999999995</v>
      </c>
      <c r="CY27" s="285">
        <f t="shared" si="54"/>
        <v>355.68700000000001</v>
      </c>
      <c r="CZ27" s="285">
        <f t="shared" si="54"/>
        <v>510.81299999999999</v>
      </c>
      <c r="DA27" s="285">
        <f t="shared" ref="DA27:DF27" si="55">DA8+SUM(DA10:DA26)</f>
        <v>996.80000000000007</v>
      </c>
      <c r="DB27" s="285">
        <f t="shared" si="55"/>
        <v>954.90000000000009</v>
      </c>
      <c r="DC27" s="285">
        <f t="shared" si="55"/>
        <v>1246.3000000000002</v>
      </c>
      <c r="DD27" s="285">
        <f t="shared" si="55"/>
        <v>1336.2000000000003</v>
      </c>
      <c r="DE27" s="285">
        <f t="shared" si="55"/>
        <v>1586.9983488492985</v>
      </c>
      <c r="DF27" s="286">
        <f t="shared" si="55"/>
        <v>1709.3733540528801</v>
      </c>
      <c r="DG27" s="248"/>
      <c r="DH27" s="248"/>
      <c r="DI27" s="248"/>
      <c r="DJ27" s="248"/>
      <c r="DK27"/>
      <c r="DL27"/>
      <c r="DM27"/>
      <c r="DN27"/>
      <c r="DO27"/>
      <c r="DP27"/>
      <c r="DQ27" s="109"/>
      <c r="DR27" s="109"/>
    </row>
    <row r="28" spans="2:122" s="109" customFormat="1" ht="15" thickTop="1">
      <c r="B28" s="259"/>
      <c r="C28" s="110"/>
      <c r="D28" s="270"/>
      <c r="E28" s="277"/>
      <c r="F28" s="277"/>
      <c r="G28" s="280"/>
      <c r="H28" s="270"/>
      <c r="I28" s="277"/>
      <c r="J28" s="277"/>
      <c r="K28" s="280"/>
      <c r="L28" s="270"/>
      <c r="M28" s="277"/>
      <c r="N28" s="277"/>
      <c r="O28" s="280"/>
      <c r="P28" s="270"/>
      <c r="Q28" s="277"/>
      <c r="R28" s="277"/>
      <c r="S28" s="280"/>
      <c r="T28" s="270"/>
      <c r="U28" s="277"/>
      <c r="V28" s="277"/>
      <c r="W28" s="280"/>
      <c r="X28" s="270"/>
      <c r="Y28" s="277"/>
      <c r="Z28" s="277"/>
      <c r="AA28" s="280"/>
      <c r="AB28" s="270"/>
      <c r="AC28" s="277"/>
      <c r="AD28" s="277"/>
      <c r="AE28" s="280"/>
      <c r="AF28" s="270"/>
      <c r="AG28" s="277"/>
      <c r="AH28" s="277"/>
      <c r="AI28" s="280"/>
      <c r="AJ28" s="270"/>
      <c r="AK28" s="273"/>
      <c r="AL28" s="277"/>
      <c r="AM28" s="280"/>
      <c r="AN28" s="270"/>
      <c r="AO28" s="273"/>
      <c r="AP28" s="277"/>
      <c r="AQ28" s="280"/>
      <c r="AR28" s="270"/>
      <c r="AS28" s="273"/>
      <c r="AT28" s="277"/>
      <c r="AU28" s="280"/>
      <c r="AV28" s="270"/>
      <c r="AW28" s="273"/>
      <c r="AX28" s="277"/>
      <c r="AY28" s="280"/>
      <c r="AZ28" s="270"/>
      <c r="BA28" s="273"/>
      <c r="BB28" s="277"/>
      <c r="BC28" s="280"/>
      <c r="BD28" s="270"/>
      <c r="BE28" s="273"/>
      <c r="BF28" s="277"/>
      <c r="BG28" s="280"/>
      <c r="BH28" s="270"/>
      <c r="BI28" s="277"/>
      <c r="BJ28" s="277"/>
      <c r="BK28" s="280"/>
      <c r="BL28" s="270"/>
      <c r="BM28" s="277"/>
      <c r="BN28" s="277"/>
      <c r="BO28" s="280"/>
      <c r="BP28" s="277"/>
      <c r="BQ28" s="277"/>
      <c r="BR28" s="277"/>
      <c r="BS28" s="277"/>
      <c r="BT28" s="918"/>
      <c r="BU28" s="277"/>
      <c r="BV28" s="277"/>
      <c r="BW28" s="280"/>
      <c r="BX28" s="718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80"/>
      <c r="CJ28" s="270"/>
      <c r="CK28" s="277"/>
      <c r="CL28" s="277"/>
      <c r="CM28" s="277"/>
      <c r="CN28" s="277"/>
      <c r="CO28" s="277"/>
      <c r="CP28" s="280"/>
      <c r="CQ28" s="951"/>
      <c r="CR28" s="270"/>
      <c r="CS28" s="277"/>
      <c r="CT28" s="277"/>
      <c r="CU28" s="277"/>
      <c r="CV28" s="277"/>
      <c r="CW28" s="277"/>
      <c r="CX28" s="277"/>
      <c r="CY28" s="277"/>
      <c r="CZ28" s="277"/>
      <c r="DA28" s="277"/>
      <c r="DB28" s="277"/>
      <c r="DC28" s="277"/>
      <c r="DD28" s="277"/>
      <c r="DE28" s="277"/>
      <c r="DF28" s="280"/>
      <c r="DG28" s="110"/>
      <c r="DH28" s="110"/>
      <c r="DI28" s="110"/>
      <c r="DJ28" s="110"/>
      <c r="DK28"/>
      <c r="DL28"/>
      <c r="DM28"/>
      <c r="DN28"/>
      <c r="DO28"/>
      <c r="DP28"/>
    </row>
    <row r="29" spans="2:122" s="109" customFormat="1" ht="15">
      <c r="B29" s="255" t="s">
        <v>180</v>
      </c>
      <c r="C29" s="248"/>
      <c r="D29" s="270"/>
      <c r="E29" s="277"/>
      <c r="F29" s="277"/>
      <c r="G29" s="280"/>
      <c r="H29" s="270"/>
      <c r="I29" s="277"/>
      <c r="J29" s="277"/>
      <c r="K29" s="280"/>
      <c r="L29" s="270"/>
      <c r="M29" s="277"/>
      <c r="N29" s="277"/>
      <c r="O29" s="280"/>
      <c r="P29" s="270"/>
      <c r="Q29" s="277"/>
      <c r="R29" s="277"/>
      <c r="S29" s="280"/>
      <c r="T29" s="270"/>
      <c r="U29" s="277"/>
      <c r="V29" s="277"/>
      <c r="W29" s="280"/>
      <c r="X29" s="270"/>
      <c r="Y29" s="277"/>
      <c r="Z29" s="277"/>
      <c r="AA29" s="280"/>
      <c r="AB29" s="270"/>
      <c r="AC29" s="277"/>
      <c r="AD29" s="277"/>
      <c r="AE29" s="280"/>
      <c r="AF29" s="270"/>
      <c r="AG29" s="277"/>
      <c r="AH29" s="277"/>
      <c r="AI29" s="280"/>
      <c r="AJ29" s="270"/>
      <c r="AK29" s="273"/>
      <c r="AL29" s="277"/>
      <c r="AM29" s="280"/>
      <c r="AN29" s="270"/>
      <c r="AO29" s="273"/>
      <c r="AP29" s="277"/>
      <c r="AQ29" s="280"/>
      <c r="AR29" s="270"/>
      <c r="AS29" s="273"/>
      <c r="AT29" s="277"/>
      <c r="AU29" s="280"/>
      <c r="AV29" s="270"/>
      <c r="AW29" s="273"/>
      <c r="AX29" s="277"/>
      <c r="AY29" s="280"/>
      <c r="AZ29" s="270"/>
      <c r="BA29" s="273"/>
      <c r="BB29" s="277"/>
      <c r="BC29" s="280"/>
      <c r="BD29" s="270"/>
      <c r="BE29" s="273"/>
      <c r="BF29" s="277"/>
      <c r="BG29" s="280"/>
      <c r="BH29" s="270"/>
      <c r="BI29" s="277"/>
      <c r="BJ29" s="277"/>
      <c r="BK29" s="280"/>
      <c r="BL29" s="270"/>
      <c r="BM29" s="277"/>
      <c r="BN29" s="277"/>
      <c r="BO29" s="280"/>
      <c r="BP29" s="277"/>
      <c r="BQ29" s="277"/>
      <c r="BR29" s="277"/>
      <c r="BS29" s="277"/>
      <c r="BT29" s="270"/>
      <c r="BU29" s="277"/>
      <c r="BV29" s="277"/>
      <c r="BW29" s="280"/>
      <c r="BX29" s="718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80"/>
      <c r="CJ29" s="270"/>
      <c r="CK29" s="277"/>
      <c r="CL29" s="277"/>
      <c r="CM29" s="277"/>
      <c r="CN29" s="277"/>
      <c r="CO29" s="277"/>
      <c r="CP29" s="280"/>
      <c r="CQ29" s="951"/>
      <c r="CR29" s="270"/>
      <c r="CS29" s="277"/>
      <c r="CT29" s="277"/>
      <c r="CU29" s="277"/>
      <c r="CV29" s="277"/>
      <c r="CW29" s="277"/>
      <c r="CX29" s="277"/>
      <c r="CY29" s="277"/>
      <c r="CZ29" s="277"/>
      <c r="DA29" s="277"/>
      <c r="DB29" s="277"/>
      <c r="DC29" s="277"/>
      <c r="DD29" s="277"/>
      <c r="DE29" s="277"/>
      <c r="DF29" s="280"/>
      <c r="DG29" s="110"/>
      <c r="DH29" s="110"/>
      <c r="DI29" s="110"/>
      <c r="DJ29" s="110"/>
      <c r="DK29"/>
      <c r="DL29"/>
      <c r="DM29"/>
      <c r="DN29"/>
      <c r="DO29"/>
      <c r="DP29"/>
    </row>
    <row r="30" spans="2:122" s="109" customFormat="1" ht="14.25">
      <c r="B30" s="278" t="s">
        <v>214</v>
      </c>
      <c r="C30" s="279"/>
      <c r="D30" s="270">
        <v>-13.932</v>
      </c>
      <c r="E30" s="271">
        <f>-26.578-D30</f>
        <v>-12.645999999999999</v>
      </c>
      <c r="F30" s="271">
        <f>-32.904-E30-D30</f>
        <v>-6.3260000000000023</v>
      </c>
      <c r="G30" s="272">
        <f>-40.294-F30-E30-D30</f>
        <v>-7.3899999999999952</v>
      </c>
      <c r="H30" s="270">
        <v>-13.85</v>
      </c>
      <c r="I30" s="271">
        <f>-24.71-H30</f>
        <v>-10.860000000000001</v>
      </c>
      <c r="J30" s="271">
        <f>-43.361-I30-H30</f>
        <v>-18.650999999999996</v>
      </c>
      <c r="K30" s="272">
        <f>-59.998-J30-I30-H30</f>
        <v>-16.637</v>
      </c>
      <c r="L30" s="270">
        <v>-10.039999999999999</v>
      </c>
      <c r="M30" s="271">
        <f>-17.02-L30</f>
        <v>-6.98</v>
      </c>
      <c r="N30" s="271">
        <f>-27.639-M30-L30</f>
        <v>-10.619</v>
      </c>
      <c r="O30" s="272">
        <f>-38.135-N30-M30-L30</f>
        <v>-10.495999999999999</v>
      </c>
      <c r="P30" s="270">
        <v>-13.632999999999999</v>
      </c>
      <c r="Q30" s="271">
        <f>-26.06-P30</f>
        <v>-12.427</v>
      </c>
      <c r="R30" s="271">
        <f>-36.702-Q30-P30</f>
        <v>-10.641999999999999</v>
      </c>
      <c r="S30" s="272">
        <f>-49.359-R30-Q30-P30</f>
        <v>-12.657</v>
      </c>
      <c r="T30" s="270">
        <v>-6.2839999999999998</v>
      </c>
      <c r="U30" s="271">
        <f>-17.577-T30</f>
        <v>-11.293000000000003</v>
      </c>
      <c r="V30" s="271">
        <f>-30.565-U30-T30</f>
        <v>-12.988</v>
      </c>
      <c r="W30" s="272">
        <f>-42.596-V30-U30-T30</f>
        <v>-12.030999999999995</v>
      </c>
      <c r="X30" s="270">
        <v>-19.902999999999999</v>
      </c>
      <c r="Y30" s="271">
        <f>-37.416-X30</f>
        <v>-17.512999999999998</v>
      </c>
      <c r="Z30" s="271">
        <f>-51.846-Y30-X30</f>
        <v>-14.43</v>
      </c>
      <c r="AA30" s="272">
        <f>-64.832-Z30-Y30-X30</f>
        <v>-12.985999999999997</v>
      </c>
      <c r="AB30" s="270">
        <v>-12.98</v>
      </c>
      <c r="AC30" s="271">
        <f>-18.694-AB30</f>
        <v>-5.7139999999999986</v>
      </c>
      <c r="AD30" s="271">
        <f>-24.262-AC30-AB30</f>
        <v>-5.5680000000000014</v>
      </c>
      <c r="AE30" s="272">
        <f>-39.172-AD30-AC30-AB30</f>
        <v>-14.91</v>
      </c>
      <c r="AF30" s="270">
        <v>-14.679</v>
      </c>
      <c r="AG30" s="271">
        <f>-34.26-AF30</f>
        <v>-19.580999999999996</v>
      </c>
      <c r="AH30" s="271">
        <f>-59.609-AG30-AF30</f>
        <v>-25.349000000000004</v>
      </c>
      <c r="AI30" s="272">
        <f>-88.929-AH30-AG30-AF30</f>
        <v>-29.32</v>
      </c>
      <c r="AJ30" s="270">
        <v>-33.039000000000001</v>
      </c>
      <c r="AK30" s="271">
        <f>-65.28-AJ30</f>
        <v>-32.241</v>
      </c>
      <c r="AL30" s="271">
        <f>-85.371-AK30-AJ30</f>
        <v>-20.090999999999994</v>
      </c>
      <c r="AM30" s="272">
        <f>-100.66-AL30-AK30-AJ30</f>
        <v>-15.289000000000001</v>
      </c>
      <c r="AN30" s="270">
        <v>-6.4240000000000004</v>
      </c>
      <c r="AO30" s="271">
        <f>-32.197-AN30</f>
        <v>-25.773000000000003</v>
      </c>
      <c r="AP30" s="271">
        <f>-63.338-AO30-AN30</f>
        <v>-31.140999999999998</v>
      </c>
      <c r="AQ30" s="272">
        <f>-94.129-AP30-AO30-AN30</f>
        <v>-30.791000000000004</v>
      </c>
      <c r="AR30" s="270">
        <v>-26.422999999999998</v>
      </c>
      <c r="AS30" s="271">
        <f>-52-AR30</f>
        <v>-25.577000000000002</v>
      </c>
      <c r="AT30" s="271">
        <f>-85.4-AS30-AR30</f>
        <v>-33.400000000000006</v>
      </c>
      <c r="AU30" s="272">
        <f>-123.8-AT30-AS30-AR30</f>
        <v>-38.399999999999991</v>
      </c>
      <c r="AV30" s="270">
        <v>-16.3</v>
      </c>
      <c r="AW30" s="271">
        <f>-58.2-AV30</f>
        <v>-41.900000000000006</v>
      </c>
      <c r="AX30" s="271">
        <f>-125.7-AW30-AV30</f>
        <v>-67.5</v>
      </c>
      <c r="AY30" s="272">
        <f>-208.6-AX30-AW30-AV30</f>
        <v>-82.899999999999991</v>
      </c>
      <c r="AZ30" s="270">
        <v>-87.2</v>
      </c>
      <c r="BA30" s="271">
        <f>-171.2-AZ30</f>
        <v>-83.999999999999986</v>
      </c>
      <c r="BB30" s="271">
        <f>-279.3-BA30-AZ30</f>
        <v>-108.10000000000001</v>
      </c>
      <c r="BC30" s="272">
        <f>-430.1-BB30-BA30-AZ30</f>
        <v>-150.80000000000001</v>
      </c>
      <c r="BD30" s="270">
        <v>-79.5</v>
      </c>
      <c r="BE30" s="271">
        <f>-116.9-BD30</f>
        <v>-37.400000000000006</v>
      </c>
      <c r="BF30" s="271">
        <f>-174.1-BE30-BD30</f>
        <v>-57.199999999999989</v>
      </c>
      <c r="BG30" s="272">
        <f>-189.3-BF30-BE30-BD30</f>
        <v>-15.200000000000017</v>
      </c>
      <c r="BH30" s="270">
        <v>-50.1</v>
      </c>
      <c r="BI30" s="271">
        <f>-105-BH30</f>
        <v>-54.9</v>
      </c>
      <c r="BJ30" s="271">
        <f>-218-BI30-BH30</f>
        <v>-113</v>
      </c>
      <c r="BK30" s="272">
        <f>-303.3-BJ30-BI30-BH30</f>
        <v>-85.300000000000011</v>
      </c>
      <c r="BL30" s="270">
        <v>-28.2</v>
      </c>
      <c r="BM30" s="273">
        <f t="shared" ref="BM30:BS30" si="56">-BM57-BM59</f>
        <v>-90.271428250000014</v>
      </c>
      <c r="BN30" s="273">
        <f t="shared" si="56"/>
        <v>-86.811900083750018</v>
      </c>
      <c r="BO30" s="274">
        <f t="shared" si="56"/>
        <v>-103.16292427112504</v>
      </c>
      <c r="BP30" s="273">
        <f t="shared" si="56"/>
        <v>-80.558389301380799</v>
      </c>
      <c r="BQ30" s="273">
        <f t="shared" si="56"/>
        <v>-73.351431729451747</v>
      </c>
      <c r="BR30" s="273">
        <f t="shared" si="56"/>
        <v>-73.373200328632507</v>
      </c>
      <c r="BS30" s="273">
        <f t="shared" si="56"/>
        <v>-78.922959605091236</v>
      </c>
      <c r="BT30" s="275">
        <f t="shared" ref="BT30:BW30" si="57">-BT57-BT59</f>
        <v>-82.253073775842466</v>
      </c>
      <c r="BU30" s="273">
        <f t="shared" si="57"/>
        <v>-77.785096382942854</v>
      </c>
      <c r="BV30" s="273">
        <f t="shared" si="57"/>
        <v>-78.79732884244126</v>
      </c>
      <c r="BW30" s="273">
        <f t="shared" si="57"/>
        <v>-85.20834936219606</v>
      </c>
      <c r="BX30" s="718"/>
      <c r="BY30" s="273">
        <f>SUM(D30:G30)</f>
        <v>-40.293999999999997</v>
      </c>
      <c r="BZ30" s="273">
        <f>SUM(H30:K30)</f>
        <v>-59.997999999999998</v>
      </c>
      <c r="CA30" s="273">
        <f>SUM(L30:O30)</f>
        <v>-38.134999999999998</v>
      </c>
      <c r="CB30" s="273">
        <f>SUM(P30:S30)</f>
        <v>-49.358999999999995</v>
      </c>
      <c r="CC30" s="273">
        <f>SUM(T30:W30)</f>
        <v>-42.595999999999997</v>
      </c>
      <c r="CD30" s="273">
        <f>SUM(X30:AA30)</f>
        <v>-64.831999999999994</v>
      </c>
      <c r="CE30" s="273">
        <f>SUM(AB30:AE30)</f>
        <v>-39.171999999999997</v>
      </c>
      <c r="CF30" s="273">
        <f>SUM(AF30:AI30)</f>
        <v>-88.929000000000002</v>
      </c>
      <c r="CG30" s="273">
        <f>SUM(AJ30:AM30)</f>
        <v>-100.66</v>
      </c>
      <c r="CH30" s="273">
        <f>SUM(AN30:AQ30)</f>
        <v>-94.129000000000005</v>
      </c>
      <c r="CI30" s="274">
        <f>SUM(AR30:AU30)</f>
        <v>-123.8</v>
      </c>
      <c r="CJ30" s="275">
        <f>SUM(AV30:AY30)</f>
        <v>-208.6</v>
      </c>
      <c r="CK30" s="273">
        <f>SUM(AZ30:BC30)</f>
        <v>-430.1</v>
      </c>
      <c r="CL30" s="273">
        <f>SUM(BD30:BG30)</f>
        <v>-189.3</v>
      </c>
      <c r="CM30" s="273">
        <f>SUM(BH30:BK30)</f>
        <v>-303.3</v>
      </c>
      <c r="CN30" s="273">
        <f>SUM(BL30:BO30)</f>
        <v>-308.4462526048751</v>
      </c>
      <c r="CO30" s="273">
        <f>SUM(BP30:BS30)</f>
        <v>-306.20598096455632</v>
      </c>
      <c r="CP30" s="274">
        <f t="shared" ref="CP30:CP33" si="58">SUM(BT30:BW30)</f>
        <v>-324.04384836342263</v>
      </c>
      <c r="CQ30" s="951"/>
      <c r="CR30" s="275">
        <f>SUM(M30:P30)</f>
        <v>-41.727999999999994</v>
      </c>
      <c r="CS30" s="273">
        <f>SUM(Q30:T30)</f>
        <v>-42.01</v>
      </c>
      <c r="CT30" s="273">
        <f>SUM(U30:X30)</f>
        <v>-56.214999999999996</v>
      </c>
      <c r="CU30" s="273">
        <f>SUM(Y30:AB30)</f>
        <v>-57.908999999999992</v>
      </c>
      <c r="CV30" s="273">
        <f>SUM(AC30:AF30)</f>
        <v>-40.871000000000002</v>
      </c>
      <c r="CW30" s="273">
        <f>SUM(AG30:AJ30)</f>
        <v>-107.289</v>
      </c>
      <c r="CX30" s="273">
        <f>SUM(AK30:AN30)</f>
        <v>-74.045000000000002</v>
      </c>
      <c r="CY30" s="273">
        <f>SUM(AO30:AR30)</f>
        <v>-114.12800000000001</v>
      </c>
      <c r="CZ30" s="273">
        <f>SUM(AS30:AV30)</f>
        <v>-113.67699999999999</v>
      </c>
      <c r="DA30" s="273">
        <f>SUM(AW30:AZ30)</f>
        <v>-279.5</v>
      </c>
      <c r="DB30" s="273">
        <f>SUM(BA30:BD30)</f>
        <v>-422.4</v>
      </c>
      <c r="DC30" s="273">
        <f>SUM(BE30:BH30)</f>
        <v>-159.9</v>
      </c>
      <c r="DD30" s="273">
        <f>SUM(BI30:BL30)</f>
        <v>-281.40000000000003</v>
      </c>
      <c r="DE30" s="273">
        <f>SUM(BM30:BP30)</f>
        <v>-360.80464190625582</v>
      </c>
      <c r="DF30" s="274">
        <f t="shared" ref="DF30:DF33" si="59">SUM(BQ30:BT30)</f>
        <v>-307.90066543901798</v>
      </c>
      <c r="DG30" s="110"/>
      <c r="DH30" s="110"/>
      <c r="DI30" s="110"/>
      <c r="DJ30" s="110"/>
      <c r="DK30"/>
      <c r="DL30"/>
      <c r="DM30"/>
      <c r="DN30"/>
      <c r="DO30"/>
      <c r="DP30"/>
    </row>
    <row r="31" spans="2:122" s="109" customFormat="1" ht="14.25">
      <c r="B31" s="278" t="s">
        <v>215</v>
      </c>
      <c r="C31" s="279"/>
      <c r="D31" s="270">
        <v>0</v>
      </c>
      <c r="E31" s="271">
        <f>0-D31</f>
        <v>0</v>
      </c>
      <c r="F31" s="271">
        <f>0-E31-D31</f>
        <v>0</v>
      </c>
      <c r="G31" s="272">
        <f>0-F31-E31-D31</f>
        <v>0</v>
      </c>
      <c r="H31" s="270">
        <v>0</v>
      </c>
      <c r="I31" s="271">
        <f>0-H31</f>
        <v>0</v>
      </c>
      <c r="J31" s="271">
        <f>0-I31-H31</f>
        <v>0</v>
      </c>
      <c r="K31" s="272">
        <f>0-J31-I31-H31</f>
        <v>0</v>
      </c>
      <c r="L31" s="270">
        <v>0</v>
      </c>
      <c r="M31" s="271">
        <f>0-L31</f>
        <v>0</v>
      </c>
      <c r="N31" s="271">
        <f>0-M31-L31</f>
        <v>0</v>
      </c>
      <c r="O31" s="272">
        <f>0-N31-M31-L31</f>
        <v>0</v>
      </c>
      <c r="P31" s="270">
        <v>0</v>
      </c>
      <c r="Q31" s="271">
        <f>0-P31</f>
        <v>0</v>
      </c>
      <c r="R31" s="271">
        <f>0-Q31-P31</f>
        <v>0</v>
      </c>
      <c r="S31" s="272">
        <f>6.567-R31-Q31-P31</f>
        <v>6.5670000000000002</v>
      </c>
      <c r="T31" s="270">
        <v>0</v>
      </c>
      <c r="U31" s="271">
        <f>0-T31</f>
        <v>0</v>
      </c>
      <c r="V31" s="271">
        <f>0-U31-T31</f>
        <v>0</v>
      </c>
      <c r="W31" s="272">
        <f>0-V31-U31-T31</f>
        <v>0</v>
      </c>
      <c r="X31" s="270">
        <v>-32.616999999999997</v>
      </c>
      <c r="Y31" s="271">
        <f>-32.627-X31</f>
        <v>-1.0000000000005116E-2</v>
      </c>
      <c r="Z31" s="271">
        <f>-32.627-Y31-X31</f>
        <v>0</v>
      </c>
      <c r="AA31" s="272">
        <f>-32.627-Z31-Y31-X31</f>
        <v>0</v>
      </c>
      <c r="AB31" s="270">
        <v>-1.22</v>
      </c>
      <c r="AC31" s="271">
        <f>-1.22-AB31</f>
        <v>0</v>
      </c>
      <c r="AD31" s="271">
        <f>-9.059-AC31-AB31</f>
        <v>-7.8389999999999995</v>
      </c>
      <c r="AE31" s="272">
        <f>-10.356-AD31-AC31-AB31</f>
        <v>-1.2970000000000004</v>
      </c>
      <c r="AF31" s="270">
        <v>-1</v>
      </c>
      <c r="AG31" s="271">
        <f>-1-AF31</f>
        <v>0</v>
      </c>
      <c r="AH31" s="271">
        <f>-6-AG31-AF31</f>
        <v>-5</v>
      </c>
      <c r="AI31" s="272">
        <f>-6.4-AH31-AG31-AF31</f>
        <v>-0.40000000000000036</v>
      </c>
      <c r="AJ31" s="270">
        <v>-3.931</v>
      </c>
      <c r="AK31" s="271">
        <f>-4.456-AJ31</f>
        <v>-0.52500000000000036</v>
      </c>
      <c r="AL31" s="271">
        <f>-249.829-AK31-AJ31</f>
        <v>-245.37299999999999</v>
      </c>
      <c r="AM31" s="272">
        <f>-249.284-AL31-AK31-AJ31</f>
        <v>0.54499999999999904</v>
      </c>
      <c r="AN31" s="270">
        <v>0</v>
      </c>
      <c r="AO31" s="271">
        <f>-229.628-AN31</f>
        <v>-229.62799999999999</v>
      </c>
      <c r="AP31" s="271">
        <f>-229.628-AO31-AN31</f>
        <v>0</v>
      </c>
      <c r="AQ31" s="272">
        <f>-229.628-AP31-AO31-AN31</f>
        <v>0</v>
      </c>
      <c r="AR31" s="270">
        <v>0</v>
      </c>
      <c r="AS31" s="271">
        <f>0-AR31</f>
        <v>0</v>
      </c>
      <c r="AT31" s="271">
        <f>0-AS31-AR31</f>
        <v>0</v>
      </c>
      <c r="AU31" s="272">
        <f>0-AT31-AS31-AR31</f>
        <v>0</v>
      </c>
      <c r="AV31" s="270">
        <v>0</v>
      </c>
      <c r="AW31" s="271">
        <f>0-AV31</f>
        <v>0</v>
      </c>
      <c r="AX31" s="271">
        <f>0-AW31-AV31</f>
        <v>0</v>
      </c>
      <c r="AY31" s="272">
        <f>-148.5-AX31-AW31-AV31</f>
        <v>-148.5</v>
      </c>
      <c r="AZ31" s="270">
        <v>0</v>
      </c>
      <c r="BA31" s="271">
        <f>-18.1-AZ31</f>
        <v>-18.100000000000001</v>
      </c>
      <c r="BB31" s="271">
        <f>-24.2-BA31-AZ31</f>
        <v>-6.0999999999999979</v>
      </c>
      <c r="BC31" s="272">
        <f>-24.6-BB31-BA31-AZ31</f>
        <v>-0.40000000000000213</v>
      </c>
      <c r="BD31" s="270">
        <v>0</v>
      </c>
      <c r="BE31" s="271">
        <f>0-BD31</f>
        <v>0</v>
      </c>
      <c r="BF31" s="271">
        <f>-55-BE31-BD31</f>
        <v>-55</v>
      </c>
      <c r="BG31" s="272">
        <f>-55.6-BF31-BE31-BD31</f>
        <v>-0.60000000000000142</v>
      </c>
      <c r="BH31" s="270">
        <v>-13.7</v>
      </c>
      <c r="BI31" s="271">
        <f>-13.7-BH31</f>
        <v>0</v>
      </c>
      <c r="BJ31" s="271">
        <f>-13.7-BI31-BH31</f>
        <v>0</v>
      </c>
      <c r="BK31" s="272">
        <f>-13.7-BJ31-BI31-BH31</f>
        <v>0</v>
      </c>
      <c r="BL31" s="270">
        <v>0</v>
      </c>
      <c r="BM31" s="273">
        <f t="shared" ref="BM31:BO32" si="60">BL31</f>
        <v>0</v>
      </c>
      <c r="BN31" s="273">
        <f t="shared" si="60"/>
        <v>0</v>
      </c>
      <c r="BO31" s="274">
        <f t="shared" si="60"/>
        <v>0</v>
      </c>
      <c r="BP31" s="273">
        <f t="shared" ref="BP31:BS32" si="61">BO31</f>
        <v>0</v>
      </c>
      <c r="BQ31" s="273">
        <f t="shared" si="61"/>
        <v>0</v>
      </c>
      <c r="BR31" s="273">
        <f t="shared" si="61"/>
        <v>0</v>
      </c>
      <c r="BS31" s="273">
        <f t="shared" si="61"/>
        <v>0</v>
      </c>
      <c r="BT31" s="275">
        <f t="shared" ref="BT31:BT32" si="62">BS31</f>
        <v>0</v>
      </c>
      <c r="BU31" s="273">
        <f t="shared" ref="BU31:BU32" si="63">BT31</f>
        <v>0</v>
      </c>
      <c r="BV31" s="273">
        <f t="shared" ref="BV31:BV32" si="64">BU31</f>
        <v>0</v>
      </c>
      <c r="BW31" s="274">
        <f t="shared" ref="BW31:BW32" si="65">BV31</f>
        <v>0</v>
      </c>
      <c r="BX31" s="718"/>
      <c r="BY31" s="273">
        <f>SUM(D31:G31)</f>
        <v>0</v>
      </c>
      <c r="BZ31" s="273">
        <f>SUM(H31:K31)</f>
        <v>0</v>
      </c>
      <c r="CA31" s="273">
        <f>SUM(L31:O31)</f>
        <v>0</v>
      </c>
      <c r="CB31" s="273">
        <f>SUM(P31:S31)</f>
        <v>6.5670000000000002</v>
      </c>
      <c r="CC31" s="273">
        <f>SUM(T31:W31)</f>
        <v>0</v>
      </c>
      <c r="CD31" s="273">
        <f>SUM(X31:AA31)</f>
        <v>-32.627000000000002</v>
      </c>
      <c r="CE31" s="273">
        <f>SUM(AB31:AE31)</f>
        <v>-10.356</v>
      </c>
      <c r="CF31" s="273">
        <f>SUM(AF31:AI31)</f>
        <v>-6.4</v>
      </c>
      <c r="CG31" s="273">
        <f>SUM(AJ31:AM31)</f>
        <v>-249.28399999999999</v>
      </c>
      <c r="CH31" s="273">
        <f>SUM(AN31:AQ31)</f>
        <v>-229.62799999999999</v>
      </c>
      <c r="CI31" s="274">
        <f>SUM(AR31:AU31)</f>
        <v>0</v>
      </c>
      <c r="CJ31" s="275">
        <f>SUM(AV31:AY31)</f>
        <v>-148.5</v>
      </c>
      <c r="CK31" s="273">
        <f>SUM(AZ31:BC31)</f>
        <v>-24.6</v>
      </c>
      <c r="CL31" s="273">
        <f>SUM(BD31:BG31)</f>
        <v>-55.6</v>
      </c>
      <c r="CM31" s="273">
        <f>SUM(BH31:BK31)</f>
        <v>-13.7</v>
      </c>
      <c r="CN31" s="273">
        <f>SUM(BL31:BO31)</f>
        <v>0</v>
      </c>
      <c r="CO31" s="273">
        <f>SUM(BP31:BS31)</f>
        <v>0</v>
      </c>
      <c r="CP31" s="274">
        <f t="shared" si="58"/>
        <v>0</v>
      </c>
      <c r="CQ31" s="951"/>
      <c r="CR31" s="275">
        <f>SUM(M31:P31)</f>
        <v>0</v>
      </c>
      <c r="CS31" s="273">
        <f>SUM(Q31:T31)</f>
        <v>6.5670000000000002</v>
      </c>
      <c r="CT31" s="273">
        <f>SUM(U31:X31)</f>
        <v>-32.616999999999997</v>
      </c>
      <c r="CU31" s="273">
        <f>SUM(Y31:AB31)</f>
        <v>-1.2300000000000051</v>
      </c>
      <c r="CV31" s="273">
        <f>SUM(AC31:AF31)</f>
        <v>-10.135999999999999</v>
      </c>
      <c r="CW31" s="273">
        <f>SUM(AG31:AJ31)</f>
        <v>-9.3309999999999995</v>
      </c>
      <c r="CX31" s="273">
        <f>SUM(AK31:AN31)</f>
        <v>-245.35300000000001</v>
      </c>
      <c r="CY31" s="273">
        <f>SUM(AO31:AR31)</f>
        <v>-229.62799999999999</v>
      </c>
      <c r="CZ31" s="273">
        <f>SUM(AS31:AV31)</f>
        <v>0</v>
      </c>
      <c r="DA31" s="273">
        <f>SUM(AW31:AZ31)</f>
        <v>-148.5</v>
      </c>
      <c r="DB31" s="273">
        <f>SUM(BA31:BD31)</f>
        <v>-24.6</v>
      </c>
      <c r="DC31" s="273">
        <f>SUM(BE31:BH31)</f>
        <v>-69.3</v>
      </c>
      <c r="DD31" s="273">
        <f>SUM(BI31:BL31)</f>
        <v>0</v>
      </c>
      <c r="DE31" s="273">
        <f>SUM(BM31:BP31)</f>
        <v>0</v>
      </c>
      <c r="DF31" s="274">
        <f t="shared" si="59"/>
        <v>0</v>
      </c>
      <c r="DG31" s="110"/>
      <c r="DH31" s="110"/>
      <c r="DI31" s="110"/>
      <c r="DJ31" s="110"/>
      <c r="DK31"/>
      <c r="DL31"/>
      <c r="DM31"/>
      <c r="DN31"/>
      <c r="DO31"/>
      <c r="DP31"/>
    </row>
    <row r="32" spans="2:122" s="109" customFormat="1" ht="14.25">
      <c r="B32" s="278" t="s">
        <v>220</v>
      </c>
      <c r="C32" s="279"/>
      <c r="D32" s="270">
        <v>0</v>
      </c>
      <c r="E32" s="271">
        <f>0-D32</f>
        <v>0</v>
      </c>
      <c r="F32" s="271">
        <f>1.931-E32-D32</f>
        <v>1.931</v>
      </c>
      <c r="G32" s="271">
        <f>0-F32-E32-D32</f>
        <v>-1.931</v>
      </c>
      <c r="H32" s="270">
        <v>3.988</v>
      </c>
      <c r="I32" s="271">
        <f>541.982-H32</f>
        <v>537.99399999999991</v>
      </c>
      <c r="J32" s="271">
        <f>809.282-I32-H32</f>
        <v>267.30000000000013</v>
      </c>
      <c r="K32" s="271">
        <f>1049.082-J32-I32-H32</f>
        <v>239.8</v>
      </c>
      <c r="L32" s="270">
        <v>264.95</v>
      </c>
      <c r="M32" s="271">
        <f>573.1-L32</f>
        <v>308.15000000000003</v>
      </c>
      <c r="N32" s="271">
        <f>863.63-M32-L32</f>
        <v>290.53000000000003</v>
      </c>
      <c r="O32" s="271">
        <f>1223.181-N32-M32-L32</f>
        <v>359.55099999999999</v>
      </c>
      <c r="P32" s="270">
        <v>383.101</v>
      </c>
      <c r="Q32" s="271">
        <f>729.905-P32</f>
        <v>346.80399999999997</v>
      </c>
      <c r="R32" s="271">
        <f>930.902-Q32-P32</f>
        <v>200.99700000000007</v>
      </c>
      <c r="S32" s="271">
        <f>1094.985-R32-Q32-P32</f>
        <v>164.08299999999986</v>
      </c>
      <c r="T32" s="270">
        <v>163.983</v>
      </c>
      <c r="U32" s="271">
        <f>353.533-T32</f>
        <v>189.55</v>
      </c>
      <c r="V32" s="271">
        <f>587.183-U32-T32</f>
        <v>233.64999999999998</v>
      </c>
      <c r="W32" s="271">
        <f>978.046-V32-U32-T32</f>
        <v>390.863</v>
      </c>
      <c r="X32" s="270">
        <v>10</v>
      </c>
      <c r="Y32" s="271">
        <f>10-X32</f>
        <v>0</v>
      </c>
      <c r="Z32" s="271">
        <f>10-Y32-X32</f>
        <v>0</v>
      </c>
      <c r="AA32" s="271">
        <f>10-Z32-Y32-X32</f>
        <v>0</v>
      </c>
      <c r="AB32" s="270">
        <v>0</v>
      </c>
      <c r="AC32" s="271">
        <f>0-AB32</f>
        <v>0</v>
      </c>
      <c r="AD32" s="271">
        <f>0-AC32-AB32</f>
        <v>0</v>
      </c>
      <c r="AE32" s="271">
        <f>0-AD32-AC32-AB32</f>
        <v>0</v>
      </c>
      <c r="AF32" s="270">
        <v>0</v>
      </c>
      <c r="AG32" s="271">
        <f>0-AF32</f>
        <v>0</v>
      </c>
      <c r="AH32" s="271">
        <f>0-AG32-AF32</f>
        <v>0</v>
      </c>
      <c r="AI32" s="272">
        <f>0-AH32-AG32-AF32</f>
        <v>0</v>
      </c>
      <c r="AJ32" s="270">
        <v>0</v>
      </c>
      <c r="AK32" s="271">
        <f>0-AJ32</f>
        <v>0</v>
      </c>
      <c r="AL32" s="271">
        <f>0-AK32-AJ32</f>
        <v>0</v>
      </c>
      <c r="AM32" s="272">
        <f>0-AL32-AK32-AJ32</f>
        <v>0</v>
      </c>
      <c r="AN32" s="270">
        <v>0</v>
      </c>
      <c r="AO32" s="271">
        <f>20.9-AN32</f>
        <v>20.9</v>
      </c>
      <c r="AP32" s="271">
        <f>20.9-AO32-AN32</f>
        <v>0</v>
      </c>
      <c r="AQ32" s="272">
        <f>20.9-AP32-AO32-AN32</f>
        <v>0</v>
      </c>
      <c r="AR32" s="270">
        <v>0.80700000000000005</v>
      </c>
      <c r="AS32" s="271">
        <f>0.8-AR32</f>
        <v>-7.0000000000000062E-3</v>
      </c>
      <c r="AT32" s="271">
        <f>0.8-AS32-AR32</f>
        <v>0</v>
      </c>
      <c r="AU32" s="272">
        <f>0.8-AT32-AS32-AR32</f>
        <v>0</v>
      </c>
      <c r="AV32" s="270">
        <v>0</v>
      </c>
      <c r="AW32" s="271">
        <f>0-AV32</f>
        <v>0</v>
      </c>
      <c r="AX32" s="271">
        <f>0-AW32-AV32</f>
        <v>0</v>
      </c>
      <c r="AY32" s="272">
        <f>0-AX32-AW32-AV32</f>
        <v>0</v>
      </c>
      <c r="AZ32" s="270">
        <v>0</v>
      </c>
      <c r="BA32" s="271">
        <f>0-AZ32</f>
        <v>0</v>
      </c>
      <c r="BB32" s="271">
        <f>0-BA32-AZ32</f>
        <v>0</v>
      </c>
      <c r="BC32" s="272">
        <f>0-BB32-BA32-AZ32</f>
        <v>0</v>
      </c>
      <c r="BD32" s="270">
        <v>0</v>
      </c>
      <c r="BE32" s="271">
        <f>0-BD32</f>
        <v>0</v>
      </c>
      <c r="BF32" s="271">
        <f>0-BE32-BD32</f>
        <v>0</v>
      </c>
      <c r="BG32" s="272">
        <f>0-BF32-BE32-BD32</f>
        <v>0</v>
      </c>
      <c r="BH32" s="270">
        <v>3.2</v>
      </c>
      <c r="BI32" s="271">
        <f>3.2-BH32</f>
        <v>0</v>
      </c>
      <c r="BJ32" s="271">
        <f>3.2-BI32-BH32</f>
        <v>0</v>
      </c>
      <c r="BK32" s="272">
        <f>3.2-BJ32-BI32-BH32</f>
        <v>0</v>
      </c>
      <c r="BL32" s="270">
        <v>0</v>
      </c>
      <c r="BM32" s="273">
        <f t="shared" si="60"/>
        <v>0</v>
      </c>
      <c r="BN32" s="273">
        <f t="shared" si="60"/>
        <v>0</v>
      </c>
      <c r="BO32" s="274">
        <f t="shared" si="60"/>
        <v>0</v>
      </c>
      <c r="BP32" s="273">
        <f t="shared" si="61"/>
        <v>0</v>
      </c>
      <c r="BQ32" s="273">
        <f t="shared" si="61"/>
        <v>0</v>
      </c>
      <c r="BR32" s="273">
        <f t="shared" si="61"/>
        <v>0</v>
      </c>
      <c r="BS32" s="274">
        <f t="shared" si="61"/>
        <v>0</v>
      </c>
      <c r="BT32" s="273">
        <f t="shared" si="62"/>
        <v>0</v>
      </c>
      <c r="BU32" s="273">
        <f t="shared" si="63"/>
        <v>0</v>
      </c>
      <c r="BV32" s="273">
        <f t="shared" si="64"/>
        <v>0</v>
      </c>
      <c r="BW32" s="274">
        <f t="shared" si="65"/>
        <v>0</v>
      </c>
      <c r="BX32" s="718"/>
      <c r="BY32" s="273">
        <f>SUM(D32:G32)</f>
        <v>0</v>
      </c>
      <c r="BZ32" s="273">
        <f>SUM(H32:K32)</f>
        <v>1049.0820000000001</v>
      </c>
      <c r="CA32" s="273">
        <f>SUM(L32:O32)</f>
        <v>1223.181</v>
      </c>
      <c r="CB32" s="273">
        <f>SUM(P32:S32)</f>
        <v>1094.9849999999999</v>
      </c>
      <c r="CC32" s="273">
        <f>SUM(T32:W32)</f>
        <v>978.04600000000005</v>
      </c>
      <c r="CD32" s="273">
        <f>SUM(X32:AA32)</f>
        <v>10</v>
      </c>
      <c r="CE32" s="273">
        <f>SUM(AB32:AE32)</f>
        <v>0</v>
      </c>
      <c r="CF32" s="273">
        <f>SUM(AF32:AI32)</f>
        <v>0</v>
      </c>
      <c r="CG32" s="273">
        <f>SUM(AJ32:AM32)</f>
        <v>0</v>
      </c>
      <c r="CH32" s="273">
        <f>SUM(AN32:AQ32)</f>
        <v>20.9</v>
      </c>
      <c r="CI32" s="274">
        <f>SUM(AR32:AU32)</f>
        <v>0.8</v>
      </c>
      <c r="CJ32" s="275">
        <f>SUM(AV32:AY32)</f>
        <v>0</v>
      </c>
      <c r="CK32" s="273">
        <f>SUM(AZ32:BC32)</f>
        <v>0</v>
      </c>
      <c r="CL32" s="273">
        <f>SUM(BD32:BG32)</f>
        <v>0</v>
      </c>
      <c r="CM32" s="273">
        <f>SUM(BH32:BK32)</f>
        <v>3.2</v>
      </c>
      <c r="CN32" s="273">
        <f>SUM(BL32:BO32)</f>
        <v>0</v>
      </c>
      <c r="CO32" s="273">
        <f>SUM(BP32:BS32)</f>
        <v>0</v>
      </c>
      <c r="CP32" s="274">
        <f t="shared" si="58"/>
        <v>0</v>
      </c>
      <c r="CQ32" s="951"/>
      <c r="CR32" s="275">
        <f>SUM(M32:P32)</f>
        <v>1341.3319999999999</v>
      </c>
      <c r="CS32" s="273">
        <f>SUM(Q32:T32)</f>
        <v>875.86699999999996</v>
      </c>
      <c r="CT32" s="273">
        <f>SUM(U32:X32)</f>
        <v>824.06299999999999</v>
      </c>
      <c r="CU32" s="273">
        <f>SUM(Y32:AB32)</f>
        <v>0</v>
      </c>
      <c r="CV32" s="273">
        <f>SUM(AC32:AF32)</f>
        <v>0</v>
      </c>
      <c r="CW32" s="273">
        <f>SUM(AG32:AJ32)</f>
        <v>0</v>
      </c>
      <c r="CX32" s="273">
        <f>SUM(AK32:AN32)</f>
        <v>0</v>
      </c>
      <c r="CY32" s="273">
        <f>SUM(AO32:AR32)</f>
        <v>21.706999999999997</v>
      </c>
      <c r="CZ32" s="273">
        <f>SUM(AS32:AV32)</f>
        <v>-7.0000000000000062E-3</v>
      </c>
      <c r="DA32" s="273">
        <f>SUM(AW32:AZ32)</f>
        <v>0</v>
      </c>
      <c r="DB32" s="273">
        <f>SUM(BA32:BD32)</f>
        <v>0</v>
      </c>
      <c r="DC32" s="273">
        <f>SUM(BE32:BH32)</f>
        <v>3.2</v>
      </c>
      <c r="DD32" s="273">
        <f>SUM(BI32:BL32)</f>
        <v>0</v>
      </c>
      <c r="DE32" s="273">
        <f>SUM(BM32:BP32)</f>
        <v>0</v>
      </c>
      <c r="DF32" s="274">
        <f t="shared" si="59"/>
        <v>0</v>
      </c>
      <c r="DG32" s="110"/>
      <c r="DH32" s="110"/>
      <c r="DI32" s="110"/>
      <c r="DJ32" s="110"/>
      <c r="DK32"/>
      <c r="DL32"/>
      <c r="DM32"/>
      <c r="DN32"/>
      <c r="DO32"/>
      <c r="DP32"/>
    </row>
    <row r="33" spans="2:122" s="109" customFormat="1" ht="14.25">
      <c r="B33" s="278" t="s">
        <v>221</v>
      </c>
      <c r="C33" s="279"/>
      <c r="D33" s="270">
        <v>0</v>
      </c>
      <c r="E33" s="271">
        <f>0-D33</f>
        <v>0</v>
      </c>
      <c r="F33" s="271">
        <f>0-E33-D33</f>
        <v>0</v>
      </c>
      <c r="G33" s="271">
        <f>-3.988-F33-E33-D33</f>
        <v>-3.988</v>
      </c>
      <c r="H33" s="270">
        <v>0</v>
      </c>
      <c r="I33" s="271">
        <f>-625.494-H33</f>
        <v>-625.49400000000003</v>
      </c>
      <c r="J33" s="271">
        <f>-890.194-I33-H33</f>
        <v>-264.69999999999993</v>
      </c>
      <c r="K33" s="271">
        <f>-1130.128-J33-I33-H33</f>
        <v>-239.93399999999997</v>
      </c>
      <c r="L33" s="270">
        <v>-267.51499999999999</v>
      </c>
      <c r="M33" s="271">
        <f>-595.821-L33</f>
        <v>-328.30600000000004</v>
      </c>
      <c r="N33" s="271">
        <f>-891.12-M33-L33</f>
        <v>-295.29899999999998</v>
      </c>
      <c r="O33" s="271">
        <f>-1251.47-N33-M33-L33</f>
        <v>-360.35</v>
      </c>
      <c r="P33" s="270">
        <v>-384.74599999999998</v>
      </c>
      <c r="Q33" s="271">
        <f>-676.836-P33</f>
        <v>-292.09000000000003</v>
      </c>
      <c r="R33" s="271">
        <f>-873.583-Q33-P33</f>
        <v>-196.74699999999996</v>
      </c>
      <c r="S33" s="271">
        <f>-1009.81-R33-Q33-P33</f>
        <v>-136.22699999999998</v>
      </c>
      <c r="T33" s="270">
        <v>-198.93299999999999</v>
      </c>
      <c r="U33" s="271">
        <f>-389.433-T33</f>
        <v>-190.5</v>
      </c>
      <c r="V33" s="271">
        <f>-633.933-U33-T33</f>
        <v>-244.5</v>
      </c>
      <c r="W33" s="271">
        <f>-955.596-V33-U33-T33</f>
        <v>-321.66300000000001</v>
      </c>
      <c r="X33" s="270">
        <v>-7.5</v>
      </c>
      <c r="Y33" s="271">
        <f>-7.5-X33</f>
        <v>0</v>
      </c>
      <c r="Z33" s="271">
        <f>-7.5-Y33-X33</f>
        <v>0</v>
      </c>
      <c r="AA33" s="271">
        <f>-7.5-Z33-Y33-X33</f>
        <v>0</v>
      </c>
      <c r="AB33" s="270">
        <v>0</v>
      </c>
      <c r="AC33" s="271">
        <f>0-AB33</f>
        <v>0</v>
      </c>
      <c r="AD33" s="271">
        <f>0-AC33-AB33</f>
        <v>0</v>
      </c>
      <c r="AE33" s="271">
        <f>0-AD33-AC33-AB33</f>
        <v>0</v>
      </c>
      <c r="AF33" s="270">
        <v>0</v>
      </c>
      <c r="AG33" s="271">
        <f>0-AF33</f>
        <v>0</v>
      </c>
      <c r="AH33" s="271">
        <f>0-AG33-AF33</f>
        <v>0</v>
      </c>
      <c r="AI33" s="272">
        <f>0-AH33-AG33-AF33</f>
        <v>0</v>
      </c>
      <c r="AJ33" s="270">
        <v>0</v>
      </c>
      <c r="AK33" s="596">
        <f>0-AJ33</f>
        <v>0</v>
      </c>
      <c r="AL33" s="596">
        <f>0-AK33-AJ33</f>
        <v>0</v>
      </c>
      <c r="AM33" s="597">
        <f>0-AL33-AK33-AJ33</f>
        <v>0</v>
      </c>
      <c r="AN33" s="270">
        <v>0</v>
      </c>
      <c r="AO33" s="596">
        <f>0-AN33</f>
        <v>0</v>
      </c>
      <c r="AP33" s="596">
        <f>0-AO33-AN33</f>
        <v>0</v>
      </c>
      <c r="AQ33" s="597">
        <f>0-AP33-AO33-AN33</f>
        <v>0</v>
      </c>
      <c r="AR33" s="270">
        <v>0</v>
      </c>
      <c r="AS33" s="596">
        <f>0-AR33</f>
        <v>0</v>
      </c>
      <c r="AT33" s="596">
        <f>0-AS33-AR33</f>
        <v>0</v>
      </c>
      <c r="AU33" s="597">
        <f>0-AT33-AS33-AR33</f>
        <v>0</v>
      </c>
      <c r="AV33" s="270">
        <v>0</v>
      </c>
      <c r="AW33" s="596">
        <f>0-AV33</f>
        <v>0</v>
      </c>
      <c r="AX33" s="596">
        <f>0-AW33-AV33</f>
        <v>0</v>
      </c>
      <c r="AY33" s="597">
        <f>0-AX33-AW33-AV33</f>
        <v>0</v>
      </c>
      <c r="AZ33" s="270">
        <v>0</v>
      </c>
      <c r="BA33" s="596">
        <f>0-AZ33</f>
        <v>0</v>
      </c>
      <c r="BB33" s="596">
        <f>0-BA33-AZ33</f>
        <v>0</v>
      </c>
      <c r="BC33" s="597">
        <f>0-BB33-BA33-AZ33</f>
        <v>0</v>
      </c>
      <c r="BD33" s="270">
        <v>0</v>
      </c>
      <c r="BE33" s="596">
        <f>0-BD33</f>
        <v>0</v>
      </c>
      <c r="BF33" s="596">
        <f>0-BE33-BD33</f>
        <v>0</v>
      </c>
      <c r="BG33" s="597">
        <f>-6-BF33-BE33-BD33</f>
        <v>-6</v>
      </c>
      <c r="BH33" s="270">
        <v>0</v>
      </c>
      <c r="BI33" s="596">
        <f>0-BH33</f>
        <v>0</v>
      </c>
      <c r="BJ33" s="596">
        <f>0-BI33-BH33</f>
        <v>0</v>
      </c>
      <c r="BK33" s="597">
        <f>-12.1-BJ33-BI33-BH33</f>
        <v>-12.1</v>
      </c>
      <c r="BL33" s="270">
        <v>-6</v>
      </c>
      <c r="BM33" s="378">
        <f>IF((BS!BL9-BS!BM9+BS!BL18-BS!BM18)&lt;0,(BS!BL9-BS!BM9+BS!BL18-BS!BM18),0)</f>
        <v>0</v>
      </c>
      <c r="BN33" s="378">
        <f>IF((BS!BM9-BS!BN9+BS!BM18-BS!BN18)&lt;0,(BS!BM9-BS!BN9+BS!BM18-BS!BN18),0)</f>
        <v>0</v>
      </c>
      <c r="BO33" s="379">
        <f>IF((BS!BN9-BS!BO9+BS!BN18-BS!BO18)&lt;0,(BS!BN9-BS!BO9+BS!BN18-BS!BO18),0)</f>
        <v>0</v>
      </c>
      <c r="BP33" s="378">
        <f>IF((BS!BO9-BS!BP9+BS!BO18-BS!BP18)&lt;0,(BS!BO9-BS!BP9+BS!BO18-BS!BP18),0)</f>
        <v>0</v>
      </c>
      <c r="BQ33" s="378">
        <f>IF((BS!BP9-BS!BQ9+BS!BP18-BS!BQ18)&lt;0,(BS!BP9-BS!BQ9+BS!BP18-BS!BQ18),0)</f>
        <v>0</v>
      </c>
      <c r="BR33" s="378">
        <f>IF((BS!BQ9-BS!BR9+BS!BQ18-BS!BR18)&lt;0,(BS!BQ9-BS!BR9+BS!BQ18-BS!BR18),0)</f>
        <v>0</v>
      </c>
      <c r="BS33" s="379">
        <f>IF((BS!BR9-BS!BS9+BS!BR18-BS!BS18)&lt;0,(BS!BR9-BS!BS9+BS!BR18-BS!BS18),0)</f>
        <v>0</v>
      </c>
      <c r="BT33" s="378">
        <f>IF((BS!BS9-BS!BT9+BS!BS18-BS!BT18)&lt;0,(BS!BS9-BS!BT9+BS!BS18-BS!BT18),0)</f>
        <v>0</v>
      </c>
      <c r="BU33" s="378">
        <f>IF((BS!BT9-BS!BU9+BS!BT18-BS!BU18)&lt;0,(BS!BT9-BS!BU9+BS!BT18-BS!BU18),0)</f>
        <v>0</v>
      </c>
      <c r="BV33" s="378">
        <f>IF((BS!BU9-BS!BV9+BS!BU18-BS!BV18)&lt;0,(BS!BU9-BS!BV9+BS!BU18-BS!BV18),0)</f>
        <v>0</v>
      </c>
      <c r="BW33" s="379">
        <f>IF((BS!BV9-BS!BW9+BS!BV18-BS!BW18)&lt;0,(BS!BV9-BS!BW9+BS!BV18-BS!BW18),0)</f>
        <v>0</v>
      </c>
      <c r="BX33" s="718"/>
      <c r="BY33" s="378">
        <f>SUM(D33:G33)</f>
        <v>-3.988</v>
      </c>
      <c r="BZ33" s="378">
        <f>SUM(H33:K33)</f>
        <v>-1130.1279999999999</v>
      </c>
      <c r="CA33" s="378">
        <f>SUM(L33:O33)</f>
        <v>-1251.47</v>
      </c>
      <c r="CB33" s="378">
        <f>SUM(P33:S33)</f>
        <v>-1009.81</v>
      </c>
      <c r="CC33" s="378">
        <f>SUM(T33:W33)</f>
        <v>-955.596</v>
      </c>
      <c r="CD33" s="378">
        <f>SUM(X33:AA33)</f>
        <v>-7.5</v>
      </c>
      <c r="CE33" s="378">
        <f>SUM(AB33:AE33)</f>
        <v>0</v>
      </c>
      <c r="CF33" s="378">
        <f>SUM(AF33:AI33)</f>
        <v>0</v>
      </c>
      <c r="CG33" s="378">
        <f>SUM(AJ33:AM33)</f>
        <v>0</v>
      </c>
      <c r="CH33" s="378">
        <f>SUM(AN33:AQ33)</f>
        <v>0</v>
      </c>
      <c r="CI33" s="379">
        <f>SUM(AR33:AU33)</f>
        <v>0</v>
      </c>
      <c r="CJ33" s="857">
        <f>SUM(AV33:AY33)</f>
        <v>0</v>
      </c>
      <c r="CK33" s="378">
        <f>SUM(AZ33:BC33)</f>
        <v>0</v>
      </c>
      <c r="CL33" s="378">
        <f>SUM(BD33:BG33)</f>
        <v>-6</v>
      </c>
      <c r="CM33" s="378">
        <f>SUM(BH33:BK33)</f>
        <v>-12.1</v>
      </c>
      <c r="CN33" s="378">
        <f>SUM(BL33:BO33)</f>
        <v>-6</v>
      </c>
      <c r="CO33" s="378">
        <f>SUM(BP33:BS33)</f>
        <v>0</v>
      </c>
      <c r="CP33" s="379">
        <f t="shared" si="58"/>
        <v>0</v>
      </c>
      <c r="CQ33" s="951"/>
      <c r="CR33" s="275">
        <f>SUM(M33:P33)</f>
        <v>-1368.701</v>
      </c>
      <c r="CS33" s="273">
        <f>SUM(Q33:T33)</f>
        <v>-823.99699999999996</v>
      </c>
      <c r="CT33" s="273">
        <f>SUM(U33:X33)</f>
        <v>-764.16300000000001</v>
      </c>
      <c r="CU33" s="273">
        <f>SUM(Y33:AB33)</f>
        <v>0</v>
      </c>
      <c r="CV33" s="273">
        <f>SUM(AC33:AF33)</f>
        <v>0</v>
      </c>
      <c r="CW33" s="273">
        <f>SUM(AG33:AJ33)</f>
        <v>0</v>
      </c>
      <c r="CX33" s="273">
        <f>SUM(AK33:AN33)</f>
        <v>0</v>
      </c>
      <c r="CY33" s="273">
        <f>SUM(AO33:AR33)</f>
        <v>0</v>
      </c>
      <c r="CZ33" s="273">
        <f>SUM(AS33:AV33)</f>
        <v>0</v>
      </c>
      <c r="DA33" s="273">
        <f>SUM(AW33:AZ33)</f>
        <v>0</v>
      </c>
      <c r="DB33" s="273">
        <f>SUM(BA33:BD33)</f>
        <v>0</v>
      </c>
      <c r="DC33" s="273">
        <f>SUM(BE33:BH33)</f>
        <v>-6</v>
      </c>
      <c r="DD33" s="273">
        <f>SUM(BI33:BL33)</f>
        <v>-18.100000000000001</v>
      </c>
      <c r="DE33" s="273">
        <f>SUM(BM33:BP33)</f>
        <v>0</v>
      </c>
      <c r="DF33" s="274">
        <f t="shared" si="59"/>
        <v>0</v>
      </c>
      <c r="DG33" s="110"/>
      <c r="DH33" s="110"/>
      <c r="DI33" s="110"/>
      <c r="DJ33" s="110"/>
      <c r="DK33"/>
      <c r="DL33"/>
      <c r="DM33"/>
      <c r="DN33"/>
      <c r="DO33"/>
      <c r="DP33"/>
    </row>
    <row r="34" spans="2:122" s="281" customFormat="1" ht="15.75" thickBot="1">
      <c r="B34" s="394" t="s">
        <v>181</v>
      </c>
      <c r="C34" s="395"/>
      <c r="D34" s="284">
        <f t="shared" ref="D34:S34" si="66">SUM(D30:D33)</f>
        <v>-13.932</v>
      </c>
      <c r="E34" s="285">
        <f t="shared" si="66"/>
        <v>-12.645999999999999</v>
      </c>
      <c r="F34" s="285">
        <f t="shared" si="66"/>
        <v>-4.3950000000000022</v>
      </c>
      <c r="G34" s="285">
        <f t="shared" si="66"/>
        <v>-13.308999999999994</v>
      </c>
      <c r="H34" s="284">
        <f t="shared" si="66"/>
        <v>-9.8620000000000001</v>
      </c>
      <c r="I34" s="285">
        <f>SUM(I30:I33)</f>
        <v>-98.360000000000127</v>
      </c>
      <c r="J34" s="285">
        <f t="shared" si="66"/>
        <v>-16.050999999999817</v>
      </c>
      <c r="K34" s="285">
        <f t="shared" si="66"/>
        <v>-16.770999999999958</v>
      </c>
      <c r="L34" s="284">
        <f t="shared" si="66"/>
        <v>-12.60499999999999</v>
      </c>
      <c r="M34" s="285">
        <f t="shared" si="66"/>
        <v>-27.136000000000024</v>
      </c>
      <c r="N34" s="285">
        <f t="shared" si="66"/>
        <v>-15.38799999999992</v>
      </c>
      <c r="O34" s="285">
        <f t="shared" si="66"/>
        <v>-11.295000000000016</v>
      </c>
      <c r="P34" s="284">
        <f t="shared" si="66"/>
        <v>-15.277999999999963</v>
      </c>
      <c r="Q34" s="285">
        <f t="shared" si="66"/>
        <v>42.286999999999921</v>
      </c>
      <c r="R34" s="285">
        <f t="shared" si="66"/>
        <v>-6.3919999999998822</v>
      </c>
      <c r="S34" s="285">
        <f t="shared" si="66"/>
        <v>21.765999999999877</v>
      </c>
      <c r="T34" s="284">
        <f>SUM(T30:T33)</f>
        <v>-41.23399999999998</v>
      </c>
      <c r="U34" s="285">
        <f>SUM(U30:U33)</f>
        <v>-12.242999999999995</v>
      </c>
      <c r="V34" s="285">
        <f>SUM(V30:V33)</f>
        <v>-23.838000000000022</v>
      </c>
      <c r="W34" s="285">
        <f>SUM(W30:W33)</f>
        <v>57.168999999999983</v>
      </c>
      <c r="X34" s="284">
        <f t="shared" ref="X34:AH34" si="67">SUM(X30:X33)</f>
        <v>-50.019999999999996</v>
      </c>
      <c r="Y34" s="285">
        <f t="shared" si="67"/>
        <v>-17.523000000000003</v>
      </c>
      <c r="Z34" s="285">
        <f t="shared" si="67"/>
        <v>-14.43</v>
      </c>
      <c r="AA34" s="285">
        <f t="shared" si="67"/>
        <v>-12.985999999999997</v>
      </c>
      <c r="AB34" s="284">
        <f t="shared" si="67"/>
        <v>-14.200000000000001</v>
      </c>
      <c r="AC34" s="285">
        <f t="shared" si="67"/>
        <v>-5.7139999999999986</v>
      </c>
      <c r="AD34" s="285">
        <f t="shared" si="67"/>
        <v>-13.407</v>
      </c>
      <c r="AE34" s="285">
        <f t="shared" si="67"/>
        <v>-16.207000000000001</v>
      </c>
      <c r="AF34" s="284">
        <f t="shared" si="67"/>
        <v>-15.679</v>
      </c>
      <c r="AG34" s="285">
        <f t="shared" si="67"/>
        <v>-19.580999999999996</v>
      </c>
      <c r="AH34" s="285">
        <f t="shared" si="67"/>
        <v>-30.349000000000004</v>
      </c>
      <c r="AI34" s="286">
        <f t="shared" ref="AI34:AW34" si="68">SUM(AI30:AI33)</f>
        <v>-29.72</v>
      </c>
      <c r="AJ34" s="284">
        <f t="shared" si="68"/>
        <v>-36.97</v>
      </c>
      <c r="AK34" s="356">
        <f t="shared" si="68"/>
        <v>-32.765999999999998</v>
      </c>
      <c r="AL34" s="356">
        <f t="shared" si="68"/>
        <v>-265.464</v>
      </c>
      <c r="AM34" s="377">
        <f t="shared" si="68"/>
        <v>-14.744000000000003</v>
      </c>
      <c r="AN34" s="284">
        <f t="shared" si="68"/>
        <v>-6.4240000000000004</v>
      </c>
      <c r="AO34" s="356">
        <f t="shared" si="68"/>
        <v>-234.50099999999998</v>
      </c>
      <c r="AP34" s="356">
        <f t="shared" si="68"/>
        <v>-31.140999999999998</v>
      </c>
      <c r="AQ34" s="377">
        <f t="shared" si="68"/>
        <v>-30.791000000000004</v>
      </c>
      <c r="AR34" s="284">
        <f t="shared" si="68"/>
        <v>-25.616</v>
      </c>
      <c r="AS34" s="356">
        <f t="shared" si="68"/>
        <v>-25.584000000000003</v>
      </c>
      <c r="AT34" s="356">
        <f t="shared" si="68"/>
        <v>-33.400000000000006</v>
      </c>
      <c r="AU34" s="377">
        <f t="shared" si="68"/>
        <v>-38.399999999999991</v>
      </c>
      <c r="AV34" s="284">
        <f t="shared" si="68"/>
        <v>-16.3</v>
      </c>
      <c r="AW34" s="356">
        <f t="shared" si="68"/>
        <v>-41.900000000000006</v>
      </c>
      <c r="AX34" s="356">
        <f t="shared" ref="AX34:BC34" si="69">SUM(AX30:AX33)</f>
        <v>-67.5</v>
      </c>
      <c r="AY34" s="377">
        <f t="shared" si="69"/>
        <v>-231.39999999999998</v>
      </c>
      <c r="AZ34" s="284">
        <f t="shared" si="69"/>
        <v>-87.2</v>
      </c>
      <c r="BA34" s="356">
        <f t="shared" si="69"/>
        <v>-102.1</v>
      </c>
      <c r="BB34" s="356">
        <f t="shared" si="69"/>
        <v>-114.2</v>
      </c>
      <c r="BC34" s="377">
        <f t="shared" si="69"/>
        <v>-151.20000000000002</v>
      </c>
      <c r="BD34" s="284">
        <f t="shared" ref="BD34:BO34" si="70">SUM(BD30:BD33)</f>
        <v>-79.5</v>
      </c>
      <c r="BE34" s="356">
        <f t="shared" si="70"/>
        <v>-37.400000000000006</v>
      </c>
      <c r="BF34" s="356">
        <f t="shared" si="70"/>
        <v>-112.19999999999999</v>
      </c>
      <c r="BG34" s="377">
        <f t="shared" si="70"/>
        <v>-21.800000000000018</v>
      </c>
      <c r="BH34" s="284">
        <f>SUM(BH30:BH33)</f>
        <v>-60.599999999999994</v>
      </c>
      <c r="BI34" s="356">
        <f>SUM(BI30:BI33)</f>
        <v>-54.9</v>
      </c>
      <c r="BJ34" s="356">
        <f>SUM(BJ30:BJ33)</f>
        <v>-113</v>
      </c>
      <c r="BK34" s="377">
        <f t="shared" ref="BK34" si="71">SUM(BK30:BK33)</f>
        <v>-97.4</v>
      </c>
      <c r="BL34" s="284">
        <f>SUM(BL30:BL33)</f>
        <v>-34.200000000000003</v>
      </c>
      <c r="BM34" s="356">
        <f t="shared" si="70"/>
        <v>-90.271428250000014</v>
      </c>
      <c r="BN34" s="356">
        <f t="shared" si="70"/>
        <v>-86.811900083750018</v>
      </c>
      <c r="BO34" s="377">
        <f t="shared" si="70"/>
        <v>-103.16292427112504</v>
      </c>
      <c r="BP34" s="356">
        <f t="shared" ref="BP34:BW34" si="72">SUM(BP30:BP33)</f>
        <v>-80.558389301380799</v>
      </c>
      <c r="BQ34" s="356">
        <f t="shared" si="72"/>
        <v>-73.351431729451747</v>
      </c>
      <c r="BR34" s="356">
        <f t="shared" si="72"/>
        <v>-73.373200328632507</v>
      </c>
      <c r="BS34" s="377">
        <f t="shared" si="72"/>
        <v>-78.922959605091236</v>
      </c>
      <c r="BT34" s="356">
        <f t="shared" si="72"/>
        <v>-82.253073775842466</v>
      </c>
      <c r="BU34" s="356">
        <f t="shared" si="72"/>
        <v>-77.785096382942854</v>
      </c>
      <c r="BV34" s="356">
        <f t="shared" si="72"/>
        <v>-78.79732884244126</v>
      </c>
      <c r="BW34" s="377">
        <f t="shared" si="72"/>
        <v>-85.20834936219606</v>
      </c>
      <c r="BX34" s="719"/>
      <c r="BY34" s="356">
        <f>SUM(BY30:BY33)</f>
        <v>-44.281999999999996</v>
      </c>
      <c r="BZ34" s="356">
        <f>SUM(BZ30:BZ33)</f>
        <v>-141.04399999999987</v>
      </c>
      <c r="CA34" s="356">
        <f>SUM(CA30:CA33)</f>
        <v>-66.423999999999978</v>
      </c>
      <c r="CB34" s="356">
        <f>SUM(CB30:CB33)</f>
        <v>42.383000000000038</v>
      </c>
      <c r="CC34" s="356">
        <f>SUM(CC30:CC33)</f>
        <v>-20.145999999999958</v>
      </c>
      <c r="CD34" s="356">
        <f t="shared" ref="CD34:CU34" si="73">SUM(CD30:CD33)</f>
        <v>-94.959000000000003</v>
      </c>
      <c r="CE34" s="356">
        <f t="shared" si="73"/>
        <v>-49.527999999999999</v>
      </c>
      <c r="CF34" s="356">
        <f t="shared" si="73"/>
        <v>-95.329000000000008</v>
      </c>
      <c r="CG34" s="356">
        <f t="shared" si="73"/>
        <v>-349.94399999999996</v>
      </c>
      <c r="CH34" s="356">
        <f t="shared" si="73"/>
        <v>-302.85700000000003</v>
      </c>
      <c r="CI34" s="377">
        <f t="shared" si="73"/>
        <v>-123</v>
      </c>
      <c r="CJ34" s="455">
        <f t="shared" si="73"/>
        <v>-357.1</v>
      </c>
      <c r="CK34" s="356">
        <f t="shared" si="73"/>
        <v>-454.70000000000005</v>
      </c>
      <c r="CL34" s="356">
        <f t="shared" si="73"/>
        <v>-250.9</v>
      </c>
      <c r="CM34" s="356">
        <f t="shared" si="73"/>
        <v>-325.90000000000003</v>
      </c>
      <c r="CN34" s="356">
        <f t="shared" si="73"/>
        <v>-314.4462526048751</v>
      </c>
      <c r="CO34" s="356">
        <f>SUM(CO30:CO33)</f>
        <v>-306.20598096455632</v>
      </c>
      <c r="CP34" s="377">
        <f>SUM(CP30:CP33)</f>
        <v>-324.04384836342263</v>
      </c>
      <c r="CQ34" s="952"/>
      <c r="CR34" s="284">
        <f>SUM(CR30:CR33)</f>
        <v>-69.097000000000207</v>
      </c>
      <c r="CS34" s="285">
        <f>SUM(CS30:CS33)</f>
        <v>16.427000000000021</v>
      </c>
      <c r="CT34" s="285">
        <f>SUM(CT30:CT33)</f>
        <v>-28.932000000000016</v>
      </c>
      <c r="CU34" s="285">
        <f t="shared" si="73"/>
        <v>-59.138999999999996</v>
      </c>
      <c r="CV34" s="285">
        <f t="shared" ref="CV34:DD34" si="74">SUM(CV30:CV33)</f>
        <v>-51.007000000000005</v>
      </c>
      <c r="CW34" s="285">
        <f t="shared" si="74"/>
        <v>-116.62</v>
      </c>
      <c r="CX34" s="285">
        <f t="shared" si="74"/>
        <v>-319.39800000000002</v>
      </c>
      <c r="CY34" s="285">
        <f t="shared" si="74"/>
        <v>-322.04899999999998</v>
      </c>
      <c r="CZ34" s="285">
        <f t="shared" si="74"/>
        <v>-113.684</v>
      </c>
      <c r="DA34" s="285">
        <f t="shared" si="74"/>
        <v>-428</v>
      </c>
      <c r="DB34" s="285">
        <f t="shared" si="74"/>
        <v>-447</v>
      </c>
      <c r="DC34" s="285">
        <f t="shared" si="74"/>
        <v>-232</v>
      </c>
      <c r="DD34" s="285">
        <f t="shared" si="74"/>
        <v>-299.50000000000006</v>
      </c>
      <c r="DE34" s="285">
        <f>SUM(DE30:DE33)</f>
        <v>-360.80464190625582</v>
      </c>
      <c r="DF34" s="286">
        <f>SUM(DF30:DF33)</f>
        <v>-307.90066543901798</v>
      </c>
      <c r="DG34" s="248"/>
      <c r="DH34" s="248"/>
      <c r="DI34" s="248"/>
      <c r="DJ34" s="248"/>
      <c r="DK34"/>
      <c r="DL34"/>
      <c r="DM34"/>
      <c r="DN34"/>
      <c r="DO34"/>
      <c r="DP34"/>
      <c r="DQ34" s="109"/>
      <c r="DR34" s="109"/>
    </row>
    <row r="35" spans="2:122" s="109" customFormat="1" ht="15" thickTop="1">
      <c r="B35" s="259"/>
      <c r="C35" s="110"/>
      <c r="D35" s="270"/>
      <c r="E35" s="277"/>
      <c r="F35" s="277"/>
      <c r="G35" s="280"/>
      <c r="H35" s="270"/>
      <c r="I35" s="277"/>
      <c r="J35" s="277"/>
      <c r="K35" s="280"/>
      <c r="L35" s="270"/>
      <c r="M35" s="277"/>
      <c r="N35" s="277"/>
      <c r="O35" s="280"/>
      <c r="P35" s="270"/>
      <c r="Q35" s="277"/>
      <c r="R35" s="277"/>
      <c r="S35" s="280"/>
      <c r="T35" s="270"/>
      <c r="U35" s="277"/>
      <c r="V35" s="277"/>
      <c r="W35" s="280"/>
      <c r="X35" s="270"/>
      <c r="Y35" s="277"/>
      <c r="Z35" s="277"/>
      <c r="AA35" s="280"/>
      <c r="AB35" s="270"/>
      <c r="AC35" s="277"/>
      <c r="AD35" s="277"/>
      <c r="AE35" s="280"/>
      <c r="AF35" s="270"/>
      <c r="AG35" s="277"/>
      <c r="AH35" s="277"/>
      <c r="AI35" s="280"/>
      <c r="AJ35" s="270"/>
      <c r="AK35" s="273"/>
      <c r="AL35" s="277"/>
      <c r="AM35" s="280"/>
      <c r="AN35" s="270"/>
      <c r="AO35" s="273"/>
      <c r="AP35" s="277"/>
      <c r="AQ35" s="280"/>
      <c r="AR35" s="270"/>
      <c r="AS35" s="273"/>
      <c r="AT35" s="277"/>
      <c r="AU35" s="280"/>
      <c r="AV35" s="270"/>
      <c r="AW35" s="273"/>
      <c r="AX35" s="277"/>
      <c r="AY35" s="280"/>
      <c r="AZ35" s="270"/>
      <c r="BA35" s="273"/>
      <c r="BB35" s="277"/>
      <c r="BC35" s="280"/>
      <c r="BD35" s="270"/>
      <c r="BE35" s="273"/>
      <c r="BF35" s="277"/>
      <c r="BG35" s="280"/>
      <c r="BH35" s="270"/>
      <c r="BI35" s="277"/>
      <c r="BJ35" s="277"/>
      <c r="BK35" s="280"/>
      <c r="BL35" s="270"/>
      <c r="BM35" s="277"/>
      <c r="BN35" s="277"/>
      <c r="BO35" s="280"/>
      <c r="BP35" s="277"/>
      <c r="BQ35" s="277"/>
      <c r="BR35" s="277"/>
      <c r="BS35" s="280"/>
      <c r="BT35" s="277"/>
      <c r="BU35" s="277"/>
      <c r="BV35" s="277"/>
      <c r="BW35" s="280"/>
      <c r="BX35" s="718"/>
      <c r="BY35" s="277"/>
      <c r="BZ35" s="277"/>
      <c r="CA35" s="277"/>
      <c r="CB35" s="277"/>
      <c r="CC35" s="277"/>
      <c r="CD35" s="277"/>
      <c r="CE35" s="277"/>
      <c r="CF35" s="715"/>
      <c r="CG35" s="277"/>
      <c r="CH35" s="277"/>
      <c r="CI35" s="280"/>
      <c r="CJ35" s="270"/>
      <c r="CK35" s="277"/>
      <c r="CL35" s="277"/>
      <c r="CM35" s="277"/>
      <c r="CN35" s="277"/>
      <c r="CO35" s="277"/>
      <c r="CP35" s="280"/>
      <c r="CQ35" s="951"/>
      <c r="CR35" s="270"/>
      <c r="CS35" s="277"/>
      <c r="CT35" s="277"/>
      <c r="CU35" s="277"/>
      <c r="CV35" s="277"/>
      <c r="CW35" s="277"/>
      <c r="CX35" s="277"/>
      <c r="CY35" s="277"/>
      <c r="CZ35" s="277"/>
      <c r="DA35" s="277"/>
      <c r="DB35" s="277"/>
      <c r="DC35" s="277"/>
      <c r="DD35" s="277"/>
      <c r="DE35" s="277"/>
      <c r="DF35" s="280"/>
      <c r="DG35" s="110"/>
      <c r="DH35" s="110"/>
      <c r="DI35" s="110"/>
      <c r="DJ35" s="110"/>
      <c r="DK35"/>
      <c r="DL35"/>
      <c r="DM35"/>
      <c r="DN35"/>
      <c r="DO35"/>
      <c r="DP35"/>
    </row>
    <row r="36" spans="2:122" s="109" customFormat="1" ht="15">
      <c r="B36" s="282" t="s">
        <v>182</v>
      </c>
      <c r="C36" s="283"/>
      <c r="D36" s="270"/>
      <c r="E36" s="277"/>
      <c r="F36" s="277"/>
      <c r="G36" s="280"/>
      <c r="H36" s="270"/>
      <c r="I36" s="277"/>
      <c r="J36" s="277"/>
      <c r="K36" s="280"/>
      <c r="L36" s="270"/>
      <c r="M36" s="277"/>
      <c r="N36" s="277"/>
      <c r="O36" s="280"/>
      <c r="P36" s="270"/>
      <c r="Q36" s="277"/>
      <c r="R36" s="277"/>
      <c r="S36" s="280"/>
      <c r="T36" s="270"/>
      <c r="U36" s="277"/>
      <c r="V36" s="277"/>
      <c r="W36" s="280"/>
      <c r="X36" s="270"/>
      <c r="Y36" s="277"/>
      <c r="Z36" s="277"/>
      <c r="AA36" s="280"/>
      <c r="AB36" s="270"/>
      <c r="AC36" s="277"/>
      <c r="AD36" s="277"/>
      <c r="AE36" s="280"/>
      <c r="AF36" s="270"/>
      <c r="AG36" s="277"/>
      <c r="AH36" s="277"/>
      <c r="AI36" s="280"/>
      <c r="AJ36" s="270"/>
      <c r="AK36" s="273"/>
      <c r="AL36" s="277"/>
      <c r="AM36" s="280"/>
      <c r="AN36" s="270"/>
      <c r="AO36" s="273"/>
      <c r="AP36" s="277"/>
      <c r="AQ36" s="280"/>
      <c r="AR36" s="270"/>
      <c r="AS36" s="273"/>
      <c r="AT36" s="277"/>
      <c r="AU36" s="280"/>
      <c r="AV36" s="270"/>
      <c r="AW36" s="273"/>
      <c r="AX36" s="277"/>
      <c r="AY36" s="280"/>
      <c r="AZ36" s="270"/>
      <c r="BA36" s="273"/>
      <c r="BB36" s="277"/>
      <c r="BC36" s="280"/>
      <c r="BD36" s="270"/>
      <c r="BE36" s="273"/>
      <c r="BF36" s="277"/>
      <c r="BG36" s="280"/>
      <c r="BH36" s="270"/>
      <c r="BI36" s="277"/>
      <c r="BJ36" s="277"/>
      <c r="BK36" s="280"/>
      <c r="BL36" s="270"/>
      <c r="BM36" s="277"/>
      <c r="BN36" s="277"/>
      <c r="BO36" s="280"/>
      <c r="BP36" s="277"/>
      <c r="BQ36" s="277"/>
      <c r="BR36" s="277"/>
      <c r="BS36" s="280"/>
      <c r="BT36" s="277"/>
      <c r="BU36" s="277"/>
      <c r="BV36" s="277"/>
      <c r="BW36" s="280"/>
      <c r="BX36" s="718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80"/>
      <c r="CJ36" s="270"/>
      <c r="CK36" s="277"/>
      <c r="CL36" s="277"/>
      <c r="CM36" s="277"/>
      <c r="CN36" s="277"/>
      <c r="CO36" s="277"/>
      <c r="CP36" s="280"/>
      <c r="CQ36" s="951"/>
      <c r="CR36" s="270"/>
      <c r="CS36" s="277"/>
      <c r="CT36" s="277"/>
      <c r="CU36" s="277"/>
      <c r="CV36" s="277"/>
      <c r="CW36" s="277"/>
      <c r="CX36" s="277"/>
      <c r="CY36" s="277"/>
      <c r="CZ36" s="277"/>
      <c r="DA36" s="277"/>
      <c r="DB36" s="277"/>
      <c r="DC36" s="277"/>
      <c r="DD36" s="277"/>
      <c r="DE36" s="277"/>
      <c r="DF36" s="280"/>
      <c r="DG36" s="110"/>
      <c r="DH36" s="110"/>
      <c r="DI36" s="110"/>
      <c r="DJ36" s="110"/>
      <c r="DK36"/>
      <c r="DL36"/>
      <c r="DM36"/>
      <c r="DN36"/>
      <c r="DO36"/>
      <c r="DP36"/>
    </row>
    <row r="37" spans="2:122" s="109" customFormat="1" ht="15">
      <c r="B37" s="278" t="s">
        <v>222</v>
      </c>
      <c r="C37" s="283"/>
      <c r="D37" s="270">
        <v>230</v>
      </c>
      <c r="E37" s="271">
        <f>230-D37</f>
        <v>0</v>
      </c>
      <c r="F37" s="271">
        <f>230-E37-D37</f>
        <v>0</v>
      </c>
      <c r="G37" s="272">
        <f>230-F37-E37-D37</f>
        <v>0</v>
      </c>
      <c r="H37" s="270">
        <v>0</v>
      </c>
      <c r="I37" s="271">
        <f>0-H37</f>
        <v>0</v>
      </c>
      <c r="J37" s="271">
        <f>0-I37-H37</f>
        <v>0</v>
      </c>
      <c r="K37" s="272">
        <f>0-J37-I37-H37</f>
        <v>0</v>
      </c>
      <c r="L37" s="270">
        <v>0</v>
      </c>
      <c r="M37" s="271">
        <f>0-L37</f>
        <v>0</v>
      </c>
      <c r="N37" s="271">
        <f>0-M37-L37</f>
        <v>0</v>
      </c>
      <c r="O37" s="272">
        <f>0-N37-M37-L37</f>
        <v>0</v>
      </c>
      <c r="P37" s="270">
        <v>0</v>
      </c>
      <c r="Q37" s="271">
        <f>0-P37</f>
        <v>0</v>
      </c>
      <c r="R37" s="271">
        <f>0-Q37-P37</f>
        <v>0</v>
      </c>
      <c r="S37" s="272">
        <f>0-R37-Q37-P37</f>
        <v>0</v>
      </c>
      <c r="T37" s="270">
        <v>0</v>
      </c>
      <c r="U37" s="271">
        <f>200-T37</f>
        <v>200</v>
      </c>
      <c r="V37" s="271">
        <f>200-U37-T37</f>
        <v>0</v>
      </c>
      <c r="W37" s="272">
        <f>200-V37-U37-T37</f>
        <v>0</v>
      </c>
      <c r="X37" s="270">
        <v>0</v>
      </c>
      <c r="Y37" s="271">
        <f>0-X37</f>
        <v>0</v>
      </c>
      <c r="Z37" s="271">
        <f>0-Y37-X37</f>
        <v>0</v>
      </c>
      <c r="AA37" s="272">
        <f>0-Z37-Y37-X37</f>
        <v>0</v>
      </c>
      <c r="AB37" s="270">
        <v>0</v>
      </c>
      <c r="AC37" s="271">
        <f>0-AB37</f>
        <v>0</v>
      </c>
      <c r="AD37" s="271">
        <f>0-AC37-AB37</f>
        <v>0</v>
      </c>
      <c r="AE37" s="271">
        <f>0-AD37-AC37-AB37</f>
        <v>0</v>
      </c>
      <c r="AF37" s="270">
        <v>0</v>
      </c>
      <c r="AG37" s="271">
        <f>0-AF37</f>
        <v>0</v>
      </c>
      <c r="AH37" s="271">
        <f>0-AG37-AF37</f>
        <v>0</v>
      </c>
      <c r="AI37" s="272">
        <f>0-AH37-AG37-AF37</f>
        <v>0</v>
      </c>
      <c r="AJ37" s="270">
        <v>0</v>
      </c>
      <c r="AK37" s="271">
        <f>0-AJ37</f>
        <v>0</v>
      </c>
      <c r="AL37" s="271">
        <f>0-AK37-AJ37</f>
        <v>0</v>
      </c>
      <c r="AM37" s="272">
        <f>0-AL37-AK37-AJ37</f>
        <v>0</v>
      </c>
      <c r="AN37" s="270">
        <v>0</v>
      </c>
      <c r="AO37" s="271">
        <f>0-AN37</f>
        <v>0</v>
      </c>
      <c r="AP37" s="271">
        <f>0-AO37-AN37</f>
        <v>0</v>
      </c>
      <c r="AQ37" s="272">
        <f>0-AP37-AO37-AN37</f>
        <v>0</v>
      </c>
      <c r="AR37" s="270">
        <v>0</v>
      </c>
      <c r="AS37" s="271">
        <f>0-AR37</f>
        <v>0</v>
      </c>
      <c r="AT37" s="271">
        <f>0-AS37-AR37</f>
        <v>0</v>
      </c>
      <c r="AU37" s="272">
        <f>0-AT37-AS37-AR37</f>
        <v>0</v>
      </c>
      <c r="AV37" s="270">
        <v>0</v>
      </c>
      <c r="AW37" s="271">
        <f>0-AV37</f>
        <v>0</v>
      </c>
      <c r="AX37" s="271">
        <f>0-AW37-AV37</f>
        <v>0</v>
      </c>
      <c r="AY37" s="272">
        <f>0-AX37-AW37-AV37</f>
        <v>0</v>
      </c>
      <c r="AZ37" s="270">
        <v>0</v>
      </c>
      <c r="BA37" s="271">
        <f>0-AZ37</f>
        <v>0</v>
      </c>
      <c r="BB37" s="271">
        <f>0-BA37-AZ37</f>
        <v>0</v>
      </c>
      <c r="BC37" s="272">
        <f>0-BB37-BA37-AZ37</f>
        <v>0</v>
      </c>
      <c r="BD37" s="270">
        <v>0</v>
      </c>
      <c r="BE37" s="271">
        <f>0-BD37</f>
        <v>0</v>
      </c>
      <c r="BF37" s="271">
        <f>0-BE37-BD37</f>
        <v>0</v>
      </c>
      <c r="BG37" s="272">
        <f>0-BF37-BE37-BD37</f>
        <v>0</v>
      </c>
      <c r="BH37" s="270">
        <v>0</v>
      </c>
      <c r="BI37" s="271">
        <f>0-BH37</f>
        <v>0</v>
      </c>
      <c r="BJ37" s="271">
        <f>0-BI37-BH37</f>
        <v>0</v>
      </c>
      <c r="BK37" s="272">
        <f>0-BJ37-BI37-BH37</f>
        <v>0</v>
      </c>
      <c r="BL37" s="270">
        <v>0</v>
      </c>
      <c r="BM37" s="273">
        <f t="shared" ref="BM37:BO39" si="75">BL37</f>
        <v>0</v>
      </c>
      <c r="BN37" s="273">
        <f t="shared" si="75"/>
        <v>0</v>
      </c>
      <c r="BO37" s="274">
        <f t="shared" si="75"/>
        <v>0</v>
      </c>
      <c r="BP37" s="273">
        <f t="shared" ref="BP37:BS39" si="76">BO37</f>
        <v>0</v>
      </c>
      <c r="BQ37" s="273">
        <f t="shared" si="76"/>
        <v>0</v>
      </c>
      <c r="BR37" s="273">
        <f t="shared" si="76"/>
        <v>0</v>
      </c>
      <c r="BS37" s="273">
        <f t="shared" si="76"/>
        <v>0</v>
      </c>
      <c r="BT37" s="275">
        <f t="shared" ref="BT37:BT39" si="77">BS37</f>
        <v>0</v>
      </c>
      <c r="BU37" s="273">
        <f t="shared" ref="BU37:BU39" si="78">BT37</f>
        <v>0</v>
      </c>
      <c r="BV37" s="273">
        <f t="shared" ref="BV37:BV39" si="79">BU37</f>
        <v>0</v>
      </c>
      <c r="BW37" s="274">
        <f t="shared" ref="BW37:BW39" si="80">BV37</f>
        <v>0</v>
      </c>
      <c r="BX37" s="718"/>
      <c r="BY37" s="273">
        <f t="shared" ref="BY37:BY45" si="81">SUM(D37:G37)</f>
        <v>230</v>
      </c>
      <c r="BZ37" s="273">
        <f t="shared" ref="BZ37:BZ45" si="82">SUM(H37:K37)</f>
        <v>0</v>
      </c>
      <c r="CA37" s="273">
        <f t="shared" ref="CA37:CA45" si="83">SUM(L37:O37)</f>
        <v>0</v>
      </c>
      <c r="CB37" s="273">
        <f t="shared" ref="CB37:CB45" si="84">SUM(P37:S37)</f>
        <v>0</v>
      </c>
      <c r="CC37" s="273">
        <f t="shared" ref="CC37:CC45" si="85">SUM(T37:W37)</f>
        <v>200</v>
      </c>
      <c r="CD37" s="273">
        <f t="shared" ref="CD37:CD45" si="86">SUM(X37:AA37)</f>
        <v>0</v>
      </c>
      <c r="CE37" s="273">
        <f t="shared" ref="CE37:CE45" si="87">SUM(AB37:AE37)</f>
        <v>0</v>
      </c>
      <c r="CF37" s="273">
        <f t="shared" ref="CF37:CF45" si="88">SUM(AF37:AI37)</f>
        <v>0</v>
      </c>
      <c r="CG37" s="273">
        <f t="shared" ref="CG37:CG45" si="89">SUM(AJ37:AM37)</f>
        <v>0</v>
      </c>
      <c r="CH37" s="273">
        <f t="shared" ref="CH37:CH45" si="90">SUM(AN37:AQ37)</f>
        <v>0</v>
      </c>
      <c r="CI37" s="274">
        <f t="shared" ref="CI37:CI45" si="91">SUM(AR37:AU37)</f>
        <v>0</v>
      </c>
      <c r="CJ37" s="275">
        <f t="shared" ref="CJ37:CJ45" si="92">SUM(AV37:AY37)</f>
        <v>0</v>
      </c>
      <c r="CK37" s="273">
        <f t="shared" ref="CK37:CK45" si="93">SUM(AZ37:BC37)</f>
        <v>0</v>
      </c>
      <c r="CL37" s="273">
        <f t="shared" ref="CL37:CL45" si="94">SUM(BD37:BG37)</f>
        <v>0</v>
      </c>
      <c r="CM37" s="273">
        <f t="shared" ref="CM37:CM45" si="95">SUM(BH37:BK37)</f>
        <v>0</v>
      </c>
      <c r="CN37" s="273">
        <f t="shared" ref="CN37:CN45" si="96">SUM(BL37:BO37)</f>
        <v>0</v>
      </c>
      <c r="CO37" s="273">
        <f t="shared" ref="CO37:CO45" si="97">SUM(BP37:BS37)</f>
        <v>0</v>
      </c>
      <c r="CP37" s="274">
        <f t="shared" ref="CP37:CP45" si="98">SUM(BT37:BW37)</f>
        <v>0</v>
      </c>
      <c r="CQ37" s="951"/>
      <c r="CR37" s="275">
        <f t="shared" ref="CR37:CR45" si="99">SUM(M37:P37)</f>
        <v>0</v>
      </c>
      <c r="CS37" s="273">
        <f t="shared" ref="CS37:CS45" si="100">SUM(Q37:T37)</f>
        <v>0</v>
      </c>
      <c r="CT37" s="273">
        <f t="shared" ref="CT37:CT45" si="101">SUM(U37:X37)</f>
        <v>200</v>
      </c>
      <c r="CU37" s="273">
        <f t="shared" ref="CU37:CU45" si="102">SUM(Y37:AB37)</f>
        <v>0</v>
      </c>
      <c r="CV37" s="273">
        <f t="shared" ref="CV37:CV45" si="103">SUM(AC37:AF37)</f>
        <v>0</v>
      </c>
      <c r="CW37" s="273">
        <f t="shared" ref="CW37:CW45" si="104">SUM(AG37:AJ37)</f>
        <v>0</v>
      </c>
      <c r="CX37" s="273">
        <f t="shared" ref="CX37:CX45" si="105">SUM(AK37:AN37)</f>
        <v>0</v>
      </c>
      <c r="CY37" s="273">
        <f t="shared" ref="CY37:CY45" si="106">SUM(AO37:AR37)</f>
        <v>0</v>
      </c>
      <c r="CZ37" s="273">
        <f t="shared" ref="CZ37:CZ45" si="107">SUM(AS37:AV37)</f>
        <v>0</v>
      </c>
      <c r="DA37" s="273">
        <f t="shared" ref="DA37:DA45" si="108">SUM(AW37:AZ37)</f>
        <v>0</v>
      </c>
      <c r="DB37" s="273">
        <f t="shared" ref="DB37:DB45" si="109">SUM(BA37:BD37)</f>
        <v>0</v>
      </c>
      <c r="DC37" s="273">
        <f t="shared" ref="DC37:DC45" si="110">SUM(BE37:BH37)</f>
        <v>0</v>
      </c>
      <c r="DD37" s="273">
        <f t="shared" ref="DD37:DD45" si="111">SUM(BI37:BL37)</f>
        <v>0</v>
      </c>
      <c r="DE37" s="273">
        <f t="shared" ref="DE37:DE45" si="112">SUM(BM37:BP37)</f>
        <v>0</v>
      </c>
      <c r="DF37" s="274">
        <f t="shared" ref="DF37:DF45" si="113">SUM(BQ37:BT37)</f>
        <v>0</v>
      </c>
      <c r="DG37" s="110"/>
      <c r="DH37" s="110"/>
      <c r="DI37" s="110"/>
      <c r="DJ37" s="110"/>
      <c r="DK37"/>
      <c r="DL37"/>
      <c r="DM37"/>
      <c r="DN37"/>
      <c r="DO37"/>
      <c r="DP37"/>
    </row>
    <row r="38" spans="2:122" s="109" customFormat="1" ht="14.25">
      <c r="B38" s="278" t="s">
        <v>216</v>
      </c>
      <c r="C38" s="279"/>
      <c r="D38" s="270">
        <v>0</v>
      </c>
      <c r="E38" s="271">
        <f>0-D38</f>
        <v>0</v>
      </c>
      <c r="F38" s="271">
        <f>0-E38-D38</f>
        <v>0</v>
      </c>
      <c r="G38" s="272">
        <f>0-F38-E38-D38</f>
        <v>0</v>
      </c>
      <c r="H38" s="270">
        <v>0</v>
      </c>
      <c r="I38" s="271">
        <f>0-H38</f>
        <v>0</v>
      </c>
      <c r="J38" s="271">
        <f>0-I38-H38</f>
        <v>0</v>
      </c>
      <c r="K38" s="272">
        <f>0-J38-I38-H38</f>
        <v>0</v>
      </c>
      <c r="L38" s="270">
        <v>0</v>
      </c>
      <c r="M38" s="271">
        <f>0-L38</f>
        <v>0</v>
      </c>
      <c r="N38" s="271">
        <f>0-M38-L38</f>
        <v>0</v>
      </c>
      <c r="O38" s="272">
        <f>0-N38-M38-L38</f>
        <v>0</v>
      </c>
      <c r="P38" s="270">
        <v>0</v>
      </c>
      <c r="Q38" s="271">
        <f>0-P38</f>
        <v>0</v>
      </c>
      <c r="R38" s="271">
        <f>0-Q38-P38</f>
        <v>0</v>
      </c>
      <c r="S38" s="272">
        <f>0-R38-Q38-P38</f>
        <v>0</v>
      </c>
      <c r="T38" s="270">
        <v>0</v>
      </c>
      <c r="U38" s="271">
        <f>0-T38</f>
        <v>0</v>
      </c>
      <c r="V38" s="271">
        <f>0-U38-T38</f>
        <v>0</v>
      </c>
      <c r="W38" s="272">
        <f>0-V38-U38-T38</f>
        <v>0</v>
      </c>
      <c r="X38" s="270">
        <v>0</v>
      </c>
      <c r="Y38" s="271">
        <f>0-X38</f>
        <v>0</v>
      </c>
      <c r="Z38" s="271">
        <f>0-Y38-X38</f>
        <v>0</v>
      </c>
      <c r="AA38" s="272">
        <f>-62.384-Z38-Y38-X38</f>
        <v>-62.384</v>
      </c>
      <c r="AB38" s="270">
        <v>-34.048000000000002</v>
      </c>
      <c r="AC38" s="271">
        <f>-34.125-AB38</f>
        <v>-7.6999999999998181E-2</v>
      </c>
      <c r="AD38" s="271">
        <f>-34.125-AC38-AB38</f>
        <v>0</v>
      </c>
      <c r="AE38" s="272">
        <f>-57.883-AD38-AC38-AB38</f>
        <v>-23.758000000000003</v>
      </c>
      <c r="AF38" s="270">
        <v>-4.9530000000000003</v>
      </c>
      <c r="AG38" s="271">
        <f>-32.477-AF38</f>
        <v>-27.523999999999997</v>
      </c>
      <c r="AH38" s="271">
        <f>-51.107-AG38-AF38</f>
        <v>-18.630000000000003</v>
      </c>
      <c r="AI38" s="272">
        <f>-51.107-AH38-AG38-AF38</f>
        <v>0</v>
      </c>
      <c r="AJ38" s="270">
        <v>0</v>
      </c>
      <c r="AK38" s="271">
        <f>0-AJ38</f>
        <v>0</v>
      </c>
      <c r="AL38" s="277">
        <v>0</v>
      </c>
      <c r="AM38" s="272">
        <f>0-AL38-AK38-AJ38</f>
        <v>0</v>
      </c>
      <c r="AN38" s="270">
        <v>0</v>
      </c>
      <c r="AO38" s="271">
        <f>0-AN38</f>
        <v>0</v>
      </c>
      <c r="AP38" s="271">
        <f>0-AO38-AN38</f>
        <v>0</v>
      </c>
      <c r="AQ38" s="272">
        <f>0-AP38-AO38-AN38</f>
        <v>0</v>
      </c>
      <c r="AR38" s="270">
        <v>0</v>
      </c>
      <c r="AS38" s="271">
        <f>0-AR38</f>
        <v>0</v>
      </c>
      <c r="AT38" s="271">
        <f>0-AS38-AR38</f>
        <v>0</v>
      </c>
      <c r="AU38" s="272">
        <f>0-AT38-AS38-AR38</f>
        <v>0</v>
      </c>
      <c r="AV38" s="270">
        <v>0</v>
      </c>
      <c r="AW38" s="271">
        <f>0-AV38</f>
        <v>0</v>
      </c>
      <c r="AX38" s="271">
        <f>0-AW38-AV38</f>
        <v>0</v>
      </c>
      <c r="AY38" s="272">
        <f>0-AX38-AW38-AV38</f>
        <v>0</v>
      </c>
      <c r="AZ38" s="270">
        <v>0</v>
      </c>
      <c r="BA38" s="271">
        <f>0-AZ38</f>
        <v>0</v>
      </c>
      <c r="BB38" s="271">
        <f>0-BA38-AZ38</f>
        <v>0</v>
      </c>
      <c r="BC38" s="272">
        <f>0-BB38-BA38-AZ38</f>
        <v>0</v>
      </c>
      <c r="BD38" s="270">
        <v>0</v>
      </c>
      <c r="BE38" s="271">
        <f>0-BD38</f>
        <v>0</v>
      </c>
      <c r="BF38" s="271">
        <f>0-BE38-BD38</f>
        <v>0</v>
      </c>
      <c r="BG38" s="272">
        <f>0-BF38-BE38-BD38</f>
        <v>0</v>
      </c>
      <c r="BH38" s="270">
        <v>0</v>
      </c>
      <c r="BI38" s="271">
        <f>0-BH38</f>
        <v>0</v>
      </c>
      <c r="BJ38" s="271">
        <f>0-BI38-BH38</f>
        <v>0</v>
      </c>
      <c r="BK38" s="272">
        <f>0-BJ38-BI38-BH38</f>
        <v>0</v>
      </c>
      <c r="BL38" s="270">
        <v>0</v>
      </c>
      <c r="BM38" s="273">
        <f t="shared" si="75"/>
        <v>0</v>
      </c>
      <c r="BN38" s="273">
        <f t="shared" si="75"/>
        <v>0</v>
      </c>
      <c r="BO38" s="274">
        <f t="shared" si="75"/>
        <v>0</v>
      </c>
      <c r="BP38" s="273">
        <f t="shared" si="76"/>
        <v>0</v>
      </c>
      <c r="BQ38" s="273">
        <f t="shared" si="76"/>
        <v>0</v>
      </c>
      <c r="BR38" s="273">
        <f t="shared" si="76"/>
        <v>0</v>
      </c>
      <c r="BS38" s="273">
        <f t="shared" si="76"/>
        <v>0</v>
      </c>
      <c r="BT38" s="275">
        <f t="shared" si="77"/>
        <v>0</v>
      </c>
      <c r="BU38" s="273">
        <f t="shared" si="78"/>
        <v>0</v>
      </c>
      <c r="BV38" s="273">
        <f t="shared" si="79"/>
        <v>0</v>
      </c>
      <c r="BW38" s="274">
        <f t="shared" si="80"/>
        <v>0</v>
      </c>
      <c r="BX38" s="718"/>
      <c r="BY38" s="273">
        <f t="shared" si="81"/>
        <v>0</v>
      </c>
      <c r="BZ38" s="273">
        <f t="shared" si="82"/>
        <v>0</v>
      </c>
      <c r="CA38" s="273">
        <f t="shared" si="83"/>
        <v>0</v>
      </c>
      <c r="CB38" s="273">
        <f t="shared" si="84"/>
        <v>0</v>
      </c>
      <c r="CC38" s="273">
        <f t="shared" si="85"/>
        <v>0</v>
      </c>
      <c r="CD38" s="273">
        <f t="shared" si="86"/>
        <v>-62.384</v>
      </c>
      <c r="CE38" s="273">
        <f t="shared" si="87"/>
        <v>-57.883000000000003</v>
      </c>
      <c r="CF38" s="273">
        <f t="shared" si="88"/>
        <v>-51.106999999999999</v>
      </c>
      <c r="CG38" s="273">
        <f t="shared" si="89"/>
        <v>0</v>
      </c>
      <c r="CH38" s="273">
        <f t="shared" si="90"/>
        <v>0</v>
      </c>
      <c r="CI38" s="274">
        <f t="shared" si="91"/>
        <v>0</v>
      </c>
      <c r="CJ38" s="275">
        <f t="shared" si="92"/>
        <v>0</v>
      </c>
      <c r="CK38" s="273">
        <f t="shared" si="93"/>
        <v>0</v>
      </c>
      <c r="CL38" s="273">
        <f t="shared" si="94"/>
        <v>0</v>
      </c>
      <c r="CM38" s="273">
        <f t="shared" si="95"/>
        <v>0</v>
      </c>
      <c r="CN38" s="273">
        <f t="shared" si="96"/>
        <v>0</v>
      </c>
      <c r="CO38" s="273">
        <f t="shared" si="97"/>
        <v>0</v>
      </c>
      <c r="CP38" s="274">
        <f t="shared" si="98"/>
        <v>0</v>
      </c>
      <c r="CQ38" s="951"/>
      <c r="CR38" s="275">
        <f t="shared" si="99"/>
        <v>0</v>
      </c>
      <c r="CS38" s="273">
        <f t="shared" si="100"/>
        <v>0</v>
      </c>
      <c r="CT38" s="273">
        <f t="shared" si="101"/>
        <v>0</v>
      </c>
      <c r="CU38" s="273">
        <f t="shared" si="102"/>
        <v>-96.432000000000002</v>
      </c>
      <c r="CV38" s="273">
        <f t="shared" si="103"/>
        <v>-28.788</v>
      </c>
      <c r="CW38" s="273">
        <f t="shared" si="104"/>
        <v>-46.153999999999996</v>
      </c>
      <c r="CX38" s="273">
        <f t="shared" si="105"/>
        <v>0</v>
      </c>
      <c r="CY38" s="273">
        <f t="shared" si="106"/>
        <v>0</v>
      </c>
      <c r="CZ38" s="273">
        <f t="shared" si="107"/>
        <v>0</v>
      </c>
      <c r="DA38" s="273">
        <f t="shared" si="108"/>
        <v>0</v>
      </c>
      <c r="DB38" s="273">
        <f t="shared" si="109"/>
        <v>0</v>
      </c>
      <c r="DC38" s="273">
        <f t="shared" si="110"/>
        <v>0</v>
      </c>
      <c r="DD38" s="273">
        <f t="shared" si="111"/>
        <v>0</v>
      </c>
      <c r="DE38" s="273">
        <f t="shared" si="112"/>
        <v>0</v>
      </c>
      <c r="DF38" s="274">
        <f t="shared" si="113"/>
        <v>0</v>
      </c>
      <c r="DG38" s="110"/>
      <c r="DH38" s="110"/>
      <c r="DI38" s="110"/>
      <c r="DJ38" s="110"/>
      <c r="DK38"/>
      <c r="DL38"/>
      <c r="DM38"/>
      <c r="DN38"/>
      <c r="DO38"/>
      <c r="DP38"/>
    </row>
    <row r="39" spans="2:122" s="109" customFormat="1" ht="14.25">
      <c r="B39" s="278" t="s">
        <v>217</v>
      </c>
      <c r="C39" s="279"/>
      <c r="D39" s="270">
        <v>0</v>
      </c>
      <c r="E39" s="271">
        <f>0-D39</f>
        <v>0</v>
      </c>
      <c r="F39" s="271">
        <f>0-E39-D39</f>
        <v>0</v>
      </c>
      <c r="G39" s="272">
        <f>102.188-10.474-F39-E39-D39</f>
        <v>91.713999999999999</v>
      </c>
      <c r="H39" s="270">
        <v>0</v>
      </c>
      <c r="I39" s="271">
        <f>0-H39</f>
        <v>0</v>
      </c>
      <c r="J39" s="271">
        <f>0-I39-H39</f>
        <v>0</v>
      </c>
      <c r="K39" s="272">
        <f>0-J39-I39-H39</f>
        <v>0</v>
      </c>
      <c r="L39" s="270">
        <v>0</v>
      </c>
      <c r="M39" s="271">
        <f>0-L39</f>
        <v>0</v>
      </c>
      <c r="N39" s="271">
        <f>0-M39-L39</f>
        <v>0</v>
      </c>
      <c r="O39" s="272">
        <f>0-N39-M39-L39</f>
        <v>0</v>
      </c>
      <c r="P39" s="270">
        <v>0</v>
      </c>
      <c r="Q39" s="271">
        <f>0-P39</f>
        <v>0</v>
      </c>
      <c r="R39" s="271">
        <f>0-Q39-P39</f>
        <v>0</v>
      </c>
      <c r="S39" s="272">
        <f>0-R39-Q39-P39</f>
        <v>0</v>
      </c>
      <c r="T39" s="270">
        <v>0</v>
      </c>
      <c r="U39" s="271">
        <f>0-T39</f>
        <v>0</v>
      </c>
      <c r="V39" s="271">
        <f>0-U39-T39</f>
        <v>0</v>
      </c>
      <c r="W39" s="272">
        <f>-130-V39-U39-T39</f>
        <v>-130</v>
      </c>
      <c r="X39" s="270">
        <v>-49.335000000000001</v>
      </c>
      <c r="Y39" s="271">
        <f>-49.335-X39</f>
        <v>0</v>
      </c>
      <c r="Z39" s="271">
        <f>-49.335-Y39-X39</f>
        <v>0</v>
      </c>
      <c r="AA39" s="272">
        <f>-49.335-Z39-Y39-X39</f>
        <v>0</v>
      </c>
      <c r="AB39" s="270">
        <v>-9.2530000000000001</v>
      </c>
      <c r="AC39" s="271">
        <f>-9.253-AB39</f>
        <v>0</v>
      </c>
      <c r="AD39" s="271">
        <f>-9.253-AC39-AB39</f>
        <v>0</v>
      </c>
      <c r="AE39" s="272">
        <f>0-AD39-AC39-AB39</f>
        <v>9.2530000000000001</v>
      </c>
      <c r="AF39" s="270">
        <v>-2.621</v>
      </c>
      <c r="AG39" s="271">
        <f>-15.148-AF39</f>
        <v>-12.526999999999999</v>
      </c>
      <c r="AH39" s="271">
        <f>-29.602-AG39-AF39</f>
        <v>-14.454000000000002</v>
      </c>
      <c r="AI39" s="272">
        <f>-29.602-AH39-AG39-AF39</f>
        <v>0</v>
      </c>
      <c r="AJ39" s="270">
        <v>0</v>
      </c>
      <c r="AK39" s="271">
        <f>0-AJ39</f>
        <v>0</v>
      </c>
      <c r="AL39" s="277">
        <v>0</v>
      </c>
      <c r="AM39" s="272">
        <f>0-AL39-AK39-AJ39</f>
        <v>0</v>
      </c>
      <c r="AN39" s="270">
        <v>0</v>
      </c>
      <c r="AO39" s="271">
        <f>0-AN39</f>
        <v>0</v>
      </c>
      <c r="AP39" s="271">
        <f>0-AO39-AN39</f>
        <v>0</v>
      </c>
      <c r="AQ39" s="272">
        <f>0-AP39-AO39-AN39</f>
        <v>0</v>
      </c>
      <c r="AR39" s="270">
        <v>0</v>
      </c>
      <c r="AS39" s="271">
        <f>0-AR39</f>
        <v>0</v>
      </c>
      <c r="AT39" s="271">
        <f>0-AS39-AR39</f>
        <v>0</v>
      </c>
      <c r="AU39" s="272">
        <f>0-AT39-AS39-AR39</f>
        <v>0</v>
      </c>
      <c r="AV39" s="270">
        <v>0</v>
      </c>
      <c r="AW39" s="271">
        <f>0-AV39</f>
        <v>0</v>
      </c>
      <c r="AX39" s="271">
        <f>0-AW39-AV39</f>
        <v>0</v>
      </c>
      <c r="AY39" s="272">
        <f>0-AX39-AW39-AV39</f>
        <v>0</v>
      </c>
      <c r="AZ39" s="270">
        <v>0</v>
      </c>
      <c r="BA39" s="271">
        <f>0-AZ39</f>
        <v>0</v>
      </c>
      <c r="BB39" s="271">
        <f>0-BA39-AZ39</f>
        <v>0</v>
      </c>
      <c r="BC39" s="272">
        <f>0-BB39-BA39-AZ39</f>
        <v>0</v>
      </c>
      <c r="BD39" s="270">
        <v>0</v>
      </c>
      <c r="BE39" s="271">
        <f>0-BD39</f>
        <v>0</v>
      </c>
      <c r="BF39" s="271">
        <f>0-BE39-BD39</f>
        <v>0</v>
      </c>
      <c r="BG39" s="272">
        <f>0-BF39-BE39-BD39</f>
        <v>0</v>
      </c>
      <c r="BH39" s="270">
        <v>0</v>
      </c>
      <c r="BI39" s="271">
        <f>0-BH39</f>
        <v>0</v>
      </c>
      <c r="BJ39" s="271">
        <f>0-BI39-BH39</f>
        <v>0</v>
      </c>
      <c r="BK39" s="272">
        <f>0-BJ39-BI39-BH39</f>
        <v>0</v>
      </c>
      <c r="BL39" s="270">
        <v>0</v>
      </c>
      <c r="BM39" s="273">
        <f t="shared" si="75"/>
        <v>0</v>
      </c>
      <c r="BN39" s="273">
        <f t="shared" si="75"/>
        <v>0</v>
      </c>
      <c r="BO39" s="274">
        <f t="shared" si="75"/>
        <v>0</v>
      </c>
      <c r="BP39" s="273">
        <f t="shared" si="76"/>
        <v>0</v>
      </c>
      <c r="BQ39" s="273">
        <f t="shared" si="76"/>
        <v>0</v>
      </c>
      <c r="BR39" s="273">
        <f t="shared" si="76"/>
        <v>0</v>
      </c>
      <c r="BS39" s="273">
        <f t="shared" si="76"/>
        <v>0</v>
      </c>
      <c r="BT39" s="275">
        <f t="shared" si="77"/>
        <v>0</v>
      </c>
      <c r="BU39" s="273">
        <f t="shared" si="78"/>
        <v>0</v>
      </c>
      <c r="BV39" s="273">
        <f t="shared" si="79"/>
        <v>0</v>
      </c>
      <c r="BW39" s="274">
        <f t="shared" si="80"/>
        <v>0</v>
      </c>
      <c r="BX39" s="718"/>
      <c r="BY39" s="273">
        <f t="shared" si="81"/>
        <v>91.713999999999999</v>
      </c>
      <c r="BZ39" s="273">
        <f t="shared" si="82"/>
        <v>0</v>
      </c>
      <c r="CA39" s="273">
        <f t="shared" si="83"/>
        <v>0</v>
      </c>
      <c r="CB39" s="273">
        <f t="shared" si="84"/>
        <v>0</v>
      </c>
      <c r="CC39" s="273">
        <f t="shared" si="85"/>
        <v>-130</v>
      </c>
      <c r="CD39" s="273">
        <f t="shared" si="86"/>
        <v>-49.335000000000001</v>
      </c>
      <c r="CE39" s="273">
        <f t="shared" si="87"/>
        <v>0</v>
      </c>
      <c r="CF39" s="273">
        <f t="shared" si="88"/>
        <v>-29.602000000000004</v>
      </c>
      <c r="CG39" s="273">
        <f t="shared" si="89"/>
        <v>0</v>
      </c>
      <c r="CH39" s="273">
        <f t="shared" si="90"/>
        <v>0</v>
      </c>
      <c r="CI39" s="274">
        <f t="shared" si="91"/>
        <v>0</v>
      </c>
      <c r="CJ39" s="275">
        <f t="shared" si="92"/>
        <v>0</v>
      </c>
      <c r="CK39" s="273">
        <f t="shared" si="93"/>
        <v>0</v>
      </c>
      <c r="CL39" s="273">
        <f t="shared" si="94"/>
        <v>0</v>
      </c>
      <c r="CM39" s="273">
        <f t="shared" si="95"/>
        <v>0</v>
      </c>
      <c r="CN39" s="273">
        <f t="shared" si="96"/>
        <v>0</v>
      </c>
      <c r="CO39" s="273">
        <f t="shared" si="97"/>
        <v>0</v>
      </c>
      <c r="CP39" s="274">
        <f t="shared" si="98"/>
        <v>0</v>
      </c>
      <c r="CQ39" s="951"/>
      <c r="CR39" s="275">
        <f t="shared" si="99"/>
        <v>0</v>
      </c>
      <c r="CS39" s="273">
        <f t="shared" si="100"/>
        <v>0</v>
      </c>
      <c r="CT39" s="273">
        <f t="shared" si="101"/>
        <v>-179.33500000000001</v>
      </c>
      <c r="CU39" s="273">
        <f t="shared" si="102"/>
        <v>-9.2530000000000001</v>
      </c>
      <c r="CV39" s="273">
        <f t="shared" si="103"/>
        <v>6.6319999999999997</v>
      </c>
      <c r="CW39" s="273">
        <f t="shared" si="104"/>
        <v>-26.981000000000002</v>
      </c>
      <c r="CX39" s="273">
        <f t="shared" si="105"/>
        <v>0</v>
      </c>
      <c r="CY39" s="273">
        <f t="shared" si="106"/>
        <v>0</v>
      </c>
      <c r="CZ39" s="273">
        <f t="shared" si="107"/>
        <v>0</v>
      </c>
      <c r="DA39" s="273">
        <f t="shared" si="108"/>
        <v>0</v>
      </c>
      <c r="DB39" s="273">
        <f t="shared" si="109"/>
        <v>0</v>
      </c>
      <c r="DC39" s="273">
        <f t="shared" si="110"/>
        <v>0</v>
      </c>
      <c r="DD39" s="273">
        <f t="shared" si="111"/>
        <v>0</v>
      </c>
      <c r="DE39" s="273">
        <f t="shared" si="112"/>
        <v>0</v>
      </c>
      <c r="DF39" s="274">
        <f t="shared" si="113"/>
        <v>0</v>
      </c>
      <c r="DG39" s="110"/>
      <c r="DH39" s="110"/>
      <c r="DI39" s="110"/>
      <c r="DJ39" s="110"/>
      <c r="DK39"/>
      <c r="DL39"/>
      <c r="DM39"/>
      <c r="DN39"/>
      <c r="DO39"/>
      <c r="DP39"/>
    </row>
    <row r="40" spans="2:122" s="109" customFormat="1" ht="14.25">
      <c r="B40" s="278" t="s">
        <v>274</v>
      </c>
      <c r="C40" s="279"/>
      <c r="D40" s="270">
        <v>-135.03399999999999</v>
      </c>
      <c r="E40" s="271">
        <f>-135.069-D40</f>
        <v>-3.4999999999996589E-2</v>
      </c>
      <c r="F40" s="271">
        <f>-135.104-E40-D40</f>
        <v>-3.5000000000025011E-2</v>
      </c>
      <c r="G40" s="272">
        <f>-135.139+41.652-F40-E40-D40</f>
        <v>41.617000000000004</v>
      </c>
      <c r="H40" s="270">
        <v>-2.6760000000000002</v>
      </c>
      <c r="I40" s="271">
        <f>3.373-H40</f>
        <v>6.0490000000000004</v>
      </c>
      <c r="J40" s="271">
        <f>0-I40-H40</f>
        <v>-3.3730000000000002</v>
      </c>
      <c r="K40" s="272">
        <f>0.029-J40-I40-H40</f>
        <v>2.8999999999999915E-2</v>
      </c>
      <c r="L40" s="270">
        <v>0</v>
      </c>
      <c r="M40" s="271">
        <f>-0.782-L40</f>
        <v>-0.78200000000000003</v>
      </c>
      <c r="N40" s="271">
        <f>0-M40-L40</f>
        <v>0.78200000000000003</v>
      </c>
      <c r="O40" s="272">
        <f>0-N40-M40-L40</f>
        <v>0</v>
      </c>
      <c r="P40" s="270">
        <v>0</v>
      </c>
      <c r="Q40" s="271">
        <f>-50.665-P40</f>
        <v>-50.664999999999999</v>
      </c>
      <c r="R40" s="271">
        <f>-50.665-Q40-P40</f>
        <v>0</v>
      </c>
      <c r="S40" s="272">
        <f>-50.665-R40-Q40-P40</f>
        <v>0</v>
      </c>
      <c r="T40" s="270">
        <v>0</v>
      </c>
      <c r="U40" s="271">
        <f>-9.929-130-6.189-T40</f>
        <v>-146.11799999999999</v>
      </c>
      <c r="V40" s="271">
        <f>-130-6.189-U40-T40</f>
        <v>9.929000000000002</v>
      </c>
      <c r="W40" s="272">
        <f>-6.189-V40-U40-T40</f>
        <v>130</v>
      </c>
      <c r="X40" s="270"/>
      <c r="Y40" s="277"/>
      <c r="Z40" s="277"/>
      <c r="AA40" s="280"/>
      <c r="AB40" s="270"/>
      <c r="AC40" s="277"/>
      <c r="AD40" s="277"/>
      <c r="AE40" s="280"/>
      <c r="AF40" s="270"/>
      <c r="AG40" s="277"/>
      <c r="AH40" s="277"/>
      <c r="AI40" s="280"/>
      <c r="AJ40" s="270">
        <v>-50</v>
      </c>
      <c r="AK40" s="271">
        <f>-50-AJ40</f>
        <v>0</v>
      </c>
      <c r="AL40" s="271">
        <f>-50-AK40-AJ40</f>
        <v>0</v>
      </c>
      <c r="AM40" s="272">
        <f>-50-AL40-AK40-AJ40:AJ40</f>
        <v>0</v>
      </c>
      <c r="AN40" s="270">
        <f>-9.316-5.61</f>
        <v>-14.926000000000002</v>
      </c>
      <c r="AO40" s="271">
        <f>-48.047-AN40</f>
        <v>-33.120999999999995</v>
      </c>
      <c r="AP40" s="271">
        <f>-48.047-AO40-AN40</f>
        <v>0</v>
      </c>
      <c r="AQ40" s="272">
        <f>-48.047-AP40-AO40-AN40</f>
        <v>0</v>
      </c>
      <c r="AR40" s="270">
        <v>0</v>
      </c>
      <c r="AS40" s="271">
        <f>0-AR40</f>
        <v>0</v>
      </c>
      <c r="AT40" s="271">
        <f>0-AS40-AR40</f>
        <v>0</v>
      </c>
      <c r="AU40" s="272">
        <f>0-AT40-AS40-AR40</f>
        <v>0</v>
      </c>
      <c r="AV40" s="270">
        <v>0</v>
      </c>
      <c r="AW40" s="271">
        <f>0-AV40</f>
        <v>0</v>
      </c>
      <c r="AX40" s="271">
        <f>0-AW40-AV40</f>
        <v>0</v>
      </c>
      <c r="AY40" s="272">
        <f>0-AX40-AW40-AV40</f>
        <v>0</v>
      </c>
      <c r="AZ40" s="270">
        <v>0</v>
      </c>
      <c r="BA40" s="271">
        <f>0-AZ40</f>
        <v>0</v>
      </c>
      <c r="BB40" s="271">
        <f>0-BA40-AZ40</f>
        <v>0</v>
      </c>
      <c r="BC40" s="272">
        <f>0-BB40-BA40-AZ40</f>
        <v>0</v>
      </c>
      <c r="BD40" s="270">
        <v>0</v>
      </c>
      <c r="BE40" s="271">
        <f>0-BD40</f>
        <v>0</v>
      </c>
      <c r="BF40" s="271">
        <f>0-BE40-BD40</f>
        <v>0</v>
      </c>
      <c r="BG40" s="272">
        <f>-76.5-BF40-BE40-BD40</f>
        <v>-76.5</v>
      </c>
      <c r="BH40" s="270">
        <v>-1.7</v>
      </c>
      <c r="BI40" s="271">
        <f>-2.9-BH40</f>
        <v>-1.2</v>
      </c>
      <c r="BJ40" s="271">
        <f>-4.2-BI40-BH40</f>
        <v>-1.3</v>
      </c>
      <c r="BK40" s="272">
        <f>-5.5-5.4-BJ40-BI40-BH40</f>
        <v>-6.7</v>
      </c>
      <c r="BL40" s="270">
        <v>0</v>
      </c>
      <c r="BM40" s="273">
        <f>+BS!BM24-BS!BL24++BS!BM30-BS!BL30</f>
        <v>0</v>
      </c>
      <c r="BN40" s="273">
        <f>+BS!BN24-BS!BM24++BS!BN30-BS!BM30</f>
        <v>0</v>
      </c>
      <c r="BO40" s="274">
        <f>+BS!BO24-BS!BN24++BS!BO30-BS!BN30</f>
        <v>0</v>
      </c>
      <c r="BP40" s="273">
        <f>+BS!BP24-BS!BO24++BS!BP30-BS!BO30</f>
        <v>0</v>
      </c>
      <c r="BQ40" s="273">
        <f>+BS!BQ24-BS!BP24++BS!BQ30-BS!BP30</f>
        <v>0</v>
      </c>
      <c r="BR40" s="273">
        <f>+BS!BR24-BS!BQ24++BS!BR30-BS!BQ30</f>
        <v>0</v>
      </c>
      <c r="BS40" s="273">
        <f>+BS!BS24-BS!BR24++BS!BS30-BS!BR30</f>
        <v>0</v>
      </c>
      <c r="BT40" s="275">
        <f>+BS!BT24-BS!BS24++BS!BT30-BS!BS30</f>
        <v>0</v>
      </c>
      <c r="BU40" s="273">
        <f>+BS!BU24-BS!BT24++BS!BU30-BS!BT30</f>
        <v>0</v>
      </c>
      <c r="BV40" s="273">
        <f>+BS!BV24-BS!BU24++BS!BV30-BS!BU30</f>
        <v>0</v>
      </c>
      <c r="BW40" s="273">
        <f>+BS!BW24-BS!BV24++BS!BW30-BS!BV30</f>
        <v>0</v>
      </c>
      <c r="BX40" s="718"/>
      <c r="BY40" s="273">
        <f t="shared" si="81"/>
        <v>-93.487000000000009</v>
      </c>
      <c r="BZ40" s="273">
        <f t="shared" si="82"/>
        <v>2.8999999999999915E-2</v>
      </c>
      <c r="CA40" s="273">
        <f t="shared" si="83"/>
        <v>0</v>
      </c>
      <c r="CB40" s="273">
        <f t="shared" si="84"/>
        <v>-50.664999999999999</v>
      </c>
      <c r="CC40" s="273">
        <f t="shared" si="85"/>
        <v>-6.188999999999993</v>
      </c>
      <c r="CD40" s="273">
        <f t="shared" si="86"/>
        <v>0</v>
      </c>
      <c r="CE40" s="273">
        <f t="shared" si="87"/>
        <v>0</v>
      </c>
      <c r="CF40" s="273">
        <f t="shared" si="88"/>
        <v>0</v>
      </c>
      <c r="CG40" s="273">
        <f t="shared" si="89"/>
        <v>-50</v>
      </c>
      <c r="CH40" s="273">
        <f t="shared" si="90"/>
        <v>-48.046999999999997</v>
      </c>
      <c r="CI40" s="274">
        <f t="shared" si="91"/>
        <v>0</v>
      </c>
      <c r="CJ40" s="275">
        <f t="shared" si="92"/>
        <v>0</v>
      </c>
      <c r="CK40" s="273">
        <f t="shared" si="93"/>
        <v>0</v>
      </c>
      <c r="CL40" s="273">
        <f t="shared" si="94"/>
        <v>-76.5</v>
      </c>
      <c r="CM40" s="273">
        <f t="shared" si="95"/>
        <v>-10.9</v>
      </c>
      <c r="CN40" s="273">
        <f t="shared" si="96"/>
        <v>0</v>
      </c>
      <c r="CO40" s="273">
        <f t="shared" si="97"/>
        <v>0</v>
      </c>
      <c r="CP40" s="274">
        <f t="shared" si="98"/>
        <v>0</v>
      </c>
      <c r="CQ40" s="951"/>
      <c r="CR40" s="275">
        <f t="shared" si="99"/>
        <v>0</v>
      </c>
      <c r="CS40" s="273">
        <f t="shared" si="100"/>
        <v>-50.664999999999999</v>
      </c>
      <c r="CT40" s="273">
        <f t="shared" si="101"/>
        <v>-6.188999999999993</v>
      </c>
      <c r="CU40" s="273">
        <f t="shared" si="102"/>
        <v>0</v>
      </c>
      <c r="CV40" s="273">
        <f t="shared" si="103"/>
        <v>0</v>
      </c>
      <c r="CW40" s="273">
        <f t="shared" si="104"/>
        <v>-50</v>
      </c>
      <c r="CX40" s="273">
        <f t="shared" si="105"/>
        <v>-14.926000000000002</v>
      </c>
      <c r="CY40" s="273">
        <f t="shared" si="106"/>
        <v>-33.120999999999995</v>
      </c>
      <c r="CZ40" s="273">
        <f t="shared" si="107"/>
        <v>0</v>
      </c>
      <c r="DA40" s="273">
        <f t="shared" si="108"/>
        <v>0</v>
      </c>
      <c r="DB40" s="273">
        <f t="shared" si="109"/>
        <v>0</v>
      </c>
      <c r="DC40" s="273">
        <f t="shared" si="110"/>
        <v>-78.2</v>
      </c>
      <c r="DD40" s="273">
        <f t="shared" si="111"/>
        <v>-9.1999999999999993</v>
      </c>
      <c r="DE40" s="273">
        <f t="shared" si="112"/>
        <v>0</v>
      </c>
      <c r="DF40" s="274">
        <f t="shared" si="113"/>
        <v>0</v>
      </c>
      <c r="DG40" s="110"/>
      <c r="DH40" s="110"/>
      <c r="DI40" s="110"/>
      <c r="DJ40" s="110"/>
      <c r="DK40"/>
      <c r="DL40"/>
      <c r="DM40"/>
      <c r="DN40"/>
      <c r="DO40"/>
      <c r="DP40"/>
    </row>
    <row r="41" spans="2:122" s="109" customFormat="1" ht="14.25">
      <c r="B41" s="278" t="s">
        <v>263</v>
      </c>
      <c r="C41" s="279"/>
      <c r="D41" s="270"/>
      <c r="E41" s="277"/>
      <c r="F41" s="271"/>
      <c r="G41" s="280"/>
      <c r="H41" s="270"/>
      <c r="I41" s="277"/>
      <c r="J41" s="271"/>
      <c r="K41" s="280"/>
      <c r="L41" s="270"/>
      <c r="M41" s="277"/>
      <c r="N41" s="271"/>
      <c r="O41" s="280"/>
      <c r="P41" s="270"/>
      <c r="Q41" s="277"/>
      <c r="R41" s="271"/>
      <c r="S41" s="280"/>
      <c r="T41" s="270"/>
      <c r="U41" s="271"/>
      <c r="V41" s="271"/>
      <c r="W41" s="280"/>
      <c r="X41" s="270"/>
      <c r="Y41" s="277"/>
      <c r="Z41" s="277"/>
      <c r="AA41" s="280"/>
      <c r="AB41" s="270"/>
      <c r="AC41" s="277"/>
      <c r="AD41" s="277"/>
      <c r="AE41" s="280"/>
      <c r="AF41" s="270"/>
      <c r="AG41" s="277"/>
      <c r="AH41" s="277"/>
      <c r="AI41" s="272">
        <f>6.287-AH41-AG41-AF41</f>
        <v>6.2869999999999999</v>
      </c>
      <c r="AJ41" s="270">
        <v>7.0350000000000001</v>
      </c>
      <c r="AK41" s="271">
        <f>10.887-AJ41</f>
        <v>3.8520000000000003</v>
      </c>
      <c r="AL41" s="271">
        <f>12.074-AK41-AJ41</f>
        <v>1.1869999999999994</v>
      </c>
      <c r="AM41" s="272">
        <f>12.49-AL41-AK41-AJ41</f>
        <v>0.41600000000000037</v>
      </c>
      <c r="AN41" s="270">
        <v>5.3259999999999996</v>
      </c>
      <c r="AO41" s="271">
        <f>5.363-AN41</f>
        <v>3.700000000000081E-2</v>
      </c>
      <c r="AP41" s="271">
        <f>8.909-AO41-AN41</f>
        <v>3.5460000000000003</v>
      </c>
      <c r="AQ41" s="272">
        <f>6.814-AP41-AO41-AN41</f>
        <v>-2.0950000000000006</v>
      </c>
      <c r="AR41" s="270">
        <v>3.06</v>
      </c>
      <c r="AS41" s="271">
        <f>5.5-AR41</f>
        <v>2.44</v>
      </c>
      <c r="AT41" s="271">
        <f>5.3-AS41-AR41</f>
        <v>-0.20000000000000018</v>
      </c>
      <c r="AU41" s="272">
        <f>10.8-AT41-AS41-AR41</f>
        <v>5.5</v>
      </c>
      <c r="AV41" s="270">
        <v>11.7</v>
      </c>
      <c r="AW41" s="271">
        <f>23.9-AV41</f>
        <v>12.2</v>
      </c>
      <c r="AX41" s="271">
        <f>38.3-AW41-AV41</f>
        <v>14.399999999999999</v>
      </c>
      <c r="AY41" s="272">
        <f>40.8-AX41-AW41-AV41</f>
        <v>2.5</v>
      </c>
      <c r="AZ41" s="270">
        <v>29.4</v>
      </c>
      <c r="BA41" s="271">
        <f>40.7-AZ41</f>
        <v>11.300000000000004</v>
      </c>
      <c r="BB41" s="271">
        <f>50.2-BA41-AZ41</f>
        <v>9.5</v>
      </c>
      <c r="BC41" s="272">
        <f>57.3-BB41-BA41-AZ41</f>
        <v>7.0999999999999943</v>
      </c>
      <c r="BD41" s="270">
        <v>37.299999999999997</v>
      </c>
      <c r="BE41" s="271">
        <f>41.6-BD41</f>
        <v>4.3000000000000043</v>
      </c>
      <c r="BF41" s="271">
        <f>45.1-BE41-BD41</f>
        <v>3.5</v>
      </c>
      <c r="BG41" s="272">
        <f>43.7-BF41-BE41-BD41</f>
        <v>-1.3999999999999986</v>
      </c>
      <c r="BH41" s="270">
        <v>21.5</v>
      </c>
      <c r="BI41" s="271">
        <f>28.2-BH41</f>
        <v>6.6999999999999993</v>
      </c>
      <c r="BJ41" s="271">
        <f>35.4-BI41-BH41</f>
        <v>7.1999999999999993</v>
      </c>
      <c r="BK41" s="272">
        <f>40.8-BJ41-BI41-BH41</f>
        <v>5.399999999999995</v>
      </c>
      <c r="BL41" s="270">
        <v>0</v>
      </c>
      <c r="BM41" s="273">
        <f t="shared" ref="BM41:BS41" si="114">BL41</f>
        <v>0</v>
      </c>
      <c r="BN41" s="273">
        <f t="shared" si="114"/>
        <v>0</v>
      </c>
      <c r="BO41" s="274">
        <f t="shared" si="114"/>
        <v>0</v>
      </c>
      <c r="BP41" s="273">
        <f t="shared" si="114"/>
        <v>0</v>
      </c>
      <c r="BQ41" s="273">
        <f t="shared" si="114"/>
        <v>0</v>
      </c>
      <c r="BR41" s="273">
        <f t="shared" si="114"/>
        <v>0</v>
      </c>
      <c r="BS41" s="273">
        <f t="shared" si="114"/>
        <v>0</v>
      </c>
      <c r="BT41" s="275">
        <f t="shared" ref="BT41" si="115">BS41</f>
        <v>0</v>
      </c>
      <c r="BU41" s="273">
        <f t="shared" ref="BU41" si="116">BT41</f>
        <v>0</v>
      </c>
      <c r="BV41" s="273">
        <f t="shared" ref="BV41" si="117">BU41</f>
        <v>0</v>
      </c>
      <c r="BW41" s="274">
        <f t="shared" ref="BW41" si="118">BV41</f>
        <v>0</v>
      </c>
      <c r="BX41" s="718"/>
      <c r="BY41" s="273">
        <f t="shared" si="81"/>
        <v>0</v>
      </c>
      <c r="BZ41" s="273">
        <f t="shared" si="82"/>
        <v>0</v>
      </c>
      <c r="CA41" s="273">
        <f t="shared" si="83"/>
        <v>0</v>
      </c>
      <c r="CB41" s="273">
        <f t="shared" si="84"/>
        <v>0</v>
      </c>
      <c r="CC41" s="273">
        <f t="shared" si="85"/>
        <v>0</v>
      </c>
      <c r="CD41" s="273">
        <f t="shared" si="86"/>
        <v>0</v>
      </c>
      <c r="CE41" s="273">
        <f t="shared" si="87"/>
        <v>0</v>
      </c>
      <c r="CF41" s="273">
        <f t="shared" si="88"/>
        <v>6.2869999999999999</v>
      </c>
      <c r="CG41" s="273">
        <f t="shared" si="89"/>
        <v>12.49</v>
      </c>
      <c r="CH41" s="273">
        <f t="shared" si="90"/>
        <v>6.8140000000000001</v>
      </c>
      <c r="CI41" s="274">
        <f t="shared" si="91"/>
        <v>10.8</v>
      </c>
      <c r="CJ41" s="275">
        <f t="shared" si="92"/>
        <v>40.799999999999997</v>
      </c>
      <c r="CK41" s="273">
        <f t="shared" si="93"/>
        <v>57.3</v>
      </c>
      <c r="CL41" s="273">
        <f t="shared" si="94"/>
        <v>43.7</v>
      </c>
      <c r="CM41" s="273">
        <f t="shared" si="95"/>
        <v>40.799999999999997</v>
      </c>
      <c r="CN41" s="273">
        <f t="shared" si="96"/>
        <v>0</v>
      </c>
      <c r="CO41" s="273">
        <f t="shared" si="97"/>
        <v>0</v>
      </c>
      <c r="CP41" s="274">
        <f t="shared" si="98"/>
        <v>0</v>
      </c>
      <c r="CQ41" s="951"/>
      <c r="CR41" s="275">
        <f t="shared" si="99"/>
        <v>0</v>
      </c>
      <c r="CS41" s="273">
        <f t="shared" si="100"/>
        <v>0</v>
      </c>
      <c r="CT41" s="273">
        <f t="shared" si="101"/>
        <v>0</v>
      </c>
      <c r="CU41" s="273">
        <f t="shared" si="102"/>
        <v>0</v>
      </c>
      <c r="CV41" s="273">
        <f t="shared" si="103"/>
        <v>0</v>
      </c>
      <c r="CW41" s="273">
        <f t="shared" si="104"/>
        <v>13.321999999999999</v>
      </c>
      <c r="CX41" s="273">
        <f t="shared" si="105"/>
        <v>10.780999999999999</v>
      </c>
      <c r="CY41" s="273">
        <f t="shared" si="106"/>
        <v>4.548</v>
      </c>
      <c r="CZ41" s="273">
        <f t="shared" si="107"/>
        <v>19.439999999999998</v>
      </c>
      <c r="DA41" s="273">
        <f t="shared" si="108"/>
        <v>58.5</v>
      </c>
      <c r="DB41" s="273">
        <f t="shared" si="109"/>
        <v>65.199999999999989</v>
      </c>
      <c r="DC41" s="273">
        <f t="shared" si="110"/>
        <v>27.900000000000006</v>
      </c>
      <c r="DD41" s="273">
        <f t="shared" si="111"/>
        <v>19.299999999999994</v>
      </c>
      <c r="DE41" s="273">
        <f t="shared" si="112"/>
        <v>0</v>
      </c>
      <c r="DF41" s="274">
        <f t="shared" si="113"/>
        <v>0</v>
      </c>
      <c r="DG41" s="110"/>
      <c r="DH41" s="110"/>
      <c r="DI41" s="110"/>
      <c r="DJ41" s="110"/>
      <c r="DK41"/>
      <c r="DL41"/>
      <c r="DM41"/>
      <c r="DN41"/>
      <c r="DO41"/>
      <c r="DP41"/>
    </row>
    <row r="42" spans="2:122" s="109" customFormat="1" ht="14.25">
      <c r="B42" s="278" t="s">
        <v>218</v>
      </c>
      <c r="C42" s="279"/>
      <c r="D42" s="270">
        <v>0</v>
      </c>
      <c r="E42" s="271">
        <f>0-D42</f>
        <v>0</v>
      </c>
      <c r="F42" s="271">
        <f>0-E42-D42</f>
        <v>0</v>
      </c>
      <c r="G42" s="272">
        <f>-5.312-F42-E42-D42</f>
        <v>-5.3120000000000003</v>
      </c>
      <c r="H42" s="270">
        <v>0</v>
      </c>
      <c r="I42" s="271">
        <f>0-H42</f>
        <v>0</v>
      </c>
      <c r="J42" s="271">
        <f>-0.701-I42-H42</f>
        <v>-0.70099999999999996</v>
      </c>
      <c r="K42" s="272">
        <f>-0.701-J42-I42-H42</f>
        <v>0</v>
      </c>
      <c r="L42" s="270">
        <v>0</v>
      </c>
      <c r="M42" s="271">
        <f>0-L42</f>
        <v>0</v>
      </c>
      <c r="N42" s="271">
        <f>0-M42-L42</f>
        <v>0</v>
      </c>
      <c r="O42" s="272">
        <f>0-N42-M42-L42</f>
        <v>0</v>
      </c>
      <c r="P42" s="270">
        <v>0</v>
      </c>
      <c r="Q42" s="271">
        <f>0-P42</f>
        <v>0</v>
      </c>
      <c r="R42" s="271">
        <f>-0.252-Q42-P42</f>
        <v>-0.252</v>
      </c>
      <c r="S42" s="272">
        <f>-0.29-R42-Q42-P42</f>
        <v>-3.7999999999999978E-2</v>
      </c>
      <c r="T42" s="270">
        <v>0</v>
      </c>
      <c r="U42" s="271">
        <f>0-T42</f>
        <v>0</v>
      </c>
      <c r="V42" s="271">
        <f>-0.2-U42-T42</f>
        <v>-0.2</v>
      </c>
      <c r="W42" s="272">
        <f>-0.2-V42-U42-T42</f>
        <v>0</v>
      </c>
      <c r="X42" s="270">
        <v>0.2</v>
      </c>
      <c r="Y42" s="271">
        <f>0.2-X42</f>
        <v>0</v>
      </c>
      <c r="Z42" s="271">
        <f>0.541-Y42-X42</f>
        <v>0.34100000000000003</v>
      </c>
      <c r="AA42" s="272">
        <f>0.541-Z42-Y42-X42</f>
        <v>0</v>
      </c>
      <c r="AB42" s="270">
        <v>0</v>
      </c>
      <c r="AC42" s="271">
        <f>0-AB42</f>
        <v>0</v>
      </c>
      <c r="AD42" s="271">
        <f>0.1-AC42-AB42</f>
        <v>0.1</v>
      </c>
      <c r="AE42" s="272">
        <f>0.1-AD42-AC42-AB42</f>
        <v>0</v>
      </c>
      <c r="AF42" s="270">
        <v>-0.26500000000000001</v>
      </c>
      <c r="AG42" s="271">
        <f>-0.265-AF42</f>
        <v>0</v>
      </c>
      <c r="AH42" s="271">
        <f>-0.265-AG42-AF42</f>
        <v>0</v>
      </c>
      <c r="AI42" s="272">
        <f>-0.265-AH42-AG42-AF42</f>
        <v>0</v>
      </c>
      <c r="AJ42" s="270">
        <v>5.4660000000000002</v>
      </c>
      <c r="AK42" s="271">
        <f>5.466-AJ42</f>
        <v>0</v>
      </c>
      <c r="AL42" s="271">
        <f>5.416-AK42-AJ42</f>
        <v>-4.9999999999999822E-2</v>
      </c>
      <c r="AM42" s="272">
        <f>5.416-AL42-AK42-AJ42</f>
        <v>0</v>
      </c>
      <c r="AN42" s="270">
        <v>-0.15</v>
      </c>
      <c r="AO42" s="271">
        <f>-0.15-AN42</f>
        <v>0</v>
      </c>
      <c r="AP42" s="271">
        <f>-0.105-AO42-AN42</f>
        <v>4.4999999999999998E-2</v>
      </c>
      <c r="AQ42" s="272">
        <f>-0.105-AP42-AO42-AN42</f>
        <v>0</v>
      </c>
      <c r="AR42" s="270">
        <v>0</v>
      </c>
      <c r="AS42" s="271">
        <f>0-AR42</f>
        <v>0</v>
      </c>
      <c r="AT42" s="271">
        <f>0-AS42-AR42</f>
        <v>0</v>
      </c>
      <c r="AU42" s="272">
        <f>0-AT42-AS42-AR42</f>
        <v>0</v>
      </c>
      <c r="AV42" s="270">
        <v>0</v>
      </c>
      <c r="AW42" s="271">
        <f>0-AV42</f>
        <v>0</v>
      </c>
      <c r="AX42" s="271">
        <f>0-AW42-AV42</f>
        <v>0</v>
      </c>
      <c r="AY42" s="272">
        <f>0-AX42-AW42-AV42</f>
        <v>0</v>
      </c>
      <c r="AZ42" s="270">
        <v>0</v>
      </c>
      <c r="BA42" s="271">
        <f>0-AZ42</f>
        <v>0</v>
      </c>
      <c r="BB42" s="271">
        <f>0-BA42-AZ42</f>
        <v>0</v>
      </c>
      <c r="BC42" s="272">
        <f>0-BB42-BA42-AZ42</f>
        <v>0</v>
      </c>
      <c r="BD42" s="270">
        <v>0</v>
      </c>
      <c r="BE42" s="271">
        <f>0-BD42</f>
        <v>0</v>
      </c>
      <c r="BF42" s="271">
        <f>0-BE42-BD42</f>
        <v>0</v>
      </c>
      <c r="BG42" s="272">
        <f>0-BF42-BE42-BD42</f>
        <v>0</v>
      </c>
      <c r="BH42" s="270">
        <v>0</v>
      </c>
      <c r="BI42" s="271">
        <f>0-BH42</f>
        <v>0</v>
      </c>
      <c r="BJ42" s="271">
        <f>0-BI42-BH42</f>
        <v>0</v>
      </c>
      <c r="BK42" s="272">
        <f>0-BJ42-BI42-BH42</f>
        <v>0</v>
      </c>
      <c r="BL42" s="270">
        <v>0</v>
      </c>
      <c r="BM42" s="273">
        <f>BS!BM10-BS!BL10</f>
        <v>0</v>
      </c>
      <c r="BN42" s="273">
        <f>BS!BN10-BS!BM10</f>
        <v>0</v>
      </c>
      <c r="BO42" s="274">
        <f>BS!BO10-BS!BN10</f>
        <v>0</v>
      </c>
      <c r="BP42" s="273">
        <f>BS!BP10-BS!BO10</f>
        <v>0</v>
      </c>
      <c r="BQ42" s="273">
        <f>BS!BQ10-BS!BP10</f>
        <v>0</v>
      </c>
      <c r="BR42" s="273">
        <f>BS!BR10-BS!BQ10</f>
        <v>0</v>
      </c>
      <c r="BS42" s="273">
        <f>BS!BS10-BS!BR10</f>
        <v>0</v>
      </c>
      <c r="BT42" s="275">
        <f>BS!BT10-BS!BS10</f>
        <v>0</v>
      </c>
      <c r="BU42" s="273">
        <f>BS!BU10-BS!BT10</f>
        <v>0</v>
      </c>
      <c r="BV42" s="273">
        <f>BS!BV10-BS!BU10</f>
        <v>0</v>
      </c>
      <c r="BW42" s="274">
        <f>BS!BW10-BS!BV10</f>
        <v>0</v>
      </c>
      <c r="BX42" s="718"/>
      <c r="BY42" s="273">
        <f t="shared" si="81"/>
        <v>-5.3120000000000003</v>
      </c>
      <c r="BZ42" s="273">
        <f t="shared" si="82"/>
        <v>-0.70099999999999996</v>
      </c>
      <c r="CA42" s="273">
        <f t="shared" si="83"/>
        <v>0</v>
      </c>
      <c r="CB42" s="273">
        <f t="shared" si="84"/>
        <v>-0.28999999999999998</v>
      </c>
      <c r="CC42" s="273">
        <f t="shared" si="85"/>
        <v>-0.2</v>
      </c>
      <c r="CD42" s="273">
        <f t="shared" si="86"/>
        <v>0.54100000000000004</v>
      </c>
      <c r="CE42" s="273">
        <f t="shared" si="87"/>
        <v>0.1</v>
      </c>
      <c r="CF42" s="273">
        <f t="shared" si="88"/>
        <v>-0.26500000000000001</v>
      </c>
      <c r="CG42" s="273">
        <f t="shared" si="89"/>
        <v>5.4160000000000004</v>
      </c>
      <c r="CH42" s="273">
        <f t="shared" si="90"/>
        <v>-0.105</v>
      </c>
      <c r="CI42" s="274">
        <f t="shared" si="91"/>
        <v>0</v>
      </c>
      <c r="CJ42" s="275">
        <f t="shared" si="92"/>
        <v>0</v>
      </c>
      <c r="CK42" s="273">
        <f t="shared" si="93"/>
        <v>0</v>
      </c>
      <c r="CL42" s="273">
        <f t="shared" si="94"/>
        <v>0</v>
      </c>
      <c r="CM42" s="273">
        <f t="shared" si="95"/>
        <v>0</v>
      </c>
      <c r="CN42" s="273">
        <f t="shared" si="96"/>
        <v>0</v>
      </c>
      <c r="CO42" s="273">
        <f t="shared" si="97"/>
        <v>0</v>
      </c>
      <c r="CP42" s="274">
        <f t="shared" si="98"/>
        <v>0</v>
      </c>
      <c r="CQ42" s="951"/>
      <c r="CR42" s="275">
        <f t="shared" si="99"/>
        <v>0</v>
      </c>
      <c r="CS42" s="273">
        <f t="shared" si="100"/>
        <v>-0.28999999999999998</v>
      </c>
      <c r="CT42" s="273">
        <f t="shared" si="101"/>
        <v>0</v>
      </c>
      <c r="CU42" s="273">
        <f t="shared" si="102"/>
        <v>0.34100000000000003</v>
      </c>
      <c r="CV42" s="273">
        <f t="shared" si="103"/>
        <v>-0.16500000000000001</v>
      </c>
      <c r="CW42" s="273">
        <f t="shared" si="104"/>
        <v>5.4660000000000002</v>
      </c>
      <c r="CX42" s="273">
        <f t="shared" si="105"/>
        <v>-0.19999999999999982</v>
      </c>
      <c r="CY42" s="273">
        <f t="shared" si="106"/>
        <v>4.4999999999999998E-2</v>
      </c>
      <c r="CZ42" s="273">
        <f t="shared" si="107"/>
        <v>0</v>
      </c>
      <c r="DA42" s="273">
        <f t="shared" si="108"/>
        <v>0</v>
      </c>
      <c r="DB42" s="273">
        <f t="shared" si="109"/>
        <v>0</v>
      </c>
      <c r="DC42" s="273">
        <f t="shared" si="110"/>
        <v>0</v>
      </c>
      <c r="DD42" s="273">
        <f t="shared" si="111"/>
        <v>0</v>
      </c>
      <c r="DE42" s="273">
        <f t="shared" si="112"/>
        <v>0</v>
      </c>
      <c r="DF42" s="274">
        <f t="shared" si="113"/>
        <v>0</v>
      </c>
      <c r="DG42" s="110"/>
      <c r="DH42" s="110"/>
      <c r="DI42" s="110"/>
      <c r="DJ42" s="110"/>
      <c r="DK42"/>
      <c r="DL42"/>
      <c r="DM42"/>
      <c r="DN42"/>
      <c r="DO42"/>
      <c r="DP42"/>
    </row>
    <row r="43" spans="2:122" s="109" customFormat="1" ht="14.25">
      <c r="B43" s="278" t="s">
        <v>183</v>
      </c>
      <c r="C43" s="279"/>
      <c r="D43" s="270">
        <v>0</v>
      </c>
      <c r="E43" s="271">
        <f>0-D43</f>
        <v>0</v>
      </c>
      <c r="F43" s="271">
        <f>0-E43-D43</f>
        <v>0</v>
      </c>
      <c r="G43" s="272">
        <f>0-F43-E43-D43</f>
        <v>0</v>
      </c>
      <c r="H43" s="270">
        <v>0</v>
      </c>
      <c r="I43" s="271">
        <f>0-H43</f>
        <v>0</v>
      </c>
      <c r="J43" s="271">
        <f>0-I43-H43</f>
        <v>0</v>
      </c>
      <c r="K43" s="272">
        <f>0-J43-I43-H43</f>
        <v>0</v>
      </c>
      <c r="L43" s="270">
        <v>0</v>
      </c>
      <c r="M43" s="271">
        <f>0-L43</f>
        <v>0</v>
      </c>
      <c r="N43" s="271">
        <f>0-M43-L43</f>
        <v>0</v>
      </c>
      <c r="O43" s="272">
        <f>0-N43-M43-L43</f>
        <v>0</v>
      </c>
      <c r="P43" s="270">
        <v>0</v>
      </c>
      <c r="Q43" s="271">
        <f>0-P43</f>
        <v>0</v>
      </c>
      <c r="R43" s="271">
        <f>-0.088-Q43-P43</f>
        <v>-8.7999999999999995E-2</v>
      </c>
      <c r="S43" s="272">
        <f>-0.173-R43-Q43-P43</f>
        <v>-8.4999999999999992E-2</v>
      </c>
      <c r="T43" s="270">
        <v>-0.503</v>
      </c>
      <c r="U43" s="271">
        <f>-30.667-T43</f>
        <v>-30.164000000000001</v>
      </c>
      <c r="V43" s="271">
        <f>-30.764-U43-T43</f>
        <v>-9.6999999999997866E-2</v>
      </c>
      <c r="W43" s="272">
        <f>-31.681-V43-U43-T43</f>
        <v>-0.9170000000000017</v>
      </c>
      <c r="X43" s="270">
        <v>-1.329</v>
      </c>
      <c r="Y43" s="271">
        <f>-1.619-X43</f>
        <v>-0.29000000000000004</v>
      </c>
      <c r="Z43" s="271">
        <f>-1.727-Y43-X43</f>
        <v>-0.1080000000000001</v>
      </c>
      <c r="AA43" s="272">
        <f>-2.063-Z43-Y43-X43</f>
        <v>-0.33600000000000008</v>
      </c>
      <c r="AB43" s="270">
        <v>-1.792</v>
      </c>
      <c r="AC43" s="271">
        <f>-1.85-AB43</f>
        <v>-5.8000000000000052E-2</v>
      </c>
      <c r="AD43" s="271">
        <f>-2.01-AC43-AB43</f>
        <v>-0.1599999999999997</v>
      </c>
      <c r="AE43" s="272">
        <f>-2.389-AD43-AC43-AB43</f>
        <v>-0.37900000000000023</v>
      </c>
      <c r="AF43" s="270">
        <v>-3.4660000000000002</v>
      </c>
      <c r="AG43" s="271">
        <f>-3.574-AF43</f>
        <v>-0.10799999999999965</v>
      </c>
      <c r="AH43" s="271">
        <f>-4.325-AG43-AF43</f>
        <v>-0.75100000000000033</v>
      </c>
      <c r="AI43" s="272">
        <f>-4.412-AH43-AG43-AF43</f>
        <v>-8.6999999999999744E-2</v>
      </c>
      <c r="AJ43" s="270">
        <f>-18.434-18.214</f>
        <v>-36.647999999999996</v>
      </c>
      <c r="AK43" s="271">
        <f>-18.78-41.564-AJ43</f>
        <v>-23.696000000000005</v>
      </c>
      <c r="AL43" s="271">
        <f>-19.942-60.187-AK43-AJ43</f>
        <v>-19.784999999999989</v>
      </c>
      <c r="AM43" s="272">
        <f>-20.092-70.043-AL43-AK43-AJ43</f>
        <v>-10.006000000000022</v>
      </c>
      <c r="AN43" s="270">
        <f>-15.355-12.405</f>
        <v>-27.759999999999998</v>
      </c>
      <c r="AO43" s="271">
        <f>-15.51-12.405-AN43</f>
        <v>-0.15500000000000114</v>
      </c>
      <c r="AP43" s="271">
        <f>-16.473-12.405-AO43-AN43</f>
        <v>-0.96300000000000097</v>
      </c>
      <c r="AQ43" s="272">
        <f>-18.579-12.405-AP43-AO43-AN43</f>
        <v>-2.1060000000000016</v>
      </c>
      <c r="AR43" s="270">
        <f>+-15.209-41.672</f>
        <v>-56.881</v>
      </c>
      <c r="AS43" s="271">
        <f>-16-72.5-AR43</f>
        <v>-31.619</v>
      </c>
      <c r="AT43" s="271">
        <f>-17.3-164.5-AS43-AR43</f>
        <v>-93.300000000000011</v>
      </c>
      <c r="AU43" s="272">
        <f>-18.6-184.9-AT43-AS43-AR43</f>
        <v>-21.699999999999989</v>
      </c>
      <c r="AV43" s="270">
        <f>-18-17.1</f>
        <v>-35.1</v>
      </c>
      <c r="AW43" s="271">
        <f>-18.6-AV43-78.6</f>
        <v>-62.099999999999994</v>
      </c>
      <c r="AX43" s="271">
        <f>-19.7-119.9-AW43-AV43</f>
        <v>-42.4</v>
      </c>
      <c r="AY43" s="272">
        <f>-22.1-165.7-AX43-AW43-AV43</f>
        <v>-48.199999999999982</v>
      </c>
      <c r="AZ43" s="270">
        <f>-49.7-31</f>
        <v>-80.7</v>
      </c>
      <c r="BA43" s="271">
        <f>-50.1-79.1-AZ43</f>
        <v>-48.499999999999986</v>
      </c>
      <c r="BB43" s="271">
        <f>-53.4-126.3-BA43-AZ43</f>
        <v>-50.499999999999986</v>
      </c>
      <c r="BC43" s="272">
        <f>-54.2-237.3-BB43-BA43-AZ43</f>
        <v>-111.8</v>
      </c>
      <c r="BD43" s="270">
        <v>-71.900000000000006</v>
      </c>
      <c r="BE43" s="271">
        <f>-72.4-135.1-BD43</f>
        <v>-135.6</v>
      </c>
      <c r="BF43" s="271">
        <f>-72.9-327-BE43-BD43</f>
        <v>-192.39999999999995</v>
      </c>
      <c r="BG43" s="272">
        <f>-73.3-525.6-BF43-BE43-BD43</f>
        <v>-198.99999999999997</v>
      </c>
      <c r="BH43" s="270">
        <f>-44.4-106.5</f>
        <v>-150.9</v>
      </c>
      <c r="BI43" s="271">
        <f>-44.6-201.7-BH43</f>
        <v>-95.399999999999977</v>
      </c>
      <c r="BJ43" s="271">
        <f>-48-330.5-BI43-BH43</f>
        <v>-132.20000000000002</v>
      </c>
      <c r="BK43" s="272">
        <f>-49.2-432.3-BJ43-BI43-BH43</f>
        <v>-102.99999999999997</v>
      </c>
      <c r="BL43" s="270">
        <f>-44.7-172.5</f>
        <v>-217.2</v>
      </c>
      <c r="BM43" s="273">
        <f t="shared" ref="BM43:BW43" si="119">-75</f>
        <v>-75</v>
      </c>
      <c r="BN43" s="273">
        <f t="shared" si="119"/>
        <v>-75</v>
      </c>
      <c r="BO43" s="274">
        <f t="shared" si="119"/>
        <v>-75</v>
      </c>
      <c r="BP43" s="273">
        <f t="shared" si="119"/>
        <v>-75</v>
      </c>
      <c r="BQ43" s="273">
        <f t="shared" si="119"/>
        <v>-75</v>
      </c>
      <c r="BR43" s="273">
        <f t="shared" si="119"/>
        <v>-75</v>
      </c>
      <c r="BS43" s="273">
        <f t="shared" si="119"/>
        <v>-75</v>
      </c>
      <c r="BT43" s="275">
        <f t="shared" si="119"/>
        <v>-75</v>
      </c>
      <c r="BU43" s="273">
        <f t="shared" si="119"/>
        <v>-75</v>
      </c>
      <c r="BV43" s="273">
        <f t="shared" si="119"/>
        <v>-75</v>
      </c>
      <c r="BW43" s="273">
        <f t="shared" si="119"/>
        <v>-75</v>
      </c>
      <c r="BX43" s="718"/>
      <c r="BY43" s="273">
        <f t="shared" si="81"/>
        <v>0</v>
      </c>
      <c r="BZ43" s="273">
        <f t="shared" si="82"/>
        <v>0</v>
      </c>
      <c r="CA43" s="273">
        <f t="shared" si="83"/>
        <v>0</v>
      </c>
      <c r="CB43" s="273">
        <f t="shared" si="84"/>
        <v>-0.17299999999999999</v>
      </c>
      <c r="CC43" s="273">
        <f t="shared" si="85"/>
        <v>-31.681000000000001</v>
      </c>
      <c r="CD43" s="273">
        <f t="shared" si="86"/>
        <v>-2.0630000000000002</v>
      </c>
      <c r="CE43" s="273">
        <f t="shared" si="87"/>
        <v>-2.3890000000000002</v>
      </c>
      <c r="CF43" s="273">
        <f t="shared" si="88"/>
        <v>-4.4119999999999999</v>
      </c>
      <c r="CG43" s="273">
        <f t="shared" si="89"/>
        <v>-90.135000000000019</v>
      </c>
      <c r="CH43" s="273">
        <f t="shared" si="90"/>
        <v>-30.984000000000002</v>
      </c>
      <c r="CI43" s="274">
        <f t="shared" si="91"/>
        <v>-203.5</v>
      </c>
      <c r="CJ43" s="275">
        <f t="shared" si="92"/>
        <v>-187.79999999999998</v>
      </c>
      <c r="CK43" s="273">
        <f t="shared" si="93"/>
        <v>-291.5</v>
      </c>
      <c r="CL43" s="273">
        <f t="shared" si="94"/>
        <v>-598.9</v>
      </c>
      <c r="CM43" s="273">
        <f t="shared" si="95"/>
        <v>-481.5</v>
      </c>
      <c r="CN43" s="273">
        <f t="shared" si="96"/>
        <v>-442.2</v>
      </c>
      <c r="CO43" s="273">
        <f t="shared" si="97"/>
        <v>-300</v>
      </c>
      <c r="CP43" s="274">
        <f t="shared" si="98"/>
        <v>-300</v>
      </c>
      <c r="CQ43" s="951"/>
      <c r="CR43" s="275">
        <f t="shared" si="99"/>
        <v>0</v>
      </c>
      <c r="CS43" s="273">
        <f t="shared" si="100"/>
        <v>-0.67599999999999993</v>
      </c>
      <c r="CT43" s="273">
        <f t="shared" si="101"/>
        <v>-32.506999999999998</v>
      </c>
      <c r="CU43" s="273">
        <f t="shared" si="102"/>
        <v>-2.5260000000000002</v>
      </c>
      <c r="CV43" s="273">
        <f t="shared" si="103"/>
        <v>-4.0630000000000006</v>
      </c>
      <c r="CW43" s="273">
        <f t="shared" si="104"/>
        <v>-37.593999999999994</v>
      </c>
      <c r="CX43" s="273">
        <f t="shared" si="105"/>
        <v>-81.247000000000014</v>
      </c>
      <c r="CY43" s="273">
        <f t="shared" si="106"/>
        <v>-60.105000000000004</v>
      </c>
      <c r="CZ43" s="273">
        <f t="shared" si="107"/>
        <v>-181.71899999999999</v>
      </c>
      <c r="DA43" s="273">
        <f t="shared" si="108"/>
        <v>-233.39999999999998</v>
      </c>
      <c r="DB43" s="273">
        <f t="shared" si="109"/>
        <v>-282.69999999999993</v>
      </c>
      <c r="DC43" s="273">
        <f t="shared" si="110"/>
        <v>-677.89999999999986</v>
      </c>
      <c r="DD43" s="273">
        <f t="shared" si="111"/>
        <v>-547.79999999999995</v>
      </c>
      <c r="DE43" s="273">
        <f t="shared" si="112"/>
        <v>-300</v>
      </c>
      <c r="DF43" s="274">
        <f t="shared" si="113"/>
        <v>-300</v>
      </c>
      <c r="DG43" s="110"/>
      <c r="DH43" s="110"/>
      <c r="DI43" s="110"/>
      <c r="DJ43" s="110"/>
      <c r="DK43"/>
      <c r="DL43"/>
      <c r="DM43"/>
      <c r="DN43"/>
      <c r="DO43"/>
      <c r="DP43"/>
    </row>
    <row r="44" spans="2:122" s="109" customFormat="1" ht="14.25">
      <c r="B44" s="25" t="s">
        <v>500</v>
      </c>
      <c r="C44" s="279"/>
      <c r="D44" s="270">
        <v>0</v>
      </c>
      <c r="E44" s="271">
        <v>0</v>
      </c>
      <c r="F44" s="271">
        <v>0</v>
      </c>
      <c r="G44" s="272">
        <v>0</v>
      </c>
      <c r="H44" s="270">
        <v>0</v>
      </c>
      <c r="I44" s="271">
        <v>0</v>
      </c>
      <c r="J44" s="271">
        <v>0</v>
      </c>
      <c r="K44" s="272">
        <v>0</v>
      </c>
      <c r="L44" s="270">
        <v>0</v>
      </c>
      <c r="M44" s="271">
        <v>0</v>
      </c>
      <c r="N44" s="271">
        <v>0</v>
      </c>
      <c r="O44" s="272">
        <v>0</v>
      </c>
      <c r="P44" s="270">
        <v>0</v>
      </c>
      <c r="Q44" s="271">
        <v>0</v>
      </c>
      <c r="R44" s="271">
        <v>0</v>
      </c>
      <c r="S44" s="272">
        <v>0</v>
      </c>
      <c r="T44" s="270">
        <v>0</v>
      </c>
      <c r="U44" s="271">
        <v>0</v>
      </c>
      <c r="V44" s="271">
        <v>0</v>
      </c>
      <c r="W44" s="272">
        <v>0</v>
      </c>
      <c r="X44" s="270">
        <v>0</v>
      </c>
      <c r="Y44" s="271">
        <v>0</v>
      </c>
      <c r="Z44" s="271">
        <v>0</v>
      </c>
      <c r="AA44" s="272">
        <v>0</v>
      </c>
      <c r="AB44" s="270">
        <v>0</v>
      </c>
      <c r="AC44" s="271">
        <v>0</v>
      </c>
      <c r="AD44" s="271">
        <v>0</v>
      </c>
      <c r="AE44" s="272">
        <v>0</v>
      </c>
      <c r="AF44" s="270">
        <v>0</v>
      </c>
      <c r="AG44" s="271">
        <v>0</v>
      </c>
      <c r="AH44" s="271">
        <v>0</v>
      </c>
      <c r="AI44" s="272">
        <v>0</v>
      </c>
      <c r="AJ44" s="270">
        <v>0</v>
      </c>
      <c r="AK44" s="271">
        <v>0</v>
      </c>
      <c r="AL44" s="271">
        <v>0</v>
      </c>
      <c r="AM44" s="272">
        <v>0</v>
      </c>
      <c r="AN44" s="270">
        <v>0</v>
      </c>
      <c r="AO44" s="271">
        <v>0</v>
      </c>
      <c r="AP44" s="271">
        <v>0</v>
      </c>
      <c r="AQ44" s="272">
        <v>0</v>
      </c>
      <c r="AR44" s="270">
        <v>0</v>
      </c>
      <c r="AS44" s="271">
        <v>0</v>
      </c>
      <c r="AT44" s="271">
        <v>0</v>
      </c>
      <c r="AU44" s="272">
        <v>0</v>
      </c>
      <c r="AV44" s="270">
        <v>0</v>
      </c>
      <c r="AW44" s="271">
        <v>0</v>
      </c>
      <c r="AX44" s="271">
        <f>-20.9-AW44-AV44</f>
        <v>-20.9</v>
      </c>
      <c r="AY44" s="272">
        <f>-41.4-AX44-AW44-AV44</f>
        <v>-20.5</v>
      </c>
      <c r="AZ44" s="270">
        <f>-24.6</f>
        <v>-24.6</v>
      </c>
      <c r="BA44" s="271">
        <f>-49.3-AZ44</f>
        <v>-24.699999999999996</v>
      </c>
      <c r="BB44" s="271">
        <f>-73.8-BA44-AZ44</f>
        <v>-24.5</v>
      </c>
      <c r="BC44" s="272">
        <f>-123.1-BB44-BA44-AZ44</f>
        <v>-49.300000000000004</v>
      </c>
      <c r="BD44" s="270">
        <f>+-50.2</f>
        <v>-50.2</v>
      </c>
      <c r="BE44" s="271">
        <f>-99.4-BD44</f>
        <v>-49.2</v>
      </c>
      <c r="BF44" s="271">
        <f>-148.8-BE44-BD44</f>
        <v>-49.400000000000006</v>
      </c>
      <c r="BG44" s="272">
        <f>-201-BF44-BE44-BD44</f>
        <v>-52.199999999999989</v>
      </c>
      <c r="BH44" s="270">
        <v>-52.2</v>
      </c>
      <c r="BI44" s="271">
        <f>-104.1-BH44</f>
        <v>-51.899999999999991</v>
      </c>
      <c r="BJ44" s="271">
        <f>-155.7-BI44-BH44</f>
        <v>-51.599999999999994</v>
      </c>
      <c r="BK44" s="272">
        <f>-214.6-BJ44-BI44-BH44</f>
        <v>-58.900000000000006</v>
      </c>
      <c r="BL44" s="270">
        <v>-59.1</v>
      </c>
      <c r="BM44" s="273">
        <f>+-IS!BM131*IS!BM125</f>
        <v>-59.2</v>
      </c>
      <c r="BN44" s="273">
        <f>+-IS!BN131*IS!BN125</f>
        <v>-58.96</v>
      </c>
      <c r="BO44" s="274">
        <f>+-IS!BO131*IS!BO125</f>
        <v>-58.72</v>
      </c>
      <c r="BP44" s="273">
        <f>+-IS!BP131*IS!BP125</f>
        <v>-58.480000000000004</v>
      </c>
      <c r="BQ44" s="273">
        <f>+-IS!BQ131*IS!BQ125</f>
        <v>-58.24</v>
      </c>
      <c r="BR44" s="273">
        <f>+-IS!BR131*IS!BR125</f>
        <v>-58</v>
      </c>
      <c r="BS44" s="273">
        <f>+-IS!BS131*IS!BS125</f>
        <v>-57.76</v>
      </c>
      <c r="BT44" s="275">
        <f>+-IS!BT131*IS!BT125</f>
        <v>-57.52</v>
      </c>
      <c r="BU44" s="273">
        <f>+-IS!BU131*IS!BU125</f>
        <v>-57.28</v>
      </c>
      <c r="BV44" s="273">
        <f>+-IS!BV131*IS!BV125</f>
        <v>-57.04</v>
      </c>
      <c r="BW44" s="273">
        <f>+-IS!BW131*IS!BW125</f>
        <v>-56.800000000000004</v>
      </c>
      <c r="BX44" s="718"/>
      <c r="BY44" s="273"/>
      <c r="BZ44" s="273"/>
      <c r="CA44" s="273"/>
      <c r="CB44" s="273"/>
      <c r="CC44" s="273"/>
      <c r="CD44" s="273"/>
      <c r="CE44" s="273"/>
      <c r="CF44" s="273"/>
      <c r="CG44" s="273"/>
      <c r="CH44" s="273"/>
      <c r="CI44" s="274"/>
      <c r="CJ44" s="275">
        <f>SUM(AV44:AY44)</f>
        <v>-41.4</v>
      </c>
      <c r="CK44" s="273">
        <f>SUM(AZ44:BC44)</f>
        <v>-123.1</v>
      </c>
      <c r="CL44" s="273">
        <f>SUM(BD44:BG44)</f>
        <v>-201</v>
      </c>
      <c r="CM44" s="273">
        <f>SUM(BH44:BK44)</f>
        <v>-214.6</v>
      </c>
      <c r="CN44" s="273">
        <f>SUM(BL44:BO44)</f>
        <v>-235.98000000000002</v>
      </c>
      <c r="CO44" s="273">
        <f t="shared" si="97"/>
        <v>-232.48</v>
      </c>
      <c r="CP44" s="274">
        <f t="shared" si="98"/>
        <v>-228.64000000000001</v>
      </c>
      <c r="CQ44" s="951"/>
      <c r="CR44" s="275"/>
      <c r="CS44" s="273"/>
      <c r="CT44" s="273"/>
      <c r="CU44" s="273"/>
      <c r="CV44" s="273"/>
      <c r="CW44" s="273"/>
      <c r="CX44" s="273"/>
      <c r="CY44" s="273"/>
      <c r="CZ44" s="273"/>
      <c r="DA44" s="273">
        <f>SUM(AW44:AZ44)</f>
        <v>-66</v>
      </c>
      <c r="DB44" s="273">
        <f>SUM(BA44:BD44)</f>
        <v>-148.69999999999999</v>
      </c>
      <c r="DC44" s="273">
        <f>SUM(BE44:BH44)</f>
        <v>-203</v>
      </c>
      <c r="DD44" s="273">
        <f>SUM(BI44:BL44)</f>
        <v>-221.49999999999997</v>
      </c>
      <c r="DE44" s="273">
        <f t="shared" si="112"/>
        <v>-235.36</v>
      </c>
      <c r="DF44" s="274">
        <f t="shared" si="113"/>
        <v>-231.52</v>
      </c>
      <c r="DG44" s="110"/>
      <c r="DH44" s="110"/>
      <c r="DI44" s="110"/>
      <c r="DJ44" s="110"/>
      <c r="DK44"/>
      <c r="DL44"/>
      <c r="DM44"/>
      <c r="DN44"/>
      <c r="DO44"/>
      <c r="DP44"/>
    </row>
    <row r="45" spans="2:122" s="109" customFormat="1" ht="14.25">
      <c r="B45" s="278" t="s">
        <v>219</v>
      </c>
      <c r="C45" s="279"/>
      <c r="D45" s="270">
        <f>-9.409+0.333</f>
        <v>-9.0760000000000005</v>
      </c>
      <c r="E45" s="271">
        <f>-9.45+0.517-D45</f>
        <v>0.14300000000000068</v>
      </c>
      <c r="F45" s="271">
        <f>-9.551+0.723-E45-D45</f>
        <v>0.10500000000000043</v>
      </c>
      <c r="G45" s="272">
        <f>1.567-F45-E45-D45</f>
        <v>10.395</v>
      </c>
      <c r="H45" s="270">
        <v>1.1579999999999999</v>
      </c>
      <c r="I45" s="271">
        <f>2.511-H45</f>
        <v>1.3530000000000002</v>
      </c>
      <c r="J45" s="271">
        <f>2.93+8.319-I45-H45</f>
        <v>8.7380000000000013</v>
      </c>
      <c r="K45" s="272">
        <f>8.29+3.512-J45-I45-H45</f>
        <v>0.55299999999999816</v>
      </c>
      <c r="L45" s="270">
        <v>4.056</v>
      </c>
      <c r="M45" s="271">
        <f>4.294-L45</f>
        <v>0.23799999999999955</v>
      </c>
      <c r="N45" s="271">
        <f>4.79-M45-L45</f>
        <v>0.49600000000000044</v>
      </c>
      <c r="O45" s="272">
        <f>5.244-N45-M45-L45</f>
        <v>0.45399999999999974</v>
      </c>
      <c r="P45" s="270">
        <v>0.248</v>
      </c>
      <c r="Q45" s="271">
        <f>1.039-P45</f>
        <v>0.79099999999999993</v>
      </c>
      <c r="R45" s="271">
        <f>1.6-Q45-P45</f>
        <v>0.56100000000000017</v>
      </c>
      <c r="S45" s="272">
        <f>1.746-R45-Q45-P45</f>
        <v>0.14599999999999991</v>
      </c>
      <c r="T45" s="270">
        <v>3.16</v>
      </c>
      <c r="U45" s="271">
        <f>4.318-T45</f>
        <v>1.1579999999999995</v>
      </c>
      <c r="V45" s="271">
        <f>6.153-U45-T45</f>
        <v>1.835</v>
      </c>
      <c r="W45" s="272">
        <f>8.266-V45-U45-T45</f>
        <v>2.1130000000000004</v>
      </c>
      <c r="X45" s="270">
        <v>2.1269999999999998</v>
      </c>
      <c r="Y45" s="271">
        <f>3.004-X45</f>
        <v>0.87700000000000022</v>
      </c>
      <c r="Z45" s="271">
        <f>16.857-Y45-X45</f>
        <v>13.852999999999998</v>
      </c>
      <c r="AA45" s="272">
        <f>18.049-Z45-Y45-X45</f>
        <v>1.1920000000000015</v>
      </c>
      <c r="AB45" s="270">
        <v>0.14899999999999999</v>
      </c>
      <c r="AC45" s="271">
        <f>2.315-AB45</f>
        <v>2.1659999999999999</v>
      </c>
      <c r="AD45" s="271">
        <f>12.744-AC45-AB45</f>
        <v>10.429</v>
      </c>
      <c r="AE45" s="272">
        <f>38.668-AD45-AC45-AB45</f>
        <v>25.923999999999996</v>
      </c>
      <c r="AF45" s="270">
        <v>6.0780000000000003</v>
      </c>
      <c r="AG45" s="271">
        <f>14.736-AF45</f>
        <v>8.6580000000000013</v>
      </c>
      <c r="AH45" s="271">
        <f>20.834-AG45-AF45</f>
        <v>6.0979999999999981</v>
      </c>
      <c r="AI45" s="272">
        <f>40.502-AH45-AG45-AF45</f>
        <v>19.668000000000003</v>
      </c>
      <c r="AJ45" s="456">
        <v>43.091999999999999</v>
      </c>
      <c r="AK45" s="596">
        <f>57.226-AJ45</f>
        <v>14.134</v>
      </c>
      <c r="AL45" s="271">
        <f>61.208-AK45-AJ45</f>
        <v>3.9819999999999993</v>
      </c>
      <c r="AM45" s="597">
        <f>63.185-AL45-AK45-AJ45</f>
        <v>1.9770000000000039</v>
      </c>
      <c r="AN45" s="456">
        <v>2.2509999999999999</v>
      </c>
      <c r="AO45" s="596">
        <f>13.873-AN45</f>
        <v>11.622</v>
      </c>
      <c r="AP45" s="596">
        <f>22.219+0.094-AO45-AN45</f>
        <v>8.4400000000000031</v>
      </c>
      <c r="AQ45" s="597">
        <f>-52.94+38.993+0.093-AP45-AO45-AN45</f>
        <v>-36.166999999999994</v>
      </c>
      <c r="AR45" s="456">
        <v>3.0019999999999998</v>
      </c>
      <c r="AS45" s="596">
        <f>8-AR45</f>
        <v>4.9980000000000002</v>
      </c>
      <c r="AT45" s="596">
        <f>13.2-1.1-AS45-AR45</f>
        <v>4.0999999999999996</v>
      </c>
      <c r="AU45" s="272">
        <f>-1.1+21.1-AT45-AS45-AR45</f>
        <v>7.9000000000000012</v>
      </c>
      <c r="AV45" s="456">
        <v>18.399999999999999</v>
      </c>
      <c r="AW45" s="596">
        <f>45.2-AV45</f>
        <v>26.800000000000004</v>
      </c>
      <c r="AX45" s="596">
        <f>58.1-AW45-AV45</f>
        <v>12.899999999999999</v>
      </c>
      <c r="AY45" s="597">
        <f>67.8-AX45-AW45-AV45</f>
        <v>9.6999999999999957</v>
      </c>
      <c r="AZ45" s="456">
        <f>24</f>
        <v>24</v>
      </c>
      <c r="BA45" s="596">
        <f>37.3-AZ45</f>
        <v>13.299999999999997</v>
      </c>
      <c r="BB45" s="596">
        <f>46.9-BA45-AZ45</f>
        <v>9.6000000000000014</v>
      </c>
      <c r="BC45" s="597">
        <f>57-BB45-BA45-AZ45</f>
        <v>10.100000000000001</v>
      </c>
      <c r="BD45" s="456">
        <f>8.6</f>
        <v>8.6</v>
      </c>
      <c r="BE45" s="596">
        <f>16.3-BD45</f>
        <v>7.7000000000000011</v>
      </c>
      <c r="BF45" s="596">
        <f>22.1-BE45-BD45</f>
        <v>5.8000000000000007</v>
      </c>
      <c r="BG45" s="597">
        <f>28.1-BF45-BE45-BD45</f>
        <v>6</v>
      </c>
      <c r="BH45" s="456">
        <v>14.7</v>
      </c>
      <c r="BI45" s="596">
        <f>31.9-BH45</f>
        <v>17.2</v>
      </c>
      <c r="BJ45" s="596">
        <f>45.8-BI45-BH45</f>
        <v>13.899999999999999</v>
      </c>
      <c r="BK45" s="597">
        <f>53.8-BJ45-BI45-BH45</f>
        <v>8</v>
      </c>
      <c r="BL45" s="456">
        <v>14.4</v>
      </c>
      <c r="BM45" s="378">
        <f t="shared" ref="BM45:BS45" si="120">BL45</f>
        <v>14.4</v>
      </c>
      <c r="BN45" s="378">
        <f t="shared" si="120"/>
        <v>14.4</v>
      </c>
      <c r="BO45" s="379">
        <f t="shared" si="120"/>
        <v>14.4</v>
      </c>
      <c r="BP45" s="378">
        <f t="shared" si="120"/>
        <v>14.4</v>
      </c>
      <c r="BQ45" s="378">
        <f t="shared" si="120"/>
        <v>14.4</v>
      </c>
      <c r="BR45" s="378">
        <f t="shared" si="120"/>
        <v>14.4</v>
      </c>
      <c r="BS45" s="378">
        <f t="shared" si="120"/>
        <v>14.4</v>
      </c>
      <c r="BT45" s="857">
        <f t="shared" ref="BT45" si="121">BS45</f>
        <v>14.4</v>
      </c>
      <c r="BU45" s="378">
        <f t="shared" ref="BU45" si="122">BT45</f>
        <v>14.4</v>
      </c>
      <c r="BV45" s="378">
        <f t="shared" ref="BV45" si="123">BU45</f>
        <v>14.4</v>
      </c>
      <c r="BW45" s="379">
        <f t="shared" ref="BW45" si="124">BV45</f>
        <v>14.4</v>
      </c>
      <c r="BX45" s="718"/>
      <c r="BY45" s="378">
        <f t="shared" si="81"/>
        <v>1.5670000000000002</v>
      </c>
      <c r="BZ45" s="378">
        <f t="shared" si="82"/>
        <v>11.802</v>
      </c>
      <c r="CA45" s="378">
        <f t="shared" si="83"/>
        <v>5.2439999999999998</v>
      </c>
      <c r="CB45" s="378">
        <f t="shared" si="84"/>
        <v>1.746</v>
      </c>
      <c r="CC45" s="378">
        <f t="shared" si="85"/>
        <v>8.266</v>
      </c>
      <c r="CD45" s="378">
        <f t="shared" si="86"/>
        <v>18.048999999999999</v>
      </c>
      <c r="CE45" s="378">
        <f t="shared" si="87"/>
        <v>38.667999999999992</v>
      </c>
      <c r="CF45" s="378">
        <f t="shared" si="88"/>
        <v>40.502000000000002</v>
      </c>
      <c r="CG45" s="378">
        <f t="shared" si="89"/>
        <v>63.185000000000002</v>
      </c>
      <c r="CH45" s="378">
        <f t="shared" si="90"/>
        <v>-13.853999999999992</v>
      </c>
      <c r="CI45" s="379">
        <f t="shared" si="91"/>
        <v>20</v>
      </c>
      <c r="CJ45" s="857">
        <f t="shared" si="92"/>
        <v>67.8</v>
      </c>
      <c r="CK45" s="378">
        <f t="shared" si="93"/>
        <v>57</v>
      </c>
      <c r="CL45" s="378">
        <f t="shared" si="94"/>
        <v>28.1</v>
      </c>
      <c r="CM45" s="378">
        <f t="shared" si="95"/>
        <v>53.8</v>
      </c>
      <c r="CN45" s="378">
        <f t="shared" si="96"/>
        <v>57.6</v>
      </c>
      <c r="CO45" s="378">
        <f t="shared" si="97"/>
        <v>57.6</v>
      </c>
      <c r="CP45" s="379">
        <f t="shared" si="98"/>
        <v>57.6</v>
      </c>
      <c r="CQ45" s="951"/>
      <c r="CR45" s="275">
        <f t="shared" si="99"/>
        <v>1.4359999999999997</v>
      </c>
      <c r="CS45" s="273">
        <f t="shared" si="100"/>
        <v>4.6580000000000004</v>
      </c>
      <c r="CT45" s="273">
        <f t="shared" si="101"/>
        <v>7.2329999999999997</v>
      </c>
      <c r="CU45" s="273">
        <f t="shared" si="102"/>
        <v>16.071000000000002</v>
      </c>
      <c r="CV45" s="273">
        <f t="shared" si="103"/>
        <v>44.597000000000001</v>
      </c>
      <c r="CW45" s="273">
        <f t="shared" si="104"/>
        <v>77.516000000000005</v>
      </c>
      <c r="CX45" s="273">
        <f t="shared" si="105"/>
        <v>22.344000000000005</v>
      </c>
      <c r="CY45" s="273">
        <f t="shared" si="106"/>
        <v>-13.102999999999991</v>
      </c>
      <c r="CZ45" s="273">
        <f t="shared" si="107"/>
        <v>35.397999999999996</v>
      </c>
      <c r="DA45" s="273">
        <f t="shared" si="108"/>
        <v>73.400000000000006</v>
      </c>
      <c r="DB45" s="273">
        <f t="shared" si="109"/>
        <v>41.6</v>
      </c>
      <c r="DC45" s="273">
        <f t="shared" si="110"/>
        <v>34.200000000000003</v>
      </c>
      <c r="DD45" s="273">
        <f t="shared" si="111"/>
        <v>53.499999999999993</v>
      </c>
      <c r="DE45" s="273">
        <f t="shared" si="112"/>
        <v>57.6</v>
      </c>
      <c r="DF45" s="274">
        <f t="shared" si="113"/>
        <v>57.6</v>
      </c>
      <c r="DG45" s="110"/>
      <c r="DH45" s="110"/>
      <c r="DI45" s="110"/>
      <c r="DJ45" s="110"/>
      <c r="DK45"/>
      <c r="DL45"/>
      <c r="DM45"/>
      <c r="DN45"/>
      <c r="DO45"/>
      <c r="DP45"/>
    </row>
    <row r="46" spans="2:122" s="281" customFormat="1" ht="15.75" thickBot="1">
      <c r="B46" s="394" t="s">
        <v>184</v>
      </c>
      <c r="C46" s="395"/>
      <c r="D46" s="284">
        <f t="shared" ref="D46:S46" si="125">SUM(D37:D45)</f>
        <v>85.890000000000015</v>
      </c>
      <c r="E46" s="285">
        <f t="shared" si="125"/>
        <v>0.10800000000000409</v>
      </c>
      <c r="F46" s="285">
        <f t="shared" si="125"/>
        <v>6.9999999999975415E-2</v>
      </c>
      <c r="G46" s="285">
        <f t="shared" si="125"/>
        <v>138.41400000000002</v>
      </c>
      <c r="H46" s="284">
        <f t="shared" si="125"/>
        <v>-1.5180000000000002</v>
      </c>
      <c r="I46" s="285">
        <f t="shared" si="125"/>
        <v>7.402000000000001</v>
      </c>
      <c r="J46" s="285">
        <f t="shared" si="125"/>
        <v>4.6640000000000015</v>
      </c>
      <c r="K46" s="285">
        <f t="shared" si="125"/>
        <v>0.58199999999999807</v>
      </c>
      <c r="L46" s="284">
        <f t="shared" si="125"/>
        <v>4.056</v>
      </c>
      <c r="M46" s="285">
        <f t="shared" si="125"/>
        <v>-0.54400000000000048</v>
      </c>
      <c r="N46" s="285">
        <f t="shared" si="125"/>
        <v>1.2780000000000005</v>
      </c>
      <c r="O46" s="285">
        <f t="shared" si="125"/>
        <v>0.45399999999999974</v>
      </c>
      <c r="P46" s="284">
        <f t="shared" si="125"/>
        <v>0.248</v>
      </c>
      <c r="Q46" s="285">
        <f t="shared" si="125"/>
        <v>-49.874000000000002</v>
      </c>
      <c r="R46" s="285">
        <f t="shared" si="125"/>
        <v>0.2210000000000002</v>
      </c>
      <c r="S46" s="285">
        <f t="shared" si="125"/>
        <v>2.2999999999999937E-2</v>
      </c>
      <c r="T46" s="284">
        <f>SUM(T37:T45)</f>
        <v>2.657</v>
      </c>
      <c r="U46" s="285">
        <f>SUM(U37:U45)</f>
        <v>24.876000000000005</v>
      </c>
      <c r="V46" s="285">
        <f>SUM(V37:V45)</f>
        <v>11.467000000000006</v>
      </c>
      <c r="W46" s="285">
        <f>SUM(W37:W45)</f>
        <v>1.1959999999999988</v>
      </c>
      <c r="X46" s="284">
        <f t="shared" ref="X46:AH46" si="126">SUM(X37:X45)</f>
        <v>-48.336999999999996</v>
      </c>
      <c r="Y46" s="285">
        <f t="shared" si="126"/>
        <v>0.58700000000000019</v>
      </c>
      <c r="Z46" s="285">
        <f t="shared" si="126"/>
        <v>14.085999999999999</v>
      </c>
      <c r="AA46" s="285">
        <f t="shared" si="126"/>
        <v>-61.527999999999999</v>
      </c>
      <c r="AB46" s="284">
        <f t="shared" si="126"/>
        <v>-44.944000000000003</v>
      </c>
      <c r="AC46" s="285">
        <f t="shared" si="126"/>
        <v>2.0310000000000015</v>
      </c>
      <c r="AD46" s="285">
        <f t="shared" si="126"/>
        <v>10.369</v>
      </c>
      <c r="AE46" s="285">
        <f t="shared" si="126"/>
        <v>11.039999999999994</v>
      </c>
      <c r="AF46" s="284">
        <f t="shared" si="126"/>
        <v>-5.2269999999999994</v>
      </c>
      <c r="AG46" s="285">
        <f t="shared" si="126"/>
        <v>-31.500999999999991</v>
      </c>
      <c r="AH46" s="285">
        <f t="shared" si="126"/>
        <v>-27.737000000000002</v>
      </c>
      <c r="AI46" s="286">
        <f t="shared" ref="AI46:BB46" si="127">SUM(AI37:AI45)</f>
        <v>25.868000000000002</v>
      </c>
      <c r="AJ46" s="455">
        <f t="shared" si="127"/>
        <v>-31.054999999999993</v>
      </c>
      <c r="AK46" s="356">
        <f t="shared" si="127"/>
        <v>-5.7100000000000044</v>
      </c>
      <c r="AL46" s="285">
        <f t="shared" si="127"/>
        <v>-14.66599999999999</v>
      </c>
      <c r="AM46" s="286">
        <f t="shared" si="127"/>
        <v>-7.6130000000000173</v>
      </c>
      <c r="AN46" s="455">
        <f t="shared" si="127"/>
        <v>-35.259</v>
      </c>
      <c r="AO46" s="356">
        <f t="shared" si="127"/>
        <v>-21.616999999999997</v>
      </c>
      <c r="AP46" s="356">
        <f t="shared" si="127"/>
        <v>11.068000000000001</v>
      </c>
      <c r="AQ46" s="286">
        <f t="shared" si="127"/>
        <v>-40.367999999999995</v>
      </c>
      <c r="AR46" s="455">
        <f t="shared" si="127"/>
        <v>-50.818999999999996</v>
      </c>
      <c r="AS46" s="356">
        <f t="shared" si="127"/>
        <v>-24.180999999999997</v>
      </c>
      <c r="AT46" s="356">
        <f t="shared" si="127"/>
        <v>-89.40000000000002</v>
      </c>
      <c r="AU46" s="286">
        <f t="shared" si="127"/>
        <v>-8.2999999999999865</v>
      </c>
      <c r="AV46" s="455">
        <f t="shared" si="127"/>
        <v>-5.0000000000000036</v>
      </c>
      <c r="AW46" s="356">
        <f t="shared" si="127"/>
        <v>-23.099999999999987</v>
      </c>
      <c r="AX46" s="356">
        <f t="shared" si="127"/>
        <v>-36</v>
      </c>
      <c r="AY46" s="286">
        <f t="shared" si="127"/>
        <v>-56.499999999999993</v>
      </c>
      <c r="AZ46" s="455">
        <f t="shared" si="127"/>
        <v>-51.900000000000006</v>
      </c>
      <c r="BA46" s="356">
        <f t="shared" si="127"/>
        <v>-48.59999999999998</v>
      </c>
      <c r="BB46" s="356">
        <f t="shared" si="127"/>
        <v>-55.899999999999984</v>
      </c>
      <c r="BC46" s="286">
        <f t="shared" ref="BC46:BO46" si="128">SUM(BC37:BC45)</f>
        <v>-143.9</v>
      </c>
      <c r="BD46" s="455">
        <f t="shared" si="128"/>
        <v>-76.200000000000017</v>
      </c>
      <c r="BE46" s="356">
        <f t="shared" si="128"/>
        <v>-172.8</v>
      </c>
      <c r="BF46" s="356">
        <f t="shared" si="128"/>
        <v>-232.49999999999994</v>
      </c>
      <c r="BG46" s="286">
        <f t="shared" si="128"/>
        <v>-323.09999999999997</v>
      </c>
      <c r="BH46" s="455">
        <f>SUM(BH37:BH45)</f>
        <v>-168.60000000000002</v>
      </c>
      <c r="BI46" s="285">
        <f>SUM(BI37:BI45)</f>
        <v>-124.59999999999995</v>
      </c>
      <c r="BJ46" s="356">
        <f>SUM(BJ37:BJ45)</f>
        <v>-164</v>
      </c>
      <c r="BK46" s="286">
        <f t="shared" ref="BK46" si="129">SUM(BK37:BK45)</f>
        <v>-155.19999999999999</v>
      </c>
      <c r="BL46" s="455">
        <f>SUM(BL37:BL45)</f>
        <v>-261.90000000000003</v>
      </c>
      <c r="BM46" s="285">
        <f t="shared" si="128"/>
        <v>-119.79999999999998</v>
      </c>
      <c r="BN46" s="356">
        <f t="shared" si="128"/>
        <v>-119.56</v>
      </c>
      <c r="BO46" s="286">
        <f t="shared" si="128"/>
        <v>-119.32</v>
      </c>
      <c r="BP46" s="356">
        <f t="shared" ref="BP46:BW46" si="130">SUM(BP37:BP45)</f>
        <v>-119.08000000000001</v>
      </c>
      <c r="BQ46" s="285">
        <f t="shared" si="130"/>
        <v>-118.84</v>
      </c>
      <c r="BR46" s="356">
        <f t="shared" si="130"/>
        <v>-118.6</v>
      </c>
      <c r="BS46" s="285">
        <f t="shared" si="130"/>
        <v>-118.35999999999999</v>
      </c>
      <c r="BT46" s="455">
        <f t="shared" si="130"/>
        <v>-118.12</v>
      </c>
      <c r="BU46" s="285">
        <f t="shared" si="130"/>
        <v>-117.88</v>
      </c>
      <c r="BV46" s="356">
        <f t="shared" si="130"/>
        <v>-117.63999999999999</v>
      </c>
      <c r="BW46" s="286">
        <f t="shared" si="130"/>
        <v>-117.4</v>
      </c>
      <c r="BX46" s="719"/>
      <c r="BY46" s="356">
        <f>SUM(BY37:BY45)</f>
        <v>224.48199999999997</v>
      </c>
      <c r="BZ46" s="356">
        <f>SUM(BZ37:BZ45)</f>
        <v>11.129999999999999</v>
      </c>
      <c r="CA46" s="356">
        <f>SUM(CA37:CA45)</f>
        <v>5.2439999999999998</v>
      </c>
      <c r="CB46" s="356">
        <f>SUM(CB37:CB45)</f>
        <v>-49.381999999999998</v>
      </c>
      <c r="CC46" s="356">
        <f>SUM(CC37:CC45)</f>
        <v>40.196000000000005</v>
      </c>
      <c r="CD46" s="356">
        <f t="shared" ref="CD46:CN46" si="131">SUM(CD37:CD45)</f>
        <v>-95.192000000000007</v>
      </c>
      <c r="CE46" s="356">
        <f t="shared" si="131"/>
        <v>-21.504000000000012</v>
      </c>
      <c r="CF46" s="356">
        <f t="shared" si="131"/>
        <v>-38.597000000000001</v>
      </c>
      <c r="CG46" s="356">
        <f t="shared" si="131"/>
        <v>-59.044000000000011</v>
      </c>
      <c r="CH46" s="356">
        <f t="shared" si="131"/>
        <v>-86.175999999999988</v>
      </c>
      <c r="CI46" s="377">
        <f t="shared" si="131"/>
        <v>-172.7</v>
      </c>
      <c r="CJ46" s="455">
        <f t="shared" si="131"/>
        <v>-120.60000000000001</v>
      </c>
      <c r="CK46" s="356">
        <f t="shared" si="131"/>
        <v>-300.29999999999995</v>
      </c>
      <c r="CL46" s="356">
        <f t="shared" si="131"/>
        <v>-804.59999999999991</v>
      </c>
      <c r="CM46" s="356">
        <f t="shared" si="131"/>
        <v>-612.40000000000009</v>
      </c>
      <c r="CN46" s="356">
        <f t="shared" si="131"/>
        <v>-620.58000000000004</v>
      </c>
      <c r="CO46" s="356">
        <f>SUM(CO37:CO45)</f>
        <v>-474.88</v>
      </c>
      <c r="CP46" s="377">
        <f>SUM(CP37:CP45)</f>
        <v>-471.03999999999996</v>
      </c>
      <c r="CQ46" s="952"/>
      <c r="CR46" s="284">
        <f>SUM(CR37:CR45)</f>
        <v>1.4359999999999997</v>
      </c>
      <c r="CS46" s="285">
        <f>SUM(CS37:CS45)</f>
        <v>-46.972999999999999</v>
      </c>
      <c r="CT46" s="285">
        <f>SUM(CT37:CT45)</f>
        <v>-10.797999999999998</v>
      </c>
      <c r="CU46" s="285">
        <f t="shared" ref="CU46:CZ46" si="132">SUM(CU37:CU45)</f>
        <v>-91.799000000000007</v>
      </c>
      <c r="CV46" s="285">
        <f t="shared" si="132"/>
        <v>18.213000000000001</v>
      </c>
      <c r="CW46" s="285">
        <f t="shared" si="132"/>
        <v>-64.424999999999969</v>
      </c>
      <c r="CX46" s="285">
        <f t="shared" si="132"/>
        <v>-63.248000000000005</v>
      </c>
      <c r="CY46" s="285">
        <f t="shared" si="132"/>
        <v>-101.73599999999999</v>
      </c>
      <c r="CZ46" s="285">
        <f t="shared" si="132"/>
        <v>-126.881</v>
      </c>
      <c r="DA46" s="285">
        <f t="shared" ref="DA46:DF46" si="133">SUM(DA37:DA45)</f>
        <v>-167.49999999999997</v>
      </c>
      <c r="DB46" s="285">
        <f t="shared" si="133"/>
        <v>-324.59999999999991</v>
      </c>
      <c r="DC46" s="285">
        <f t="shared" si="133"/>
        <v>-896.99999999999977</v>
      </c>
      <c r="DD46" s="285">
        <f t="shared" si="133"/>
        <v>-705.69999999999993</v>
      </c>
      <c r="DE46" s="285">
        <f t="shared" si="133"/>
        <v>-477.76</v>
      </c>
      <c r="DF46" s="286">
        <f t="shared" si="133"/>
        <v>-473.91999999999996</v>
      </c>
      <c r="DG46" s="248"/>
      <c r="DH46" s="248"/>
      <c r="DI46" s="248"/>
      <c r="DJ46" s="248"/>
      <c r="DK46"/>
      <c r="DL46"/>
      <c r="DM46"/>
      <c r="DN46"/>
      <c r="DO46"/>
      <c r="DP46"/>
      <c r="DQ46" s="109"/>
      <c r="DR46" s="109"/>
    </row>
    <row r="47" spans="2:122" s="281" customFormat="1" ht="15.75" thickTop="1">
      <c r="B47" s="255"/>
      <c r="C47" s="248"/>
      <c r="D47" s="288"/>
      <c r="E47" s="289"/>
      <c r="F47" s="289"/>
      <c r="G47" s="290"/>
      <c r="H47" s="288"/>
      <c r="I47" s="289"/>
      <c r="J47" s="289"/>
      <c r="K47" s="290"/>
      <c r="L47" s="288"/>
      <c r="M47" s="289"/>
      <c r="N47" s="289"/>
      <c r="O47" s="290"/>
      <c r="P47" s="288"/>
      <c r="Q47" s="289"/>
      <c r="R47" s="289"/>
      <c r="S47" s="290"/>
      <c r="T47" s="288"/>
      <c r="U47" s="289"/>
      <c r="V47" s="289"/>
      <c r="W47" s="290"/>
      <c r="X47" s="288"/>
      <c r="Y47" s="289"/>
      <c r="Z47" s="289"/>
      <c r="AA47" s="290"/>
      <c r="AB47" s="288"/>
      <c r="AC47" s="289"/>
      <c r="AD47" s="289"/>
      <c r="AE47" s="290"/>
      <c r="AF47" s="288"/>
      <c r="AG47" s="289"/>
      <c r="AH47" s="289"/>
      <c r="AI47" s="290"/>
      <c r="AJ47" s="470"/>
      <c r="AK47" s="289"/>
      <c r="AL47" s="289"/>
      <c r="AM47" s="290"/>
      <c r="AN47" s="470"/>
      <c r="AO47" s="289"/>
      <c r="AP47" s="289"/>
      <c r="AQ47" s="290"/>
      <c r="AR47" s="470"/>
      <c r="AS47" s="289"/>
      <c r="AT47" s="289"/>
      <c r="AU47" s="290"/>
      <c r="AV47" s="470"/>
      <c r="AW47" s="289"/>
      <c r="AX47" s="289"/>
      <c r="AY47" s="290"/>
      <c r="AZ47" s="470"/>
      <c r="BA47" s="289"/>
      <c r="BB47" s="289"/>
      <c r="BC47" s="290"/>
      <c r="BD47" s="470"/>
      <c r="BE47" s="289"/>
      <c r="BF47" s="289"/>
      <c r="BG47" s="290"/>
      <c r="BH47" s="470"/>
      <c r="BI47" s="289"/>
      <c r="BJ47" s="289"/>
      <c r="BK47" s="290"/>
      <c r="BL47" s="470"/>
      <c r="BM47" s="289"/>
      <c r="BN47" s="289"/>
      <c r="BO47" s="290"/>
      <c r="BP47" s="289"/>
      <c r="BQ47" s="289"/>
      <c r="BR47" s="289"/>
      <c r="BS47" s="290"/>
      <c r="BT47" s="289"/>
      <c r="BU47" s="289"/>
      <c r="BV47" s="289"/>
      <c r="BW47" s="290"/>
      <c r="BX47" s="719"/>
      <c r="BY47" s="289"/>
      <c r="BZ47" s="289"/>
      <c r="CA47" s="289"/>
      <c r="CB47" s="289"/>
      <c r="CC47" s="289"/>
      <c r="CD47" s="289"/>
      <c r="CE47" s="289"/>
      <c r="CF47" s="289"/>
      <c r="CG47" s="289"/>
      <c r="CH47" s="289"/>
      <c r="CI47" s="290"/>
      <c r="CJ47" s="288"/>
      <c r="CK47" s="289"/>
      <c r="CL47" s="289"/>
      <c r="CM47" s="289"/>
      <c r="CN47" s="289"/>
      <c r="CO47" s="289"/>
      <c r="CP47" s="290"/>
      <c r="CQ47" s="952"/>
      <c r="CR47" s="288"/>
      <c r="CS47" s="289"/>
      <c r="CT47" s="289"/>
      <c r="CU47" s="289"/>
      <c r="CV47" s="289"/>
      <c r="CW47" s="289"/>
      <c r="CX47" s="289"/>
      <c r="CY47" s="289"/>
      <c r="CZ47" s="289"/>
      <c r="DA47" s="289"/>
      <c r="DB47" s="289"/>
      <c r="DC47" s="289"/>
      <c r="DD47" s="289"/>
      <c r="DE47" s="289"/>
      <c r="DF47" s="290"/>
      <c r="DG47" s="248"/>
      <c r="DH47" s="248"/>
      <c r="DI47" s="248"/>
      <c r="DJ47" s="248"/>
      <c r="DK47"/>
      <c r="DL47"/>
      <c r="DM47"/>
      <c r="DN47"/>
      <c r="DO47"/>
      <c r="DP47"/>
      <c r="DQ47" s="109"/>
      <c r="DR47" s="109"/>
    </row>
    <row r="48" spans="2:122" s="281" customFormat="1" ht="15">
      <c r="B48" s="255" t="s">
        <v>185</v>
      </c>
      <c r="C48" s="248"/>
      <c r="D48" s="288">
        <v>53.357999999999997</v>
      </c>
      <c r="E48" s="291">
        <f t="shared" ref="E48:X48" si="134">D51</f>
        <v>94.263000000000005</v>
      </c>
      <c r="F48" s="291">
        <f t="shared" si="134"/>
        <v>84.326999999999998</v>
      </c>
      <c r="G48" s="292">
        <f t="shared" si="134"/>
        <v>65.222999999999985</v>
      </c>
      <c r="H48" s="291">
        <f t="shared" si="134"/>
        <v>161.50599999999997</v>
      </c>
      <c r="I48" s="291">
        <f t="shared" si="134"/>
        <v>176.25099999999998</v>
      </c>
      <c r="J48" s="291">
        <f t="shared" si="134"/>
        <v>191.77299999999997</v>
      </c>
      <c r="K48" s="292">
        <f t="shared" si="134"/>
        <v>188.18700000000001</v>
      </c>
      <c r="L48" s="291">
        <f t="shared" si="134"/>
        <v>203.53899999999999</v>
      </c>
      <c r="M48" s="291">
        <f t="shared" si="134"/>
        <v>202.203</v>
      </c>
      <c r="N48" s="291">
        <f t="shared" si="134"/>
        <v>105.58499999999998</v>
      </c>
      <c r="O48" s="292">
        <f t="shared" si="134"/>
        <v>116.94000000000007</v>
      </c>
      <c r="P48" s="291">
        <f t="shared" si="134"/>
        <v>116.52200000000002</v>
      </c>
      <c r="Q48" s="291">
        <f t="shared" si="134"/>
        <v>123.49200000000005</v>
      </c>
      <c r="R48" s="291">
        <f t="shared" si="134"/>
        <v>116.75399999999998</v>
      </c>
      <c r="S48" s="292">
        <f t="shared" si="134"/>
        <v>92.242000000000104</v>
      </c>
      <c r="T48" s="291">
        <f t="shared" si="134"/>
        <v>136.749</v>
      </c>
      <c r="U48" s="291">
        <f t="shared" si="134"/>
        <v>113.93200000000002</v>
      </c>
      <c r="V48" s="291">
        <f t="shared" si="134"/>
        <v>152.44700000000006</v>
      </c>
      <c r="W48" s="292">
        <f t="shared" si="134"/>
        <v>153.19500000000005</v>
      </c>
      <c r="X48" s="291">
        <f t="shared" si="134"/>
        <v>241.57699999999994</v>
      </c>
      <c r="Y48" s="291">
        <f t="shared" ref="Y48:AJ48" si="135">X51</f>
        <v>198.71399999999994</v>
      </c>
      <c r="Z48" s="291">
        <f t="shared" si="135"/>
        <v>222.15699999999993</v>
      </c>
      <c r="AA48" s="292">
        <f t="shared" si="135"/>
        <v>248.01499999999993</v>
      </c>
      <c r="AB48" s="291">
        <f t="shared" si="135"/>
        <v>225.10400000000001</v>
      </c>
      <c r="AC48" s="291">
        <f t="shared" si="135"/>
        <v>243.69500000000002</v>
      </c>
      <c r="AD48" s="291">
        <f t="shared" si="135"/>
        <v>261.95100000000002</v>
      </c>
      <c r="AE48" s="291">
        <f t="shared" si="135"/>
        <v>302.50400000000002</v>
      </c>
      <c r="AF48" s="293">
        <f t="shared" si="135"/>
        <v>364.22099999999995</v>
      </c>
      <c r="AG48" s="291">
        <f t="shared" si="135"/>
        <v>396.32699999999994</v>
      </c>
      <c r="AH48" s="291">
        <f t="shared" si="135"/>
        <v>405.40999999999997</v>
      </c>
      <c r="AI48" s="292">
        <f t="shared" si="135"/>
        <v>383.82399999999996</v>
      </c>
      <c r="AJ48" s="293">
        <f t="shared" si="135"/>
        <v>453.25699999999995</v>
      </c>
      <c r="AK48" s="291">
        <f t="shared" ref="AK48:AW48" si="136">AJ51</f>
        <v>450.05399999999997</v>
      </c>
      <c r="AL48" s="291">
        <f t="shared" si="136"/>
        <v>503.80099999999993</v>
      </c>
      <c r="AM48" s="292">
        <f t="shared" si="136"/>
        <v>309.64499999999998</v>
      </c>
      <c r="AN48" s="293">
        <f t="shared" si="136"/>
        <v>410.08699999999993</v>
      </c>
      <c r="AO48" s="291">
        <f t="shared" si="136"/>
        <v>445.63599999999997</v>
      </c>
      <c r="AP48" s="291">
        <f t="shared" si="136"/>
        <v>306.47400000000005</v>
      </c>
      <c r="AQ48" s="292">
        <f t="shared" si="136"/>
        <v>327.09800000000007</v>
      </c>
      <c r="AR48" s="293">
        <f t="shared" si="136"/>
        <v>306.29300000000012</v>
      </c>
      <c r="AS48" s="291">
        <f t="shared" si="136"/>
        <v>377.53800000000012</v>
      </c>
      <c r="AT48" s="291">
        <f t="shared" si="136"/>
        <v>458.7999999999999</v>
      </c>
      <c r="AU48" s="292">
        <f t="shared" si="136"/>
        <v>400.2999999999999</v>
      </c>
      <c r="AV48" s="293">
        <f t="shared" si="136"/>
        <v>511.09999999999991</v>
      </c>
      <c r="AW48" s="291">
        <f t="shared" si="136"/>
        <v>648.59999999999991</v>
      </c>
      <c r="AX48" s="291">
        <f t="shared" ref="AX48:BL48" si="137">AW51</f>
        <v>797.8</v>
      </c>
      <c r="AY48" s="292">
        <f t="shared" si="137"/>
        <v>893.3</v>
      </c>
      <c r="AZ48" s="293">
        <f t="shared" si="137"/>
        <v>805.8</v>
      </c>
      <c r="BA48" s="291">
        <f t="shared" si="137"/>
        <v>1049.8999999999999</v>
      </c>
      <c r="BB48" s="291">
        <f t="shared" si="137"/>
        <v>1054.1999999999998</v>
      </c>
      <c r="BC48" s="292">
        <f t="shared" si="137"/>
        <v>1105.9999999999998</v>
      </c>
      <c r="BD48" s="293">
        <f t="shared" si="137"/>
        <v>1043.5999999999997</v>
      </c>
      <c r="BE48" s="291">
        <f t="shared" si="137"/>
        <v>1233.1999999999996</v>
      </c>
      <c r="BF48" s="291">
        <f t="shared" si="137"/>
        <v>1177.4999999999995</v>
      </c>
      <c r="BG48" s="292">
        <f t="shared" si="137"/>
        <v>973.6999999999997</v>
      </c>
      <c r="BH48" s="293">
        <f t="shared" si="137"/>
        <v>1083.7999999999997</v>
      </c>
      <c r="BI48" s="291">
        <f t="shared" si="137"/>
        <v>1350.4999999999995</v>
      </c>
      <c r="BJ48" s="291">
        <f t="shared" si="137"/>
        <v>1406.8999999999996</v>
      </c>
      <c r="BK48" s="292">
        <f t="shared" si="137"/>
        <v>1443.9999999999995</v>
      </c>
      <c r="BL48" s="293">
        <f t="shared" si="137"/>
        <v>1616.7999999999995</v>
      </c>
      <c r="BM48" s="291">
        <f t="shared" ref="BM48:BS48" si="138">BL51</f>
        <v>1681.4999999999995</v>
      </c>
      <c r="BN48" s="291">
        <f t="shared" si="138"/>
        <v>1928.2767426868229</v>
      </c>
      <c r="BO48" s="292">
        <f t="shared" si="138"/>
        <v>2094.8824747554431</v>
      </c>
      <c r="BP48" s="291">
        <f t="shared" si="138"/>
        <v>2163.0770075521673</v>
      </c>
      <c r="BQ48" s="291">
        <f t="shared" si="138"/>
        <v>2429.9337069430426</v>
      </c>
      <c r="BR48" s="291">
        <f t="shared" si="138"/>
        <v>2707.1147633303408</v>
      </c>
      <c r="BS48" s="292">
        <f t="shared" si="138"/>
        <v>2920.9192347888106</v>
      </c>
      <c r="BT48" s="291">
        <f t="shared" ref="BT48" si="139">BS51</f>
        <v>3108.439661861546</v>
      </c>
      <c r="BU48" s="291">
        <f t="shared" ref="BU48" si="140">BT51</f>
        <v>3357.4863955569049</v>
      </c>
      <c r="BV48" s="291">
        <f t="shared" ref="BV48" si="141">BU51</f>
        <v>3636.9823057250815</v>
      </c>
      <c r="BW48" s="292">
        <f t="shared" ref="BW48" si="142">BV51</f>
        <v>3874.3390963460861</v>
      </c>
      <c r="BX48" s="719"/>
      <c r="BY48" s="291">
        <f>D48</f>
        <v>53.357999999999997</v>
      </c>
      <c r="BZ48" s="291">
        <f>H48</f>
        <v>161.50599999999997</v>
      </c>
      <c r="CA48" s="291">
        <f>L48</f>
        <v>203.53899999999999</v>
      </c>
      <c r="CB48" s="291">
        <f>P48</f>
        <v>116.52200000000002</v>
      </c>
      <c r="CC48" s="291">
        <f>T48</f>
        <v>136.749</v>
      </c>
      <c r="CD48" s="291">
        <f>X48</f>
        <v>241.57699999999994</v>
      </c>
      <c r="CE48" s="291">
        <f>CD51</f>
        <v>225.10399999999998</v>
      </c>
      <c r="CF48" s="291">
        <f t="shared" ref="CF48:CP48" si="143">CE51</f>
        <v>364.22099999999989</v>
      </c>
      <c r="CG48" s="291">
        <f t="shared" si="143"/>
        <v>453.25699999999983</v>
      </c>
      <c r="CH48" s="291">
        <f t="shared" si="143"/>
        <v>410.08699999999988</v>
      </c>
      <c r="CI48" s="292">
        <f t="shared" si="143"/>
        <v>306.29299999999989</v>
      </c>
      <c r="CJ48" s="293">
        <f t="shared" si="143"/>
        <v>511.09999999999974</v>
      </c>
      <c r="CK48" s="291">
        <f t="shared" si="143"/>
        <v>805.79999999999973</v>
      </c>
      <c r="CL48" s="291">
        <f t="shared" si="143"/>
        <v>1043.5999999999999</v>
      </c>
      <c r="CM48" s="291">
        <f t="shared" si="143"/>
        <v>1083.8000000000002</v>
      </c>
      <c r="CN48" s="291">
        <f t="shared" si="143"/>
        <v>1616.8000000000002</v>
      </c>
      <c r="CO48" s="291">
        <f t="shared" si="143"/>
        <v>2163.0770075521677</v>
      </c>
      <c r="CP48" s="292">
        <f t="shared" si="143"/>
        <v>3108.4396618615465</v>
      </c>
      <c r="CQ48" s="952"/>
      <c r="CR48" s="293">
        <f>L51</f>
        <v>202.203</v>
      </c>
      <c r="CS48" s="291">
        <f>P51</f>
        <v>123.49200000000005</v>
      </c>
      <c r="CT48" s="291">
        <f>T51</f>
        <v>113.93200000000002</v>
      </c>
      <c r="CU48" s="291">
        <f>X51</f>
        <v>198.71399999999994</v>
      </c>
      <c r="CV48" s="291">
        <f t="shared" ref="CV48:DF48" si="144">CU51</f>
        <v>243.69500000000002</v>
      </c>
      <c r="CW48" s="291">
        <f t="shared" si="144"/>
        <v>396.32699999999994</v>
      </c>
      <c r="CX48" s="291">
        <f t="shared" si="144"/>
        <v>450.05399999999997</v>
      </c>
      <c r="CY48" s="291">
        <f t="shared" si="144"/>
        <v>445.63599999999991</v>
      </c>
      <c r="CZ48" s="291">
        <f t="shared" si="144"/>
        <v>377.53799999999995</v>
      </c>
      <c r="DA48" s="291">
        <f t="shared" si="144"/>
        <v>648.5999999999998</v>
      </c>
      <c r="DB48" s="291">
        <f t="shared" si="144"/>
        <v>1049.8999999999999</v>
      </c>
      <c r="DC48" s="291">
        <f t="shared" si="144"/>
        <v>1233.2</v>
      </c>
      <c r="DD48" s="291">
        <f t="shared" si="144"/>
        <v>1350.5000000000005</v>
      </c>
      <c r="DE48" s="291">
        <f t="shared" si="144"/>
        <v>1681.5000000000009</v>
      </c>
      <c r="DF48" s="292">
        <f t="shared" si="144"/>
        <v>2429.9337069430439</v>
      </c>
      <c r="DG48" s="248"/>
      <c r="DH48" s="248"/>
      <c r="DI48" s="248"/>
      <c r="DJ48" s="248"/>
      <c r="DK48"/>
      <c r="DL48"/>
      <c r="DM48"/>
      <c r="DN48"/>
      <c r="DO48"/>
      <c r="DP48"/>
      <c r="DQ48" s="109"/>
      <c r="DR48" s="109"/>
    </row>
    <row r="49" spans="1:122" s="281" customFormat="1" ht="15" hidden="1" outlineLevel="1">
      <c r="B49" s="255" t="s">
        <v>186</v>
      </c>
      <c r="C49" s="248"/>
      <c r="D49" s="288"/>
      <c r="E49" s="289"/>
      <c r="F49" s="289"/>
      <c r="G49" s="289"/>
      <c r="H49" s="288"/>
      <c r="I49" s="289">
        <v>87.500000000000128</v>
      </c>
      <c r="J49" s="289">
        <v>-10.600000000000136</v>
      </c>
      <c r="K49" s="289">
        <v>3.1339999999999861</v>
      </c>
      <c r="L49" s="288">
        <v>8.6999999999989086E-2</v>
      </c>
      <c r="M49" s="289">
        <v>4.7990000000000208</v>
      </c>
      <c r="N49" s="289"/>
      <c r="O49" s="289">
        <v>-84.92</v>
      </c>
      <c r="P49" s="288"/>
      <c r="Q49" s="289"/>
      <c r="R49" s="289"/>
      <c r="S49" s="289">
        <v>2.9999999998153726E-4</v>
      </c>
      <c r="T49" s="288"/>
      <c r="U49" s="289"/>
      <c r="V49" s="289"/>
      <c r="W49" s="289"/>
      <c r="X49" s="288"/>
      <c r="Y49" s="289"/>
      <c r="Z49" s="289"/>
      <c r="AA49" s="289"/>
      <c r="AB49" s="288"/>
      <c r="AC49" s="289"/>
      <c r="AD49" s="289"/>
      <c r="AE49" s="289">
        <v>-1.6950000000000001</v>
      </c>
      <c r="AF49" s="288"/>
      <c r="AG49" s="289"/>
      <c r="AH49" s="289"/>
      <c r="AI49" s="290"/>
      <c r="AJ49" s="470"/>
      <c r="AK49" s="289"/>
      <c r="AL49" s="289"/>
      <c r="AM49" s="136"/>
      <c r="AN49" s="470"/>
      <c r="AO49" s="289"/>
      <c r="AP49" s="151"/>
      <c r="AQ49" s="136"/>
      <c r="AR49" s="470"/>
      <c r="AS49" s="599">
        <v>0.813999999999794</v>
      </c>
      <c r="AT49" s="151"/>
      <c r="AU49" s="136"/>
      <c r="AV49" s="470"/>
      <c r="AW49" s="289">
        <v>0</v>
      </c>
      <c r="AX49" s="151"/>
      <c r="AY49" s="136"/>
      <c r="AZ49" s="470"/>
      <c r="BA49" s="289">
        <v>0</v>
      </c>
      <c r="BB49" s="151"/>
      <c r="BC49" s="136"/>
      <c r="BD49" s="470"/>
      <c r="BE49" s="289">
        <v>0</v>
      </c>
      <c r="BF49" s="151"/>
      <c r="BG49" s="136"/>
      <c r="BH49" s="470"/>
      <c r="BI49" s="289">
        <v>0</v>
      </c>
      <c r="BJ49" s="289"/>
      <c r="BK49" s="136"/>
      <c r="BL49" s="470"/>
      <c r="BM49" s="289"/>
      <c r="BN49" s="289"/>
      <c r="BO49" s="290"/>
      <c r="BP49" s="289"/>
      <c r="BQ49" s="289"/>
      <c r="BR49" s="289"/>
      <c r="BS49" s="290"/>
      <c r="BT49" s="289"/>
      <c r="BU49" s="289"/>
      <c r="BV49" s="289"/>
      <c r="BW49" s="290"/>
      <c r="BX49" s="719"/>
      <c r="BY49" s="289">
        <f>SUM(D49:G49)</f>
        <v>0</v>
      </c>
      <c r="BZ49" s="289">
        <f>SUM(H49:K49)</f>
        <v>80.033999999999978</v>
      </c>
      <c r="CA49" s="289">
        <f>SUM(L49:O49)</f>
        <v>-80.033999999999992</v>
      </c>
      <c r="CB49" s="289">
        <f>SUM(P49:S49)</f>
        <v>2.9999999998153726E-4</v>
      </c>
      <c r="CC49" s="289">
        <f>SUM(T49:W49)</f>
        <v>0</v>
      </c>
      <c r="CD49" s="289">
        <f>SUM(X49:AA49)</f>
        <v>0</v>
      </c>
      <c r="CE49" s="289">
        <f>SUM(AB49:AE49)</f>
        <v>-1.6950000000000001</v>
      </c>
      <c r="CF49" s="289">
        <f>SUM(AF49:AI49)</f>
        <v>0</v>
      </c>
      <c r="CG49" s="289">
        <f>SUM(AJ49:AM49)</f>
        <v>0</v>
      </c>
      <c r="CH49" s="289">
        <f>SUM(AN49:AQ49)</f>
        <v>0</v>
      </c>
      <c r="CI49" s="290">
        <f>SUM(AR49:AU49)</f>
        <v>0.813999999999794</v>
      </c>
      <c r="CJ49" s="288">
        <f>SUM(AV49:AY49)</f>
        <v>0</v>
      </c>
      <c r="CK49" s="289">
        <f>SUM(AZ49:BC49)</f>
        <v>0</v>
      </c>
      <c r="CL49" s="289">
        <f>SUM(BD49:BG49)</f>
        <v>0</v>
      </c>
      <c r="CM49" s="289">
        <f>SUM(BH49:BK49)</f>
        <v>0</v>
      </c>
      <c r="CN49" s="289">
        <f>SUM(BL49:BO49)</f>
        <v>0</v>
      </c>
      <c r="CO49" s="289">
        <f>SUM(BP49:BS49)</f>
        <v>0</v>
      </c>
      <c r="CP49" s="290">
        <f>SUM(BT49:BW49)</f>
        <v>0</v>
      </c>
      <c r="CQ49" s="952"/>
      <c r="CR49" s="275">
        <f>SUM(M49:P49)</f>
        <v>-80.120999999999981</v>
      </c>
      <c r="CS49" s="273">
        <f>SUM(Q49:T49)</f>
        <v>2.9999999998153726E-4</v>
      </c>
      <c r="CT49" s="273">
        <f>SUM(U49:X49)</f>
        <v>0</v>
      </c>
      <c r="CU49" s="273">
        <f>SUM(Y49:AB49)</f>
        <v>0</v>
      </c>
      <c r="CV49" s="273">
        <f>SUM(AC49:AF49)</f>
        <v>-1.6950000000000001</v>
      </c>
      <c r="CW49" s="273">
        <f>SUM(AG49:AJ49)</f>
        <v>0</v>
      </c>
      <c r="CX49" s="273">
        <f>SUM(AK49:AN49)</f>
        <v>0</v>
      </c>
      <c r="CY49" s="273">
        <f>SUM(AO49:AR49)</f>
        <v>0</v>
      </c>
      <c r="CZ49" s="273">
        <f>SUM(AS49:AV49)</f>
        <v>0.813999999999794</v>
      </c>
      <c r="DA49" s="273">
        <f>SUM(AW49:AZ49)</f>
        <v>0</v>
      </c>
      <c r="DB49" s="273">
        <f>SUM(BA49:BD49)</f>
        <v>0</v>
      </c>
      <c r="DC49" s="273">
        <f>SUM(BE49:BH49)</f>
        <v>0</v>
      </c>
      <c r="DD49" s="273">
        <f>SUM(BI49:BL49)</f>
        <v>0</v>
      </c>
      <c r="DE49" s="273">
        <f>SUM(BM49:BP49)</f>
        <v>0</v>
      </c>
      <c r="DF49" s="274">
        <f>SUM(BQ49:BT49)</f>
        <v>0</v>
      </c>
      <c r="DG49" s="248"/>
      <c r="DH49" s="248"/>
      <c r="DI49" s="248"/>
      <c r="DJ49" s="248"/>
      <c r="DK49"/>
      <c r="DL49"/>
      <c r="DM49"/>
      <c r="DN49"/>
      <c r="DO49"/>
      <c r="DP49"/>
      <c r="DQ49" s="109"/>
      <c r="DR49" s="109"/>
    </row>
    <row r="50" spans="1:122" s="281" customFormat="1" ht="15" collapsed="1">
      <c r="B50" s="282" t="s">
        <v>187</v>
      </c>
      <c r="C50" s="283"/>
      <c r="D50" s="293">
        <f t="shared" ref="D50:S50" si="145">D27+D34+D46</f>
        <v>40.905000000000015</v>
      </c>
      <c r="E50" s="291">
        <f t="shared" si="145"/>
        <v>-9.936000000000007</v>
      </c>
      <c r="F50" s="291">
        <f t="shared" si="145"/>
        <v>-19.104000000000006</v>
      </c>
      <c r="G50" s="291">
        <f t="shared" si="145"/>
        <v>96.282999999999987</v>
      </c>
      <c r="H50" s="293">
        <f t="shared" si="145"/>
        <v>14.74499999999999</v>
      </c>
      <c r="I50" s="291">
        <f t="shared" si="145"/>
        <v>-71.978000000000108</v>
      </c>
      <c r="J50" s="291">
        <f t="shared" si="145"/>
        <v>7.0140000000001876</v>
      </c>
      <c r="K50" s="291">
        <f t="shared" si="145"/>
        <v>12.217999999999993</v>
      </c>
      <c r="L50" s="293">
        <f t="shared" si="145"/>
        <v>-1.4229999999999778</v>
      </c>
      <c r="M50" s="291">
        <f t="shared" si="145"/>
        <v>-101.41700000000003</v>
      </c>
      <c r="N50" s="291">
        <f t="shared" si="145"/>
        <v>11.355000000000091</v>
      </c>
      <c r="O50" s="291">
        <f t="shared" si="145"/>
        <v>84.501999999999953</v>
      </c>
      <c r="P50" s="293">
        <f t="shared" si="145"/>
        <v>6.9700000000000299</v>
      </c>
      <c r="Q50" s="291">
        <f t="shared" si="145"/>
        <v>-6.7380000000000706</v>
      </c>
      <c r="R50" s="291">
        <f t="shared" si="145"/>
        <v>-24.51199999999988</v>
      </c>
      <c r="S50" s="291">
        <f t="shared" si="145"/>
        <v>44.506699999999917</v>
      </c>
      <c r="T50" s="293">
        <f>T27+T34+T46</f>
        <v>-22.816999999999982</v>
      </c>
      <c r="U50" s="291">
        <f>U27+U34+U46</f>
        <v>38.515000000000029</v>
      </c>
      <c r="V50" s="291">
        <f>V27+V34+V46</f>
        <v>0.7479999999999869</v>
      </c>
      <c r="W50" s="291">
        <f>W27+W34+W46</f>
        <v>88.381999999999891</v>
      </c>
      <c r="X50" s="293">
        <f t="shared" ref="X50:AJ50" si="146">X27+X34+X46</f>
        <v>-42.863</v>
      </c>
      <c r="Y50" s="291">
        <f t="shared" si="146"/>
        <v>23.442999999999987</v>
      </c>
      <c r="Z50" s="291">
        <f t="shared" si="146"/>
        <v>25.85799999999999</v>
      </c>
      <c r="AA50" s="291">
        <f t="shared" si="146"/>
        <v>-22.910999999999916</v>
      </c>
      <c r="AB50" s="293">
        <f t="shared" si="146"/>
        <v>18.591000000000008</v>
      </c>
      <c r="AC50" s="291">
        <f t="shared" si="146"/>
        <v>18.256000000000025</v>
      </c>
      <c r="AD50" s="291">
        <f t="shared" si="146"/>
        <v>40.552999999999983</v>
      </c>
      <c r="AE50" s="291">
        <f t="shared" si="146"/>
        <v>63.411999999999942</v>
      </c>
      <c r="AF50" s="293">
        <f t="shared" si="146"/>
        <v>32.106000000000002</v>
      </c>
      <c r="AG50" s="291">
        <f t="shared" si="146"/>
        <v>9.0830000000000055</v>
      </c>
      <c r="AH50" s="291">
        <f t="shared" si="146"/>
        <v>-21.586000000000013</v>
      </c>
      <c r="AI50" s="292">
        <f t="shared" si="146"/>
        <v>69.433000000000021</v>
      </c>
      <c r="AJ50" s="293">
        <f t="shared" si="146"/>
        <v>-3.2029999999999745</v>
      </c>
      <c r="AK50" s="291">
        <f t="shared" ref="AK50:AP50" si="147">AK27+AK34+AK46</f>
        <v>53.746999999999986</v>
      </c>
      <c r="AL50" s="291">
        <f t="shared" si="147"/>
        <v>-194.15599999999998</v>
      </c>
      <c r="AM50" s="292">
        <f t="shared" si="147"/>
        <v>100.44199999999996</v>
      </c>
      <c r="AN50" s="293">
        <f t="shared" si="147"/>
        <v>35.549000000000021</v>
      </c>
      <c r="AO50" s="291">
        <f t="shared" si="147"/>
        <v>-139.16199999999995</v>
      </c>
      <c r="AP50" s="291">
        <f t="shared" si="147"/>
        <v>20.624000000000006</v>
      </c>
      <c r="AQ50" s="292">
        <f t="shared" ref="AQ50:AV50" si="148">AQ27+AQ34+AQ46</f>
        <v>-20.804999999999964</v>
      </c>
      <c r="AR50" s="293">
        <f t="shared" si="148"/>
        <v>71.244999999999976</v>
      </c>
      <c r="AS50" s="291">
        <f t="shared" si="148"/>
        <v>80.447999999999965</v>
      </c>
      <c r="AT50" s="291">
        <f t="shared" si="148"/>
        <v>-58.5</v>
      </c>
      <c r="AU50" s="292">
        <f t="shared" si="148"/>
        <v>110.80000000000003</v>
      </c>
      <c r="AV50" s="293">
        <f t="shared" si="148"/>
        <v>137.5</v>
      </c>
      <c r="AW50" s="291">
        <f t="shared" ref="AW50:BC50" si="149">AW27+AW34+AW46</f>
        <v>149.19999999999999</v>
      </c>
      <c r="AX50" s="291">
        <f t="shared" si="149"/>
        <v>95.5</v>
      </c>
      <c r="AY50" s="292">
        <f t="shared" si="149"/>
        <v>-87.499999999999943</v>
      </c>
      <c r="AZ50" s="293">
        <f t="shared" si="149"/>
        <v>244.1</v>
      </c>
      <c r="BA50" s="291">
        <f t="shared" si="149"/>
        <v>4.3000000000000256</v>
      </c>
      <c r="BB50" s="291">
        <f t="shared" si="149"/>
        <v>51.800000000000047</v>
      </c>
      <c r="BC50" s="292">
        <f t="shared" si="149"/>
        <v>-62.400000000000091</v>
      </c>
      <c r="BD50" s="293">
        <f t="shared" ref="BD50:BO50" si="150">BD27+BD34+BD46</f>
        <v>189.6</v>
      </c>
      <c r="BE50" s="291">
        <f t="shared" si="150"/>
        <v>-55.699999999999989</v>
      </c>
      <c r="BF50" s="291">
        <f t="shared" si="150"/>
        <v>-203.79999999999984</v>
      </c>
      <c r="BG50" s="292">
        <f t="shared" si="150"/>
        <v>110.09999999999997</v>
      </c>
      <c r="BH50" s="293">
        <f>BH27+BH34+BH46</f>
        <v>266.69999999999993</v>
      </c>
      <c r="BI50" s="291">
        <f>BI27+BI34+BI46</f>
        <v>56.400000000000077</v>
      </c>
      <c r="BJ50" s="291">
        <f>BJ27+BJ34+BJ46</f>
        <v>37.099999999999966</v>
      </c>
      <c r="BK50" s="292">
        <f t="shared" ref="BK50" si="151">BK27+BK34+BK46</f>
        <v>172.8</v>
      </c>
      <c r="BL50" s="293">
        <f>BL27+BL34+BL46</f>
        <v>64.700000000000045</v>
      </c>
      <c r="BM50" s="291">
        <f t="shared" si="150"/>
        <v>246.77674268682333</v>
      </c>
      <c r="BN50" s="291">
        <f t="shared" si="150"/>
        <v>166.60573206862006</v>
      </c>
      <c r="BO50" s="292">
        <f t="shared" si="150"/>
        <v>68.194532796724133</v>
      </c>
      <c r="BP50" s="291">
        <f t="shared" ref="BP50:BW50" si="152">BP27+BP34+BP46</f>
        <v>266.85669939087529</v>
      </c>
      <c r="BQ50" s="291">
        <f t="shared" si="152"/>
        <v>277.1810563872981</v>
      </c>
      <c r="BR50" s="291">
        <f t="shared" si="152"/>
        <v>213.80447145847003</v>
      </c>
      <c r="BS50" s="292">
        <f t="shared" si="152"/>
        <v>187.52042707273537</v>
      </c>
      <c r="BT50" s="291">
        <f t="shared" si="152"/>
        <v>249.04673369535874</v>
      </c>
      <c r="BU50" s="291">
        <f t="shared" si="152"/>
        <v>279.49591016817664</v>
      </c>
      <c r="BV50" s="291">
        <f t="shared" si="152"/>
        <v>237.35679062100439</v>
      </c>
      <c r="BW50" s="292">
        <f t="shared" si="152"/>
        <v>215.82110484996107</v>
      </c>
      <c r="BX50" s="719"/>
      <c r="BY50" s="291">
        <f>BY27+BY34+BY46</f>
        <v>108.14799999999995</v>
      </c>
      <c r="BZ50" s="291">
        <f>BZ27+BZ34+BZ46</f>
        <v>-38.000999999999905</v>
      </c>
      <c r="CA50" s="291">
        <f>CA27+CA34+CA46</f>
        <v>-6.9829999999999757</v>
      </c>
      <c r="CB50" s="291">
        <f>CB27+CB34+CB46</f>
        <v>20.226700000000058</v>
      </c>
      <c r="CC50" s="291">
        <f>CC27+CC34+CC46</f>
        <v>104.82799999999997</v>
      </c>
      <c r="CD50" s="291">
        <f t="shared" ref="CD50:CJ50" si="153">CD27+CD34+CD46</f>
        <v>-16.472999999999956</v>
      </c>
      <c r="CE50" s="291">
        <f t="shared" si="153"/>
        <v>140.81199999999993</v>
      </c>
      <c r="CF50" s="291">
        <f t="shared" si="153"/>
        <v>89.035999999999973</v>
      </c>
      <c r="CG50" s="291">
        <f t="shared" si="153"/>
        <v>-43.169999999999987</v>
      </c>
      <c r="CH50" s="291">
        <f t="shared" si="153"/>
        <v>-103.79399999999998</v>
      </c>
      <c r="CI50" s="292">
        <f t="shared" si="153"/>
        <v>203.99300000000005</v>
      </c>
      <c r="CJ50" s="293">
        <f t="shared" si="153"/>
        <v>294.69999999999993</v>
      </c>
      <c r="CK50" s="291">
        <f t="shared" ref="CK50:CO50" si="154">CK27+CK34+CK46</f>
        <v>237.80000000000007</v>
      </c>
      <c r="CL50" s="291">
        <f t="shared" si="154"/>
        <v>40.200000000000159</v>
      </c>
      <c r="CM50" s="291">
        <f t="shared" si="154"/>
        <v>533</v>
      </c>
      <c r="CN50" s="291">
        <f t="shared" si="154"/>
        <v>546.27700755216745</v>
      </c>
      <c r="CO50" s="291">
        <f t="shared" si="154"/>
        <v>945.36265430937885</v>
      </c>
      <c r="CP50" s="292">
        <f t="shared" ref="CP50" si="155">CP27+CP34+CP46</f>
        <v>981.72053933450115</v>
      </c>
      <c r="CQ50" s="952"/>
      <c r="CR50" s="293">
        <f>CR27+CR34+CR46</f>
        <v>1.4099999999997761</v>
      </c>
      <c r="CS50" s="291">
        <f>CS27+CS34+CS46</f>
        <v>-9.560299999999927</v>
      </c>
      <c r="CT50" s="291">
        <f>CT27+CT34+CT46</f>
        <v>84.781999999999883</v>
      </c>
      <c r="CU50" s="291">
        <f t="shared" ref="CU50:CZ50" si="156">CU27+CU34+CU46</f>
        <v>44.98100000000008</v>
      </c>
      <c r="CV50" s="291">
        <f t="shared" si="156"/>
        <v>154.32699999999991</v>
      </c>
      <c r="CW50" s="291">
        <f t="shared" si="156"/>
        <v>53.727000000000018</v>
      </c>
      <c r="CX50" s="293">
        <f t="shared" si="156"/>
        <v>-4.4180000000000774</v>
      </c>
      <c r="CY50" s="291">
        <f t="shared" si="156"/>
        <v>-68.097999999999956</v>
      </c>
      <c r="CZ50" s="291">
        <f t="shared" si="156"/>
        <v>270.24800000000005</v>
      </c>
      <c r="DA50" s="293">
        <f t="shared" ref="DA50:DF50" si="157">DA27+DA34+DA46</f>
        <v>401.30000000000007</v>
      </c>
      <c r="DB50" s="291">
        <f t="shared" si="157"/>
        <v>183.30000000000018</v>
      </c>
      <c r="DC50" s="291">
        <f t="shared" si="157"/>
        <v>117.30000000000041</v>
      </c>
      <c r="DD50" s="291">
        <f t="shared" si="157"/>
        <v>331.00000000000034</v>
      </c>
      <c r="DE50" s="291">
        <f t="shared" si="157"/>
        <v>748.43370694304281</v>
      </c>
      <c r="DF50" s="292">
        <f t="shared" si="157"/>
        <v>927.55268861386219</v>
      </c>
      <c r="DG50" s="248"/>
      <c r="DH50" s="248"/>
      <c r="DI50" s="248"/>
      <c r="DJ50" s="248"/>
      <c r="DK50"/>
      <c r="DL50"/>
      <c r="DM50"/>
      <c r="DN50"/>
      <c r="DO50"/>
      <c r="DP50"/>
      <c r="DQ50" s="109"/>
      <c r="DR50" s="109"/>
    </row>
    <row r="51" spans="1:122" s="281" customFormat="1" ht="15">
      <c r="B51" s="294" t="s">
        <v>188</v>
      </c>
      <c r="C51" s="295"/>
      <c r="D51" s="296">
        <f t="shared" ref="D51:S51" si="158">D48+D49+D50</f>
        <v>94.263000000000005</v>
      </c>
      <c r="E51" s="297">
        <f t="shared" si="158"/>
        <v>84.326999999999998</v>
      </c>
      <c r="F51" s="297">
        <f t="shared" si="158"/>
        <v>65.222999999999985</v>
      </c>
      <c r="G51" s="297">
        <f t="shared" si="158"/>
        <v>161.50599999999997</v>
      </c>
      <c r="H51" s="296">
        <f t="shared" si="158"/>
        <v>176.25099999999998</v>
      </c>
      <c r="I51" s="297">
        <f t="shared" si="158"/>
        <v>191.77299999999997</v>
      </c>
      <c r="J51" s="297">
        <f t="shared" si="158"/>
        <v>188.18700000000001</v>
      </c>
      <c r="K51" s="297">
        <f t="shared" si="158"/>
        <v>203.53899999999999</v>
      </c>
      <c r="L51" s="296">
        <f t="shared" si="158"/>
        <v>202.203</v>
      </c>
      <c r="M51" s="297">
        <f t="shared" si="158"/>
        <v>105.58499999999998</v>
      </c>
      <c r="N51" s="297">
        <f t="shared" si="158"/>
        <v>116.94000000000007</v>
      </c>
      <c r="O51" s="297">
        <f t="shared" si="158"/>
        <v>116.52200000000002</v>
      </c>
      <c r="P51" s="296">
        <f t="shared" si="158"/>
        <v>123.49200000000005</v>
      </c>
      <c r="Q51" s="297">
        <f t="shared" si="158"/>
        <v>116.75399999999998</v>
      </c>
      <c r="R51" s="297">
        <f t="shared" si="158"/>
        <v>92.242000000000104</v>
      </c>
      <c r="S51" s="297">
        <f t="shared" si="158"/>
        <v>136.749</v>
      </c>
      <c r="T51" s="296">
        <f>T48+T49+T50</f>
        <v>113.93200000000002</v>
      </c>
      <c r="U51" s="297">
        <f>U48+U49+U50</f>
        <v>152.44700000000006</v>
      </c>
      <c r="V51" s="297">
        <f>V48+V49+V50</f>
        <v>153.19500000000005</v>
      </c>
      <c r="W51" s="297">
        <f>W48+W49+W50</f>
        <v>241.57699999999994</v>
      </c>
      <c r="X51" s="296">
        <f t="shared" ref="X51:AJ51" si="159">X48+X49+X50</f>
        <v>198.71399999999994</v>
      </c>
      <c r="Y51" s="297">
        <f t="shared" si="159"/>
        <v>222.15699999999993</v>
      </c>
      <c r="Z51" s="297">
        <f t="shared" si="159"/>
        <v>248.01499999999993</v>
      </c>
      <c r="AA51" s="297">
        <f t="shared" si="159"/>
        <v>225.10400000000001</v>
      </c>
      <c r="AB51" s="296">
        <f t="shared" si="159"/>
        <v>243.69500000000002</v>
      </c>
      <c r="AC51" s="297">
        <f t="shared" si="159"/>
        <v>261.95100000000002</v>
      </c>
      <c r="AD51" s="297">
        <f t="shared" si="159"/>
        <v>302.50400000000002</v>
      </c>
      <c r="AE51" s="297">
        <f t="shared" si="159"/>
        <v>364.22099999999995</v>
      </c>
      <c r="AF51" s="296">
        <f t="shared" si="159"/>
        <v>396.32699999999994</v>
      </c>
      <c r="AG51" s="297">
        <f t="shared" si="159"/>
        <v>405.40999999999997</v>
      </c>
      <c r="AH51" s="297">
        <f t="shared" si="159"/>
        <v>383.82399999999996</v>
      </c>
      <c r="AI51" s="297">
        <f t="shared" si="159"/>
        <v>453.25699999999995</v>
      </c>
      <c r="AJ51" s="296">
        <f t="shared" si="159"/>
        <v>450.05399999999997</v>
      </c>
      <c r="AK51" s="297">
        <f t="shared" ref="AK51:BB51" si="160">AK48+AK49+AK50</f>
        <v>503.80099999999993</v>
      </c>
      <c r="AL51" s="297">
        <f t="shared" si="160"/>
        <v>309.64499999999998</v>
      </c>
      <c r="AM51" s="298">
        <f t="shared" si="160"/>
        <v>410.08699999999993</v>
      </c>
      <c r="AN51" s="296">
        <f t="shared" si="160"/>
        <v>445.63599999999997</v>
      </c>
      <c r="AO51" s="297">
        <f t="shared" si="160"/>
        <v>306.47400000000005</v>
      </c>
      <c r="AP51" s="297">
        <f t="shared" si="160"/>
        <v>327.09800000000007</v>
      </c>
      <c r="AQ51" s="298">
        <f t="shared" si="160"/>
        <v>306.29300000000012</v>
      </c>
      <c r="AR51" s="296">
        <f t="shared" si="160"/>
        <v>377.53800000000012</v>
      </c>
      <c r="AS51" s="297">
        <f t="shared" si="160"/>
        <v>458.7999999999999</v>
      </c>
      <c r="AT51" s="297">
        <f t="shared" si="160"/>
        <v>400.2999999999999</v>
      </c>
      <c r="AU51" s="298">
        <f t="shared" si="160"/>
        <v>511.09999999999991</v>
      </c>
      <c r="AV51" s="296">
        <f t="shared" si="160"/>
        <v>648.59999999999991</v>
      </c>
      <c r="AW51" s="297">
        <f t="shared" si="160"/>
        <v>797.8</v>
      </c>
      <c r="AX51" s="297">
        <f t="shared" si="160"/>
        <v>893.3</v>
      </c>
      <c r="AY51" s="298">
        <f t="shared" si="160"/>
        <v>805.8</v>
      </c>
      <c r="AZ51" s="296">
        <f t="shared" si="160"/>
        <v>1049.8999999999999</v>
      </c>
      <c r="BA51" s="297">
        <f t="shared" si="160"/>
        <v>1054.1999999999998</v>
      </c>
      <c r="BB51" s="297">
        <f t="shared" si="160"/>
        <v>1105.9999999999998</v>
      </c>
      <c r="BC51" s="298">
        <f t="shared" ref="BC51:BO51" si="161">BC48+BC49+BC50</f>
        <v>1043.5999999999997</v>
      </c>
      <c r="BD51" s="296">
        <f t="shared" si="161"/>
        <v>1233.1999999999996</v>
      </c>
      <c r="BE51" s="297">
        <f t="shared" si="161"/>
        <v>1177.4999999999995</v>
      </c>
      <c r="BF51" s="297">
        <f t="shared" si="161"/>
        <v>973.6999999999997</v>
      </c>
      <c r="BG51" s="298">
        <f t="shared" si="161"/>
        <v>1083.7999999999997</v>
      </c>
      <c r="BH51" s="296">
        <f>BH48+BH49+BH50</f>
        <v>1350.4999999999995</v>
      </c>
      <c r="BI51" s="297">
        <f>BI48+BI49+BI50</f>
        <v>1406.8999999999996</v>
      </c>
      <c r="BJ51" s="297">
        <f>BJ48+BJ49+BJ50</f>
        <v>1443.9999999999995</v>
      </c>
      <c r="BK51" s="298">
        <f t="shared" ref="BK51" si="162">BK48+BK49+BK50</f>
        <v>1616.7999999999995</v>
      </c>
      <c r="BL51" s="296">
        <f>BL48+BL49+BL50</f>
        <v>1681.4999999999995</v>
      </c>
      <c r="BM51" s="297">
        <f t="shared" si="161"/>
        <v>1928.2767426868229</v>
      </c>
      <c r="BN51" s="297">
        <f t="shared" si="161"/>
        <v>2094.8824747554431</v>
      </c>
      <c r="BO51" s="298">
        <f t="shared" si="161"/>
        <v>2163.0770075521673</v>
      </c>
      <c r="BP51" s="297">
        <f t="shared" ref="BP51:BW51" si="163">BP48+BP49+BP50</f>
        <v>2429.9337069430426</v>
      </c>
      <c r="BQ51" s="297">
        <f t="shared" si="163"/>
        <v>2707.1147633303408</v>
      </c>
      <c r="BR51" s="297">
        <f t="shared" si="163"/>
        <v>2920.9192347888106</v>
      </c>
      <c r="BS51" s="298">
        <f t="shared" si="163"/>
        <v>3108.439661861546</v>
      </c>
      <c r="BT51" s="297">
        <f t="shared" si="163"/>
        <v>3357.4863955569049</v>
      </c>
      <c r="BU51" s="297">
        <f t="shared" si="163"/>
        <v>3636.9823057250815</v>
      </c>
      <c r="BV51" s="297">
        <f t="shared" si="163"/>
        <v>3874.3390963460861</v>
      </c>
      <c r="BW51" s="298">
        <f t="shared" si="163"/>
        <v>4090.1602011960472</v>
      </c>
      <c r="BX51" s="719"/>
      <c r="BY51" s="297">
        <f t="shared" ref="BY51:CD51" si="164">BY48+BY49+BY50</f>
        <v>161.50599999999994</v>
      </c>
      <c r="BZ51" s="297">
        <f t="shared" si="164"/>
        <v>203.53900000000004</v>
      </c>
      <c r="CA51" s="297">
        <f t="shared" si="164"/>
        <v>116.52200000000002</v>
      </c>
      <c r="CB51" s="297">
        <f t="shared" si="164"/>
        <v>136.74900000000005</v>
      </c>
      <c r="CC51" s="297">
        <f t="shared" si="164"/>
        <v>241.57699999999997</v>
      </c>
      <c r="CD51" s="297">
        <f t="shared" si="164"/>
        <v>225.10399999999998</v>
      </c>
      <c r="CE51" s="297">
        <f t="shared" ref="CE51:CN51" si="165">CE48+CE49+CE50</f>
        <v>364.22099999999989</v>
      </c>
      <c r="CF51" s="297">
        <f t="shared" si="165"/>
        <v>453.25699999999983</v>
      </c>
      <c r="CG51" s="297">
        <f t="shared" si="165"/>
        <v>410.08699999999988</v>
      </c>
      <c r="CH51" s="297">
        <f t="shared" si="165"/>
        <v>306.29299999999989</v>
      </c>
      <c r="CI51" s="298">
        <f t="shared" si="165"/>
        <v>511.09999999999974</v>
      </c>
      <c r="CJ51" s="296">
        <f t="shared" si="165"/>
        <v>805.79999999999973</v>
      </c>
      <c r="CK51" s="297">
        <f t="shared" si="165"/>
        <v>1043.5999999999999</v>
      </c>
      <c r="CL51" s="297">
        <f t="shared" si="165"/>
        <v>1083.8000000000002</v>
      </c>
      <c r="CM51" s="297">
        <f t="shared" si="165"/>
        <v>1616.8000000000002</v>
      </c>
      <c r="CN51" s="297">
        <f t="shared" si="165"/>
        <v>2163.0770075521677</v>
      </c>
      <c r="CO51" s="297">
        <f>CO48+CO49+CO50</f>
        <v>3108.4396618615465</v>
      </c>
      <c r="CP51" s="298">
        <f>CP48+CP49+CP50</f>
        <v>4090.1602011960476</v>
      </c>
      <c r="CQ51" s="952"/>
      <c r="CR51" s="296">
        <f>CR48+CR49+CR50</f>
        <v>123.49199999999979</v>
      </c>
      <c r="CS51" s="297">
        <f>CS48+CS49+CS50</f>
        <v>113.9320000000001</v>
      </c>
      <c r="CT51" s="297">
        <f>CT48+CT49+CT50</f>
        <v>198.71399999999988</v>
      </c>
      <c r="CU51" s="297">
        <f t="shared" ref="CU51:CZ51" si="166">CU48+CU49+CU50</f>
        <v>243.69500000000002</v>
      </c>
      <c r="CV51" s="297">
        <f t="shared" si="166"/>
        <v>396.32699999999994</v>
      </c>
      <c r="CW51" s="297">
        <f t="shared" si="166"/>
        <v>450.05399999999997</v>
      </c>
      <c r="CX51" s="296">
        <f t="shared" si="166"/>
        <v>445.63599999999991</v>
      </c>
      <c r="CY51" s="297">
        <f t="shared" si="166"/>
        <v>377.53799999999995</v>
      </c>
      <c r="CZ51" s="297">
        <f t="shared" si="166"/>
        <v>648.5999999999998</v>
      </c>
      <c r="DA51" s="296">
        <f t="shared" ref="DA51:DF51" si="167">DA48+DA49+DA50</f>
        <v>1049.8999999999999</v>
      </c>
      <c r="DB51" s="297">
        <f t="shared" si="167"/>
        <v>1233.2</v>
      </c>
      <c r="DC51" s="297">
        <f t="shared" si="167"/>
        <v>1350.5000000000005</v>
      </c>
      <c r="DD51" s="297">
        <f t="shared" si="167"/>
        <v>1681.5000000000009</v>
      </c>
      <c r="DE51" s="297">
        <f t="shared" si="167"/>
        <v>2429.9337069430439</v>
      </c>
      <c r="DF51" s="298">
        <f t="shared" si="167"/>
        <v>3357.4863955569062</v>
      </c>
      <c r="DG51" s="248"/>
      <c r="DH51" s="248"/>
      <c r="DI51" s="248"/>
      <c r="DJ51" s="248"/>
      <c r="DK51"/>
      <c r="DL51"/>
      <c r="DM51"/>
      <c r="DN51"/>
      <c r="DO51"/>
      <c r="DP51"/>
      <c r="DQ51" s="109"/>
      <c r="DR51" s="109"/>
    </row>
    <row r="52" spans="1:122" s="281" customFormat="1" ht="15">
      <c r="B52" s="283"/>
      <c r="C52" s="283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606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471"/>
      <c r="AK52" s="291"/>
      <c r="AL52" s="291"/>
      <c r="AM52" s="291"/>
      <c r="AN52" s="471"/>
      <c r="AO52" s="291"/>
      <c r="AP52" s="291"/>
      <c r="AQ52" s="291"/>
      <c r="AR52" s="471"/>
      <c r="AS52" s="291"/>
      <c r="AT52" s="291"/>
      <c r="AU52" s="291"/>
      <c r="AV52" s="471"/>
      <c r="AW52" s="291"/>
      <c r="AX52" s="291"/>
      <c r="AY52" s="291"/>
      <c r="AZ52" s="471"/>
      <c r="BA52" s="291"/>
      <c r="BB52" s="291"/>
      <c r="BC52" s="291"/>
      <c r="BD52" s="471"/>
      <c r="BE52" s="291"/>
      <c r="BF52" s="291"/>
      <c r="BG52" s="291"/>
      <c r="BH52" s="471"/>
      <c r="BI52" s="291"/>
      <c r="BJ52" s="291"/>
      <c r="BK52" s="291"/>
      <c r="BL52" s="471"/>
      <c r="BM52" s="291"/>
      <c r="BN52" s="291"/>
      <c r="BO52" s="291"/>
      <c r="BP52" s="471"/>
      <c r="BQ52" s="291"/>
      <c r="BR52" s="291"/>
      <c r="BS52" s="291"/>
      <c r="BT52" s="471"/>
      <c r="BU52" s="291"/>
      <c r="BV52" s="291"/>
      <c r="BW52" s="291"/>
      <c r="BX52" s="289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87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48"/>
      <c r="DH52" s="248"/>
      <c r="DI52" s="248"/>
      <c r="DJ52" s="248"/>
      <c r="DK52"/>
      <c r="DL52"/>
      <c r="DM52"/>
      <c r="DN52"/>
      <c r="DO52"/>
      <c r="DP52"/>
      <c r="DQ52" s="109"/>
      <c r="DR52" s="109"/>
    </row>
    <row r="53" spans="1:122" s="109" customFormat="1" ht="14.25">
      <c r="B53" s="209" t="s">
        <v>157</v>
      </c>
      <c r="C53" s="210"/>
      <c r="D53" s="211">
        <f>BS!D8</f>
        <v>94.263000000000005</v>
      </c>
      <c r="E53" s="211">
        <f>BS!E8</f>
        <v>84.326999999999998</v>
      </c>
      <c r="F53" s="211">
        <f>BS!F8</f>
        <v>65.222999999999999</v>
      </c>
      <c r="G53" s="234">
        <f>BS!G8</f>
        <v>161.506</v>
      </c>
      <c r="H53" s="211">
        <f>BS!H8</f>
        <v>176.251</v>
      </c>
      <c r="I53" s="211">
        <f>BS!I8</f>
        <v>191.773</v>
      </c>
      <c r="J53" s="211">
        <f>BS!J8</f>
        <v>188.18700000000001</v>
      </c>
      <c r="K53" s="234">
        <f>BS!K8</f>
        <v>203.53899999999999</v>
      </c>
      <c r="L53" s="474">
        <f>BS!L8</f>
        <v>202.203</v>
      </c>
      <c r="M53" s="211">
        <f>BS!M8</f>
        <v>105.58499999999999</v>
      </c>
      <c r="N53" s="211">
        <f>BS!N8</f>
        <v>116.94</v>
      </c>
      <c r="O53" s="234">
        <f>BS!O8</f>
        <v>116.52200000000001</v>
      </c>
      <c r="P53" s="211">
        <f>BS!P8</f>
        <v>123.492</v>
      </c>
      <c r="Q53" s="211">
        <f>BS!Q8</f>
        <v>116.754</v>
      </c>
      <c r="R53" s="211">
        <f>BS!R8</f>
        <v>92.242000000000004</v>
      </c>
      <c r="S53" s="607">
        <f>BS!S8</f>
        <v>136.749</v>
      </c>
      <c r="T53" s="211">
        <f>BS!T8</f>
        <v>113.932</v>
      </c>
      <c r="U53" s="211">
        <f>BS!U8</f>
        <v>152.447</v>
      </c>
      <c r="V53" s="211">
        <f>BS!V8</f>
        <v>153.19499999999999</v>
      </c>
      <c r="W53" s="234">
        <f>BS!W8</f>
        <v>241.577</v>
      </c>
      <c r="X53" s="211">
        <f>BS!X8</f>
        <v>198.714</v>
      </c>
      <c r="Y53" s="211">
        <f>BS!Y8</f>
        <v>222.15700000000001</v>
      </c>
      <c r="Z53" s="211">
        <f>BS!Z8</f>
        <v>248.01499999999999</v>
      </c>
      <c r="AA53" s="234">
        <f>BS!AA8</f>
        <v>225.10400000000001</v>
      </c>
      <c r="AB53" s="211">
        <f>BS!AB8</f>
        <v>243.69499999999999</v>
      </c>
      <c r="AC53" s="211">
        <f>BS!AC8</f>
        <v>261.95100000000002</v>
      </c>
      <c r="AD53" s="211">
        <f>BS!AD8</f>
        <v>302.50400000000002</v>
      </c>
      <c r="AE53" s="211">
        <f>BS!AE8</f>
        <v>364.221</v>
      </c>
      <c r="AF53" s="213">
        <f>BS!AF8</f>
        <v>396.327</v>
      </c>
      <c r="AG53" s="211">
        <f>BS!AG8</f>
        <v>405.41</v>
      </c>
      <c r="AH53" s="211">
        <f>BS!AH8</f>
        <v>383.82400000000001</v>
      </c>
      <c r="AI53" s="212">
        <f>BS!AI8</f>
        <v>453.25700000000001</v>
      </c>
      <c r="AJ53" s="474">
        <f>BS!AJ8</f>
        <v>450.05399999999997</v>
      </c>
      <c r="AK53" s="211">
        <f>BS!AK8</f>
        <v>503.80099999999999</v>
      </c>
      <c r="AL53" s="211">
        <f>BS!AL8</f>
        <v>309.64499999999998</v>
      </c>
      <c r="AM53" s="212">
        <f>BS!AM8</f>
        <v>410.08699999999999</v>
      </c>
      <c r="AN53" s="474">
        <f>BS!AN8</f>
        <v>445.63600000000002</v>
      </c>
      <c r="AO53" s="211">
        <f>BS!AO8</f>
        <v>306.47399999999999</v>
      </c>
      <c r="AP53" s="211">
        <f>BS!AP8</f>
        <v>327.09800000000001</v>
      </c>
      <c r="AQ53" s="212">
        <f>BS!AQ8</f>
        <v>306.29300000000001</v>
      </c>
      <c r="AR53" s="474">
        <f>BS!AR8</f>
        <v>377.53800000000001</v>
      </c>
      <c r="AS53" s="474">
        <f>BS!AS8</f>
        <v>458.8</v>
      </c>
      <c r="AT53" s="211">
        <f>BS!AT8</f>
        <v>400.3</v>
      </c>
      <c r="AU53" s="212">
        <f>BS!AU8</f>
        <v>511.1</v>
      </c>
      <c r="AV53" s="474">
        <f>BS!AV8</f>
        <v>648.6</v>
      </c>
      <c r="AW53" s="474">
        <f>BS!AW8</f>
        <v>797.8</v>
      </c>
      <c r="AX53" s="211">
        <f>BS!AX8</f>
        <v>893.3</v>
      </c>
      <c r="AY53" s="212">
        <f>BS!AY8</f>
        <v>805.8</v>
      </c>
      <c r="AZ53" s="474">
        <f>BS!AZ8</f>
        <v>1049.9000000000001</v>
      </c>
      <c r="BA53" s="474">
        <f>BS!BA8</f>
        <v>1054.2</v>
      </c>
      <c r="BB53" s="211">
        <f>BS!BB8</f>
        <v>1106</v>
      </c>
      <c r="BC53" s="212">
        <f>BS!BC8</f>
        <v>1043.5999999999999</v>
      </c>
      <c r="BD53" s="474">
        <f>BS!BD8</f>
        <v>1233.2</v>
      </c>
      <c r="BE53" s="474">
        <f>BS!BE8</f>
        <v>1177.5</v>
      </c>
      <c r="BF53" s="211">
        <f>BS!BF8</f>
        <v>973.7</v>
      </c>
      <c r="BG53" s="212">
        <f>BS!BG8</f>
        <v>1083.8</v>
      </c>
      <c r="BH53" s="474">
        <f>BS!BH8</f>
        <v>1350.5</v>
      </c>
      <c r="BI53" s="474">
        <f>BS!BI8</f>
        <v>1406.9</v>
      </c>
      <c r="BJ53" s="211">
        <f>BS!BJ8</f>
        <v>1444</v>
      </c>
      <c r="BK53" s="212">
        <f>BS!BK8</f>
        <v>1616.8</v>
      </c>
      <c r="BL53" s="474">
        <f>BS!BL8</f>
        <v>1681.5</v>
      </c>
      <c r="BM53" s="474">
        <f>BS!BM8</f>
        <v>1928.2767426868234</v>
      </c>
      <c r="BN53" s="211">
        <f>BS!BN8</f>
        <v>2094.8824747554436</v>
      </c>
      <c r="BO53" s="212">
        <f>BS!BO8</f>
        <v>2163.0770075521677</v>
      </c>
      <c r="BP53" s="474">
        <f>BS!BP8</f>
        <v>2429.933706943043</v>
      </c>
      <c r="BQ53" s="474">
        <f>BS!BQ8</f>
        <v>2707.1147633303412</v>
      </c>
      <c r="BR53" s="211">
        <f>BS!BR8</f>
        <v>2920.9192347888111</v>
      </c>
      <c r="BS53" s="212">
        <f>BS!BS8</f>
        <v>3108.4396618615465</v>
      </c>
      <c r="BT53" s="474">
        <f>BS!BT8</f>
        <v>3357.4863955569053</v>
      </c>
      <c r="BU53" s="474">
        <f>BS!BU8</f>
        <v>3636.9823057250819</v>
      </c>
      <c r="BV53" s="211">
        <f>BS!BV8</f>
        <v>3874.3390963460861</v>
      </c>
      <c r="BW53" s="212">
        <f>BS!BW8</f>
        <v>4090.1602011960472</v>
      </c>
      <c r="BX53" s="481"/>
      <c r="BY53" s="211">
        <f>BS!BY8</f>
        <v>161.506</v>
      </c>
      <c r="BZ53" s="211">
        <f>BS!BZ8</f>
        <v>203.53899999999999</v>
      </c>
      <c r="CA53" s="211">
        <f>BS!CA8</f>
        <v>116.52200000000001</v>
      </c>
      <c r="CB53" s="211">
        <f>BS!CB8</f>
        <v>136.749</v>
      </c>
      <c r="CC53" s="211">
        <f>BS!CC8</f>
        <v>241.577</v>
      </c>
      <c r="CD53" s="211">
        <f>BS!CD8</f>
        <v>225.10400000000001</v>
      </c>
      <c r="CE53" s="211">
        <f>BS!CE8</f>
        <v>364.221</v>
      </c>
      <c r="CF53" s="211">
        <f>BS!CF8</f>
        <v>453.25700000000001</v>
      </c>
      <c r="CG53" s="211">
        <f>BS!CG8</f>
        <v>410.08699999999999</v>
      </c>
      <c r="CH53" s="211">
        <f>BS!CH8</f>
        <v>306.29300000000001</v>
      </c>
      <c r="CI53" s="211">
        <f>BS!CI8</f>
        <v>511.1</v>
      </c>
      <c r="CJ53" s="211">
        <f>BS!CJ8</f>
        <v>805.8</v>
      </c>
      <c r="CK53" s="211">
        <f>BS!CK8</f>
        <v>1043.5999999999999</v>
      </c>
      <c r="CL53" s="211">
        <f>BS!CL8</f>
        <v>1083.8</v>
      </c>
      <c r="CM53" s="211">
        <f>BS!CM8</f>
        <v>1616.8</v>
      </c>
      <c r="CN53" s="211">
        <f>BS!CN8</f>
        <v>2163.0770075521677</v>
      </c>
      <c r="CO53" s="211">
        <f>BS!CO8</f>
        <v>3108.4396618615465</v>
      </c>
      <c r="CP53" s="212">
        <f>BS!CP8</f>
        <v>4090.1602011960472</v>
      </c>
      <c r="CQ53" s="215"/>
      <c r="CR53" s="236">
        <f>BS!CR8</f>
        <v>123.492</v>
      </c>
      <c r="CS53" s="245">
        <f>BS!CS8</f>
        <v>113.932</v>
      </c>
      <c r="CT53" s="245">
        <f>BS!CT8</f>
        <v>198.714</v>
      </c>
      <c r="CU53" s="245">
        <f>BS!CU8</f>
        <v>243.69499999999999</v>
      </c>
      <c r="CV53" s="245">
        <f>BS!CV8</f>
        <v>396.327</v>
      </c>
      <c r="CW53" s="245">
        <f>BS!CW8</f>
        <v>450.05399999999997</v>
      </c>
      <c r="CX53" s="245">
        <f>BS!CX8</f>
        <v>445.63600000000002</v>
      </c>
      <c r="CY53" s="245">
        <f>BS!CY8</f>
        <v>377.53800000000001</v>
      </c>
      <c r="CZ53" s="245">
        <f>BS!CZ8</f>
        <v>648.6</v>
      </c>
      <c r="DA53" s="245">
        <f>BS!DA8</f>
        <v>1049.9000000000001</v>
      </c>
      <c r="DB53" s="245">
        <f>BS!DB8</f>
        <v>1233.2</v>
      </c>
      <c r="DC53" s="245">
        <f>BS!DC8</f>
        <v>1350.5</v>
      </c>
      <c r="DD53" s="245">
        <f>BS!DD8</f>
        <v>1681.5</v>
      </c>
      <c r="DE53" s="245">
        <f>BS!DE8</f>
        <v>2429.933706943043</v>
      </c>
      <c r="DF53" s="234">
        <f>BS!DF8</f>
        <v>3357.4863955569053</v>
      </c>
      <c r="DG53" s="110"/>
      <c r="DH53" s="110"/>
      <c r="DI53" s="110"/>
      <c r="DJ53" s="110"/>
      <c r="DK53"/>
      <c r="DL53"/>
      <c r="DM53"/>
      <c r="DN53"/>
      <c r="DO53"/>
      <c r="DP53"/>
    </row>
    <row r="54" spans="1:122" s="7" customFormat="1" ht="14.25">
      <c r="A54" s="3"/>
      <c r="B54" s="163" t="s">
        <v>135</v>
      </c>
      <c r="C54" s="164"/>
      <c r="D54" s="165">
        <f t="shared" ref="D54:S54" si="168">D53-D51</f>
        <v>0</v>
      </c>
      <c r="E54" s="165">
        <f t="shared" si="168"/>
        <v>0</v>
      </c>
      <c r="F54" s="165">
        <f t="shared" si="168"/>
        <v>0</v>
      </c>
      <c r="G54" s="166">
        <f t="shared" si="168"/>
        <v>0</v>
      </c>
      <c r="H54" s="165">
        <f t="shared" si="168"/>
        <v>0</v>
      </c>
      <c r="I54" s="165">
        <f t="shared" si="168"/>
        <v>0</v>
      </c>
      <c r="J54" s="165">
        <f t="shared" si="168"/>
        <v>0</v>
      </c>
      <c r="K54" s="166">
        <f t="shared" si="168"/>
        <v>0</v>
      </c>
      <c r="L54" s="165">
        <f t="shared" si="168"/>
        <v>0</v>
      </c>
      <c r="M54" s="165">
        <f t="shared" si="168"/>
        <v>0</v>
      </c>
      <c r="N54" s="165">
        <f t="shared" si="168"/>
        <v>0</v>
      </c>
      <c r="O54" s="166">
        <f t="shared" si="168"/>
        <v>0</v>
      </c>
      <c r="P54" s="165">
        <f t="shared" si="168"/>
        <v>0</v>
      </c>
      <c r="Q54" s="165">
        <f t="shared" si="168"/>
        <v>0</v>
      </c>
      <c r="R54" s="165">
        <f t="shared" si="168"/>
        <v>0</v>
      </c>
      <c r="S54" s="166">
        <f t="shared" si="168"/>
        <v>0</v>
      </c>
      <c r="T54" s="165">
        <f>T53-T51</f>
        <v>0</v>
      </c>
      <c r="U54" s="165">
        <f>U53-U51</f>
        <v>0</v>
      </c>
      <c r="V54" s="165">
        <f>V53-V51</f>
        <v>0</v>
      </c>
      <c r="W54" s="166">
        <f>W53-W51</f>
        <v>0</v>
      </c>
      <c r="X54" s="165">
        <f t="shared" ref="X54:AJ54" si="169">X53-X51</f>
        <v>0</v>
      </c>
      <c r="Y54" s="165">
        <f t="shared" si="169"/>
        <v>0</v>
      </c>
      <c r="Z54" s="165">
        <f t="shared" si="169"/>
        <v>0</v>
      </c>
      <c r="AA54" s="166">
        <f t="shared" si="169"/>
        <v>0</v>
      </c>
      <c r="AB54" s="165">
        <f t="shared" si="169"/>
        <v>0</v>
      </c>
      <c r="AC54" s="165">
        <f t="shared" si="169"/>
        <v>0</v>
      </c>
      <c r="AD54" s="165">
        <f t="shared" si="169"/>
        <v>0</v>
      </c>
      <c r="AE54" s="165">
        <f t="shared" si="169"/>
        <v>0</v>
      </c>
      <c r="AF54" s="167">
        <f t="shared" si="169"/>
        <v>0</v>
      </c>
      <c r="AG54" s="165">
        <f t="shared" si="169"/>
        <v>0</v>
      </c>
      <c r="AH54" s="165">
        <f t="shared" si="169"/>
        <v>0</v>
      </c>
      <c r="AI54" s="166">
        <f t="shared" si="169"/>
        <v>0</v>
      </c>
      <c r="AJ54" s="165">
        <f t="shared" si="169"/>
        <v>0</v>
      </c>
      <c r="AK54" s="165">
        <f t="shared" ref="AK54:BB54" si="170">AK53-AK51</f>
        <v>0</v>
      </c>
      <c r="AL54" s="165">
        <f t="shared" si="170"/>
        <v>0</v>
      </c>
      <c r="AM54" s="166">
        <f t="shared" si="170"/>
        <v>0</v>
      </c>
      <c r="AN54" s="165">
        <f t="shared" si="170"/>
        <v>0</v>
      </c>
      <c r="AO54" s="165">
        <f t="shared" si="170"/>
        <v>0</v>
      </c>
      <c r="AP54" s="165">
        <f t="shared" si="170"/>
        <v>0</v>
      </c>
      <c r="AQ54" s="166">
        <f t="shared" si="170"/>
        <v>0</v>
      </c>
      <c r="AR54" s="165">
        <f t="shared" si="170"/>
        <v>0</v>
      </c>
      <c r="AS54" s="165">
        <f t="shared" si="170"/>
        <v>0</v>
      </c>
      <c r="AT54" s="165">
        <f t="shared" si="170"/>
        <v>0</v>
      </c>
      <c r="AU54" s="166">
        <f t="shared" si="170"/>
        <v>0</v>
      </c>
      <c r="AV54" s="165">
        <f t="shared" si="170"/>
        <v>0</v>
      </c>
      <c r="AW54" s="165">
        <f t="shared" si="170"/>
        <v>0</v>
      </c>
      <c r="AX54" s="165">
        <f t="shared" si="170"/>
        <v>0</v>
      </c>
      <c r="AY54" s="166">
        <f t="shared" si="170"/>
        <v>0</v>
      </c>
      <c r="AZ54" s="165">
        <f t="shared" si="170"/>
        <v>0</v>
      </c>
      <c r="BA54" s="165">
        <f t="shared" si="170"/>
        <v>0</v>
      </c>
      <c r="BB54" s="165">
        <f t="shared" si="170"/>
        <v>0</v>
      </c>
      <c r="BC54" s="166">
        <f t="shared" ref="BC54:BO54" si="171">BC53-BC51</f>
        <v>0</v>
      </c>
      <c r="BD54" s="165">
        <f t="shared" si="171"/>
        <v>0</v>
      </c>
      <c r="BE54" s="165">
        <f t="shared" si="171"/>
        <v>0</v>
      </c>
      <c r="BF54" s="165">
        <f t="shared" si="171"/>
        <v>0</v>
      </c>
      <c r="BG54" s="166">
        <f t="shared" si="171"/>
        <v>0</v>
      </c>
      <c r="BH54" s="165">
        <f>BH53-BH51</f>
        <v>0</v>
      </c>
      <c r="BI54" s="165">
        <f>BI53-BI51</f>
        <v>0</v>
      </c>
      <c r="BJ54" s="165">
        <f>BJ53-BJ51</f>
        <v>0</v>
      </c>
      <c r="BK54" s="166">
        <f t="shared" ref="BK54" si="172">BK53-BK51</f>
        <v>0</v>
      </c>
      <c r="BL54" s="165">
        <f>BL53-BL51</f>
        <v>0</v>
      </c>
      <c r="BM54" s="165">
        <f t="shared" si="171"/>
        <v>0</v>
      </c>
      <c r="BN54" s="165">
        <f t="shared" si="171"/>
        <v>0</v>
      </c>
      <c r="BO54" s="166">
        <f t="shared" si="171"/>
        <v>0</v>
      </c>
      <c r="BP54" s="165">
        <f t="shared" ref="BP54:BW54" si="173">BP53-BP51</f>
        <v>0</v>
      </c>
      <c r="BQ54" s="165">
        <f t="shared" si="173"/>
        <v>0</v>
      </c>
      <c r="BR54" s="165">
        <f t="shared" si="173"/>
        <v>0</v>
      </c>
      <c r="BS54" s="166">
        <f t="shared" si="173"/>
        <v>0</v>
      </c>
      <c r="BT54" s="165">
        <f t="shared" si="173"/>
        <v>0</v>
      </c>
      <c r="BU54" s="165">
        <f t="shared" si="173"/>
        <v>0</v>
      </c>
      <c r="BV54" s="165">
        <f t="shared" si="173"/>
        <v>0</v>
      </c>
      <c r="BW54" s="166">
        <f t="shared" si="173"/>
        <v>0</v>
      </c>
      <c r="BX54" s="482"/>
      <c r="BY54" s="165">
        <f t="shared" ref="BY54:CD54" si="174">BY53-BY51</f>
        <v>0</v>
      </c>
      <c r="BZ54" s="165">
        <f t="shared" si="174"/>
        <v>0</v>
      </c>
      <c r="CA54" s="165">
        <f t="shared" si="174"/>
        <v>0</v>
      </c>
      <c r="CB54" s="165">
        <f t="shared" si="174"/>
        <v>0</v>
      </c>
      <c r="CC54" s="165">
        <f t="shared" si="174"/>
        <v>0</v>
      </c>
      <c r="CD54" s="165">
        <f t="shared" si="174"/>
        <v>0</v>
      </c>
      <c r="CE54" s="165">
        <f t="shared" ref="CE54:CN54" si="175">CE53-CE51</f>
        <v>0</v>
      </c>
      <c r="CF54" s="165">
        <f t="shared" si="175"/>
        <v>0</v>
      </c>
      <c r="CG54" s="165">
        <f t="shared" si="175"/>
        <v>0</v>
      </c>
      <c r="CH54" s="165">
        <f t="shared" si="175"/>
        <v>0</v>
      </c>
      <c r="CI54" s="165">
        <f t="shared" si="175"/>
        <v>0</v>
      </c>
      <c r="CJ54" s="165">
        <f t="shared" si="175"/>
        <v>0</v>
      </c>
      <c r="CK54" s="165">
        <f t="shared" si="175"/>
        <v>0</v>
      </c>
      <c r="CL54" s="165">
        <f>CL53-CL51</f>
        <v>0</v>
      </c>
      <c r="CM54" s="165">
        <f t="shared" si="175"/>
        <v>0</v>
      </c>
      <c r="CN54" s="165">
        <f t="shared" si="175"/>
        <v>0</v>
      </c>
      <c r="CO54" s="165">
        <f>CO53-CO51</f>
        <v>0</v>
      </c>
      <c r="CP54" s="166">
        <f>CP53-CP51</f>
        <v>0</v>
      </c>
      <c r="CQ54" s="131"/>
      <c r="CR54" s="365">
        <f>CR53-CR51</f>
        <v>2.1316282072803006E-13</v>
      </c>
      <c r="CS54" s="366">
        <f>CS53-CS51</f>
        <v>0</v>
      </c>
      <c r="CT54" s="366">
        <f>CT53-CT51</f>
        <v>0</v>
      </c>
      <c r="CU54" s="366">
        <f t="shared" ref="CU54:CZ54" si="176">CU53-CU51</f>
        <v>0</v>
      </c>
      <c r="CV54" s="366">
        <f t="shared" si="176"/>
        <v>0</v>
      </c>
      <c r="CW54" s="366">
        <f t="shared" si="176"/>
        <v>0</v>
      </c>
      <c r="CX54" s="366">
        <f t="shared" si="176"/>
        <v>0</v>
      </c>
      <c r="CY54" s="366">
        <f t="shared" si="176"/>
        <v>0</v>
      </c>
      <c r="CZ54" s="366">
        <f t="shared" si="176"/>
        <v>0</v>
      </c>
      <c r="DA54" s="366">
        <f t="shared" ref="DA54:DF54" si="177">DA53-DA51</f>
        <v>0</v>
      </c>
      <c r="DB54" s="366">
        <f t="shared" si="177"/>
        <v>0</v>
      </c>
      <c r="DC54" s="366">
        <f t="shared" si="177"/>
        <v>0</v>
      </c>
      <c r="DD54" s="366">
        <f t="shared" si="177"/>
        <v>0</v>
      </c>
      <c r="DE54" s="366">
        <f t="shared" si="177"/>
        <v>0</v>
      </c>
      <c r="DF54" s="359">
        <f t="shared" si="177"/>
        <v>0</v>
      </c>
      <c r="DG54" s="102"/>
      <c r="DH54" s="102"/>
      <c r="DI54" s="102"/>
      <c r="DJ54" s="100"/>
      <c r="DK54"/>
      <c r="DL54"/>
      <c r="DM54"/>
      <c r="DN54"/>
      <c r="DO54"/>
      <c r="DP54"/>
      <c r="DQ54" s="101"/>
      <c r="DR54" s="101"/>
    </row>
    <row r="55" spans="1:122" s="281" customFormat="1" ht="15">
      <c r="B55" s="299"/>
      <c r="C55" s="299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300"/>
      <c r="BC55" s="300"/>
      <c r="BD55" s="300"/>
      <c r="BE55" s="300"/>
      <c r="BF55" s="300"/>
      <c r="BG55" s="300"/>
      <c r="BH55" s="300"/>
      <c r="BI55" s="300"/>
      <c r="BJ55" s="300"/>
      <c r="BK55" s="300"/>
      <c r="BL55" s="300"/>
      <c r="BM55" s="300"/>
      <c r="BN55" s="300"/>
      <c r="BO55" s="300"/>
      <c r="BP55" s="300"/>
      <c r="BQ55" s="300"/>
      <c r="BR55" s="300"/>
      <c r="BS55" s="300"/>
      <c r="BT55" s="300"/>
      <c r="BU55" s="300"/>
      <c r="BV55" s="300"/>
      <c r="BW55" s="300"/>
      <c r="BX55" s="300"/>
      <c r="BY55" s="300"/>
      <c r="BZ55" s="300"/>
      <c r="CA55" s="300"/>
      <c r="CB55" s="300"/>
      <c r="CC55" s="300"/>
      <c r="CD55" s="300"/>
      <c r="CE55" s="300"/>
      <c r="CF55" s="300"/>
      <c r="CG55" s="300"/>
      <c r="CH55" s="300"/>
      <c r="CI55" s="300"/>
      <c r="CJ55" s="300"/>
      <c r="CK55" s="300"/>
      <c r="CL55" s="300"/>
      <c r="CM55" s="300"/>
      <c r="CN55" s="300"/>
      <c r="CO55" s="300"/>
      <c r="CP55" s="300"/>
      <c r="CQ55" s="287"/>
      <c r="CR55" s="300"/>
      <c r="CS55" s="300"/>
      <c r="CT55" s="300"/>
      <c r="CU55" s="300"/>
      <c r="CV55" s="300"/>
      <c r="CW55" s="300"/>
      <c r="CX55" s="300"/>
      <c r="CY55" s="300"/>
      <c r="CZ55" s="300"/>
      <c r="DA55" s="300"/>
      <c r="DB55" s="300"/>
      <c r="DC55" s="300"/>
      <c r="DD55" s="300"/>
      <c r="DE55" s="300"/>
      <c r="DF55" s="300"/>
      <c r="DG55" s="248"/>
      <c r="DH55" s="248"/>
      <c r="DI55" s="248"/>
      <c r="DJ55" s="248"/>
      <c r="DK55"/>
      <c r="DL55"/>
      <c r="DM55"/>
      <c r="DN55"/>
      <c r="DO55"/>
      <c r="DP55"/>
      <c r="DQ55" s="109"/>
      <c r="DR55" s="109"/>
    </row>
    <row r="56" spans="1:122" s="109" customFormat="1" ht="15">
      <c r="B56" s="170" t="s">
        <v>189</v>
      </c>
      <c r="C56" s="171"/>
      <c r="D56" s="11" t="str">
        <f t="shared" ref="D56:AI56" si="178">D6</f>
        <v>F1Q03A</v>
      </c>
      <c r="E56" s="12" t="str">
        <f t="shared" si="178"/>
        <v>F2Q03A</v>
      </c>
      <c r="F56" s="12" t="str">
        <f t="shared" si="178"/>
        <v>F3Q03A</v>
      </c>
      <c r="G56" s="13" t="str">
        <f t="shared" si="178"/>
        <v>F4Q03A</v>
      </c>
      <c r="H56" s="11" t="str">
        <f t="shared" si="178"/>
        <v>F1Q04A</v>
      </c>
      <c r="I56" s="12" t="str">
        <f t="shared" si="178"/>
        <v>F2Q04A</v>
      </c>
      <c r="J56" s="12" t="str">
        <f t="shared" si="178"/>
        <v>F3Q04A</v>
      </c>
      <c r="K56" s="13" t="str">
        <f t="shared" si="178"/>
        <v>F4Q04A</v>
      </c>
      <c r="L56" s="11" t="str">
        <f t="shared" si="178"/>
        <v>F1Q05A</v>
      </c>
      <c r="M56" s="12" t="str">
        <f t="shared" si="178"/>
        <v>F2Q05A</v>
      </c>
      <c r="N56" s="12" t="str">
        <f t="shared" si="178"/>
        <v>F3Q05A</v>
      </c>
      <c r="O56" s="13" t="str">
        <f t="shared" si="178"/>
        <v>F4Q05A</v>
      </c>
      <c r="P56" s="11" t="str">
        <f t="shared" si="178"/>
        <v>F1Q06A</v>
      </c>
      <c r="Q56" s="12" t="str">
        <f t="shared" si="178"/>
        <v>F2Q06A</v>
      </c>
      <c r="R56" s="12" t="str">
        <f t="shared" si="178"/>
        <v>F3Q06A</v>
      </c>
      <c r="S56" s="13" t="str">
        <f t="shared" si="178"/>
        <v>F4Q06A</v>
      </c>
      <c r="T56" s="11" t="str">
        <f t="shared" si="178"/>
        <v>F1Q07A</v>
      </c>
      <c r="U56" s="12" t="str">
        <f t="shared" si="178"/>
        <v>F2Q07A</v>
      </c>
      <c r="V56" s="12" t="str">
        <f t="shared" si="178"/>
        <v>F3Q07A</v>
      </c>
      <c r="W56" s="13" t="str">
        <f t="shared" si="178"/>
        <v>F4Q07A</v>
      </c>
      <c r="X56" s="11" t="str">
        <f t="shared" si="178"/>
        <v>F1Q08A</v>
      </c>
      <c r="Y56" s="12" t="str">
        <f t="shared" si="178"/>
        <v>F2Q08A</v>
      </c>
      <c r="Z56" s="12" t="str">
        <f t="shared" si="178"/>
        <v>F3Q08A</v>
      </c>
      <c r="AA56" s="13" t="str">
        <f t="shared" si="178"/>
        <v>F4Q08A</v>
      </c>
      <c r="AB56" s="12" t="str">
        <f t="shared" si="178"/>
        <v>F1Q09A</v>
      </c>
      <c r="AC56" s="12" t="str">
        <f t="shared" si="178"/>
        <v>F2Q09A</v>
      </c>
      <c r="AD56" s="12" t="str">
        <f t="shared" si="178"/>
        <v>F3Q09A</v>
      </c>
      <c r="AE56" s="13" t="str">
        <f t="shared" si="178"/>
        <v>F4Q09A</v>
      </c>
      <c r="AF56" s="12" t="str">
        <f t="shared" si="178"/>
        <v>F1Q10A</v>
      </c>
      <c r="AG56" s="12" t="str">
        <f t="shared" si="178"/>
        <v>F2Q10A</v>
      </c>
      <c r="AH56" s="12" t="str">
        <f t="shared" si="178"/>
        <v>F3Q10A</v>
      </c>
      <c r="AI56" s="13" t="str">
        <f t="shared" si="178"/>
        <v>F4Q10A</v>
      </c>
      <c r="AJ56" s="12" t="str">
        <f t="shared" ref="AJ56:BO56" si="179">AJ6</f>
        <v>F1Q11A</v>
      </c>
      <c r="AK56" s="12" t="str">
        <f t="shared" si="179"/>
        <v>F2Q11A</v>
      </c>
      <c r="AL56" s="12" t="str">
        <f t="shared" si="179"/>
        <v>F3Q11A</v>
      </c>
      <c r="AM56" s="13" t="str">
        <f t="shared" si="179"/>
        <v>F4Q11A</v>
      </c>
      <c r="AN56" s="12" t="str">
        <f t="shared" si="179"/>
        <v>F1Q12A</v>
      </c>
      <c r="AO56" s="12" t="str">
        <f t="shared" si="179"/>
        <v>F2Q12A</v>
      </c>
      <c r="AP56" s="12" t="str">
        <f t="shared" si="179"/>
        <v>F3Q12A</v>
      </c>
      <c r="AQ56" s="13" t="str">
        <f t="shared" si="179"/>
        <v>F4Q12A</v>
      </c>
      <c r="AR56" s="12" t="str">
        <f t="shared" si="179"/>
        <v>F1Q13A</v>
      </c>
      <c r="AS56" s="12" t="str">
        <f t="shared" si="179"/>
        <v>F2Q13A</v>
      </c>
      <c r="AT56" s="12" t="str">
        <f t="shared" si="179"/>
        <v>F3Q13A</v>
      </c>
      <c r="AU56" s="13" t="str">
        <f t="shared" si="179"/>
        <v>F4Q13A</v>
      </c>
      <c r="AV56" s="12" t="str">
        <f t="shared" si="179"/>
        <v>F1Q14A</v>
      </c>
      <c r="AW56" s="12" t="str">
        <f t="shared" si="179"/>
        <v>F2Q14A</v>
      </c>
      <c r="AX56" s="12" t="str">
        <f t="shared" si="179"/>
        <v>F3Q14A</v>
      </c>
      <c r="AY56" s="13" t="str">
        <f t="shared" si="179"/>
        <v>F4Q14A</v>
      </c>
      <c r="AZ56" s="12" t="str">
        <f t="shared" si="179"/>
        <v>F1Q15A</v>
      </c>
      <c r="BA56" s="12" t="str">
        <f t="shared" si="179"/>
        <v>F2Q15A</v>
      </c>
      <c r="BB56" s="12" t="str">
        <f t="shared" si="179"/>
        <v>F3Q15A</v>
      </c>
      <c r="BC56" s="13" t="str">
        <f t="shared" si="179"/>
        <v>F4Q15A</v>
      </c>
      <c r="BD56" s="12" t="str">
        <f t="shared" si="179"/>
        <v>F1Q16A</v>
      </c>
      <c r="BE56" s="12" t="str">
        <f>BE6</f>
        <v>F2Q16A</v>
      </c>
      <c r="BF56" s="12" t="str">
        <f>BF6</f>
        <v>F3Q16A</v>
      </c>
      <c r="BG56" s="13" t="str">
        <f>BG6</f>
        <v>F4Q16A</v>
      </c>
      <c r="BH56" s="12" t="str">
        <f>BH6</f>
        <v>F1Q17A</v>
      </c>
      <c r="BI56" s="12" t="str">
        <f t="shared" si="179"/>
        <v>F2Q17A</v>
      </c>
      <c r="BJ56" s="12" t="str">
        <f t="shared" si="179"/>
        <v>F3Q17A</v>
      </c>
      <c r="BK56" s="13" t="str">
        <f t="shared" si="179"/>
        <v>F4Q17A</v>
      </c>
      <c r="BL56" s="12" t="str">
        <f t="shared" si="179"/>
        <v>F1Q18A</v>
      </c>
      <c r="BM56" s="12" t="str">
        <f t="shared" si="179"/>
        <v>F2Q18E</v>
      </c>
      <c r="BN56" s="12" t="str">
        <f t="shared" si="179"/>
        <v>F3Q18E</v>
      </c>
      <c r="BO56" s="878" t="str">
        <f t="shared" si="179"/>
        <v>F4Q18E</v>
      </c>
      <c r="BP56" s="877" t="str">
        <f t="shared" ref="BP56:BW56" si="180">BP6</f>
        <v>F1Q19E</v>
      </c>
      <c r="BQ56" s="878" t="str">
        <f t="shared" si="180"/>
        <v>F2Q19E</v>
      </c>
      <c r="BR56" s="878" t="str">
        <f t="shared" si="180"/>
        <v>F3Q19E</v>
      </c>
      <c r="BS56" s="879" t="str">
        <f t="shared" si="180"/>
        <v>F4Q19E</v>
      </c>
      <c r="BT56" s="878" t="str">
        <f t="shared" si="180"/>
        <v>F1Q20E</v>
      </c>
      <c r="BU56" s="878" t="str">
        <f t="shared" si="180"/>
        <v>F2Q20E</v>
      </c>
      <c r="BV56" s="878" t="str">
        <f t="shared" si="180"/>
        <v>F3Q20E</v>
      </c>
      <c r="BW56" s="879" t="str">
        <f t="shared" si="180"/>
        <v>F4Q20E</v>
      </c>
      <c r="BX56" s="252"/>
      <c r="BY56" s="11" t="e">
        <f>BY6</f>
        <v>#NAME?</v>
      </c>
      <c r="BZ56" s="12" t="e">
        <f>BZ6</f>
        <v>#NAME?</v>
      </c>
      <c r="CA56" s="12" t="e">
        <f t="shared" ref="CA56:CN56" si="181">CA6</f>
        <v>#NAME?</v>
      </c>
      <c r="CB56" s="12" t="e">
        <f t="shared" si="181"/>
        <v>#NAME?</v>
      </c>
      <c r="CC56" s="12" t="e">
        <f t="shared" si="181"/>
        <v>#NAME?</v>
      </c>
      <c r="CD56" s="12" t="e">
        <f t="shared" si="181"/>
        <v>#NAME?</v>
      </c>
      <c r="CE56" s="12" t="e">
        <f t="shared" si="181"/>
        <v>#NAME?</v>
      </c>
      <c r="CF56" s="12" t="e">
        <f t="shared" si="181"/>
        <v>#NAME?</v>
      </c>
      <c r="CG56" s="12" t="e">
        <f t="shared" si="181"/>
        <v>#NAME?</v>
      </c>
      <c r="CH56" s="12" t="e">
        <f t="shared" si="181"/>
        <v>#NAME?</v>
      </c>
      <c r="CI56" s="12" t="str">
        <f t="shared" si="181"/>
        <v>FY2013A</v>
      </c>
      <c r="CJ56" s="11" t="str">
        <f t="shared" si="181"/>
        <v>FY2014A</v>
      </c>
      <c r="CK56" s="12" t="str">
        <f t="shared" si="181"/>
        <v>FY2015A</v>
      </c>
      <c r="CL56" s="12" t="str">
        <f t="shared" si="181"/>
        <v>FY2016A</v>
      </c>
      <c r="CM56" s="12" t="str">
        <f t="shared" si="181"/>
        <v>FY2017A</v>
      </c>
      <c r="CN56" s="12" t="str">
        <f t="shared" si="181"/>
        <v>FY2018E</v>
      </c>
      <c r="CO56" s="878" t="str">
        <f>CO6</f>
        <v>FY2019E</v>
      </c>
      <c r="CP56" s="13" t="str">
        <f>CP6</f>
        <v>FY2020E</v>
      </c>
      <c r="CQ56" s="215"/>
      <c r="CR56" s="11" t="str">
        <f t="shared" ref="CR56:DD56" si="182">CR5</f>
        <v>CY2005</v>
      </c>
      <c r="CS56" s="11" t="str">
        <f t="shared" si="182"/>
        <v>CY2006</v>
      </c>
      <c r="CT56" s="11" t="str">
        <f t="shared" si="182"/>
        <v>CY2007</v>
      </c>
      <c r="CU56" s="11" t="str">
        <f t="shared" si="182"/>
        <v>CY2008</v>
      </c>
      <c r="CV56" s="12" t="str">
        <f t="shared" si="182"/>
        <v>CY2009</v>
      </c>
      <c r="CW56" s="12" t="str">
        <f t="shared" si="182"/>
        <v>CY2010</v>
      </c>
      <c r="CX56" s="12" t="str">
        <f t="shared" si="182"/>
        <v>CY2011</v>
      </c>
      <c r="CY56" s="12" t="str">
        <f t="shared" si="182"/>
        <v>CY2012</v>
      </c>
      <c r="CZ56" s="12" t="str">
        <f t="shared" si="182"/>
        <v>CY2013</v>
      </c>
      <c r="DA56" s="12" t="str">
        <f t="shared" si="182"/>
        <v>CY2014</v>
      </c>
      <c r="DB56" s="12" t="str">
        <f t="shared" si="182"/>
        <v>CY2015</v>
      </c>
      <c r="DC56" s="12" t="str">
        <f t="shared" si="182"/>
        <v>CY2016</v>
      </c>
      <c r="DD56" s="878" t="str">
        <f t="shared" si="182"/>
        <v>CY2017</v>
      </c>
      <c r="DE56" s="878" t="str">
        <f>DE5</f>
        <v>CY2018</v>
      </c>
      <c r="DF56" s="879" t="str">
        <f>DF5</f>
        <v>CY2019</v>
      </c>
      <c r="DG56" s="110"/>
      <c r="DH56" s="110"/>
      <c r="DI56" s="110"/>
      <c r="DJ56" s="110"/>
      <c r="DK56"/>
      <c r="DL56"/>
      <c r="DM56"/>
      <c r="DN56"/>
      <c r="DO56"/>
      <c r="DP56"/>
    </row>
    <row r="57" spans="1:122" s="109" customFormat="1" ht="14.25">
      <c r="B57" s="457" t="s">
        <v>190</v>
      </c>
      <c r="C57" s="508"/>
      <c r="D57" s="346">
        <f t="shared" ref="D57:AI57" si="183">-D30</f>
        <v>13.932</v>
      </c>
      <c r="E57" s="348">
        <f t="shared" si="183"/>
        <v>12.645999999999999</v>
      </c>
      <c r="F57" s="348">
        <f t="shared" si="183"/>
        <v>6.3260000000000023</v>
      </c>
      <c r="G57" s="348">
        <f t="shared" si="183"/>
        <v>7.3899999999999952</v>
      </c>
      <c r="H57" s="346">
        <f t="shared" si="183"/>
        <v>13.85</v>
      </c>
      <c r="I57" s="348">
        <f t="shared" si="183"/>
        <v>10.860000000000001</v>
      </c>
      <c r="J57" s="348">
        <f t="shared" si="183"/>
        <v>18.650999999999996</v>
      </c>
      <c r="K57" s="348">
        <f t="shared" si="183"/>
        <v>16.637</v>
      </c>
      <c r="L57" s="346">
        <f t="shared" si="183"/>
        <v>10.039999999999999</v>
      </c>
      <c r="M57" s="348">
        <f t="shared" si="183"/>
        <v>6.98</v>
      </c>
      <c r="N57" s="348">
        <f t="shared" si="183"/>
        <v>10.619</v>
      </c>
      <c r="O57" s="348">
        <f t="shared" si="183"/>
        <v>10.495999999999999</v>
      </c>
      <c r="P57" s="346">
        <f t="shared" si="183"/>
        <v>13.632999999999999</v>
      </c>
      <c r="Q57" s="348">
        <f t="shared" si="183"/>
        <v>12.427</v>
      </c>
      <c r="R57" s="348">
        <f t="shared" si="183"/>
        <v>10.641999999999999</v>
      </c>
      <c r="S57" s="348">
        <f t="shared" si="183"/>
        <v>12.657</v>
      </c>
      <c r="T57" s="346">
        <f t="shared" si="183"/>
        <v>6.2839999999999998</v>
      </c>
      <c r="U57" s="348">
        <f t="shared" si="183"/>
        <v>11.293000000000003</v>
      </c>
      <c r="V57" s="348">
        <f t="shared" si="183"/>
        <v>12.988</v>
      </c>
      <c r="W57" s="348">
        <f t="shared" si="183"/>
        <v>12.030999999999995</v>
      </c>
      <c r="X57" s="346">
        <f t="shared" si="183"/>
        <v>19.902999999999999</v>
      </c>
      <c r="Y57" s="348">
        <f t="shared" si="183"/>
        <v>17.512999999999998</v>
      </c>
      <c r="Z57" s="348">
        <f t="shared" si="183"/>
        <v>14.43</v>
      </c>
      <c r="AA57" s="348">
        <f t="shared" si="183"/>
        <v>12.985999999999997</v>
      </c>
      <c r="AB57" s="346">
        <f t="shared" si="183"/>
        <v>12.98</v>
      </c>
      <c r="AC57" s="348">
        <f t="shared" si="183"/>
        <v>5.7139999999999986</v>
      </c>
      <c r="AD57" s="348">
        <f t="shared" si="183"/>
        <v>5.5680000000000014</v>
      </c>
      <c r="AE57" s="348">
        <f t="shared" si="183"/>
        <v>14.91</v>
      </c>
      <c r="AF57" s="346">
        <f t="shared" si="183"/>
        <v>14.679</v>
      </c>
      <c r="AG57" s="348">
        <f t="shared" si="183"/>
        <v>19.580999999999996</v>
      </c>
      <c r="AH57" s="348">
        <f t="shared" si="183"/>
        <v>25.349000000000004</v>
      </c>
      <c r="AI57" s="382">
        <f t="shared" si="183"/>
        <v>29.32</v>
      </c>
      <c r="AJ57" s="348">
        <f t="shared" ref="AJ57:BD57" si="184">-AJ30</f>
        <v>33.039000000000001</v>
      </c>
      <c r="AK57" s="348">
        <f t="shared" si="184"/>
        <v>32.241</v>
      </c>
      <c r="AL57" s="349">
        <f t="shared" si="184"/>
        <v>20.090999999999994</v>
      </c>
      <c r="AM57" s="307">
        <f t="shared" si="184"/>
        <v>15.289000000000001</v>
      </c>
      <c r="AN57" s="348">
        <f t="shared" si="184"/>
        <v>6.4240000000000004</v>
      </c>
      <c r="AO57" s="348">
        <f t="shared" si="184"/>
        <v>25.773000000000003</v>
      </c>
      <c r="AP57" s="348">
        <f t="shared" si="184"/>
        <v>31.140999999999998</v>
      </c>
      <c r="AQ57" s="307">
        <f t="shared" si="184"/>
        <v>30.791000000000004</v>
      </c>
      <c r="AR57" s="348">
        <f t="shared" si="184"/>
        <v>26.422999999999998</v>
      </c>
      <c r="AS57" s="348">
        <f t="shared" si="184"/>
        <v>25.577000000000002</v>
      </c>
      <c r="AT57" s="348">
        <f t="shared" si="184"/>
        <v>33.400000000000006</v>
      </c>
      <c r="AU57" s="307">
        <f t="shared" si="184"/>
        <v>38.399999999999991</v>
      </c>
      <c r="AV57" s="348">
        <f t="shared" si="184"/>
        <v>16.3</v>
      </c>
      <c r="AW57" s="348">
        <f t="shared" si="184"/>
        <v>41.900000000000006</v>
      </c>
      <c r="AX57" s="348">
        <f t="shared" si="184"/>
        <v>67.5</v>
      </c>
      <c r="AY57" s="307">
        <f t="shared" si="184"/>
        <v>82.899999999999991</v>
      </c>
      <c r="AZ57" s="348">
        <f t="shared" si="184"/>
        <v>87.2</v>
      </c>
      <c r="BA57" s="348">
        <f t="shared" si="184"/>
        <v>83.999999999999986</v>
      </c>
      <c r="BB57" s="348">
        <f t="shared" si="184"/>
        <v>108.10000000000001</v>
      </c>
      <c r="BC57" s="307">
        <f t="shared" si="184"/>
        <v>150.80000000000001</v>
      </c>
      <c r="BD57" s="348">
        <f t="shared" si="184"/>
        <v>79.5</v>
      </c>
      <c r="BE57" s="348">
        <f t="shared" ref="BE57:BJ57" si="185">-BE30</f>
        <v>37.400000000000006</v>
      </c>
      <c r="BF57" s="348">
        <f t="shared" si="185"/>
        <v>57.199999999999989</v>
      </c>
      <c r="BG57" s="307">
        <f t="shared" si="185"/>
        <v>15.200000000000017</v>
      </c>
      <c r="BH57" s="348">
        <f t="shared" si="185"/>
        <v>50.1</v>
      </c>
      <c r="BI57" s="348">
        <f t="shared" si="185"/>
        <v>54.9</v>
      </c>
      <c r="BJ57" s="348">
        <f t="shared" si="185"/>
        <v>113</v>
      </c>
      <c r="BK57" s="382">
        <f t="shared" ref="BK57" si="186">-BK30</f>
        <v>85.300000000000011</v>
      </c>
      <c r="BL57" s="349">
        <f>IS!BL8*CFS!BL58</f>
        <v>78.892499999999998</v>
      </c>
      <c r="BM57" s="348">
        <f>IS!BM8*CFS!BM58</f>
        <v>90.271428250000014</v>
      </c>
      <c r="BN57" s="349">
        <f>IS!BN8*CFS!BN58</f>
        <v>86.811900083750018</v>
      </c>
      <c r="BO57" s="349">
        <f>IS!BO8*CFS!BO58</f>
        <v>103.16292427112504</v>
      </c>
      <c r="BP57" s="926">
        <f>IS!BP8*CFS!BP58</f>
        <v>80.558389301380799</v>
      </c>
      <c r="BQ57" s="348">
        <f>IS!BQ8*CFS!BQ58</f>
        <v>73.351431729451747</v>
      </c>
      <c r="BR57" s="349">
        <f>IS!BR8*CFS!BR58</f>
        <v>73.373200328632507</v>
      </c>
      <c r="BS57" s="307">
        <f>IS!BS8*CFS!BS58</f>
        <v>78.922959605091236</v>
      </c>
      <c r="BT57" s="349">
        <f>IS!BT8*CFS!BT58</f>
        <v>82.253073775842466</v>
      </c>
      <c r="BU57" s="348">
        <f>IS!BU8*CFS!BU58</f>
        <v>77.785096382942854</v>
      </c>
      <c r="BV57" s="349">
        <f>IS!BV8*CFS!BV58</f>
        <v>78.79732884244126</v>
      </c>
      <c r="BW57" s="307">
        <f>IS!BW8*CFS!BW58</f>
        <v>85.20834936219606</v>
      </c>
      <c r="BX57" s="481"/>
      <c r="BY57" s="346">
        <f>-BY30</f>
        <v>40.293999999999997</v>
      </c>
      <c r="BZ57" s="348">
        <f>-BZ30</f>
        <v>59.997999999999998</v>
      </c>
      <c r="CA57" s="348">
        <f t="shared" ref="CA57:CN57" si="187">-CA30</f>
        <v>38.134999999999998</v>
      </c>
      <c r="CB57" s="348">
        <f t="shared" si="187"/>
        <v>49.358999999999995</v>
      </c>
      <c r="CC57" s="348">
        <f t="shared" si="187"/>
        <v>42.595999999999997</v>
      </c>
      <c r="CD57" s="348">
        <f t="shared" si="187"/>
        <v>64.831999999999994</v>
      </c>
      <c r="CE57" s="348">
        <f t="shared" si="187"/>
        <v>39.171999999999997</v>
      </c>
      <c r="CF57" s="348">
        <f t="shared" si="187"/>
        <v>88.929000000000002</v>
      </c>
      <c r="CG57" s="348">
        <f t="shared" si="187"/>
        <v>100.66</v>
      </c>
      <c r="CH57" s="348">
        <f t="shared" si="187"/>
        <v>94.129000000000005</v>
      </c>
      <c r="CI57" s="348">
        <f t="shared" si="187"/>
        <v>123.8</v>
      </c>
      <c r="CJ57" s="348">
        <f t="shared" si="187"/>
        <v>208.6</v>
      </c>
      <c r="CK57" s="348">
        <f t="shared" si="187"/>
        <v>430.1</v>
      </c>
      <c r="CL57" s="348">
        <f t="shared" si="187"/>
        <v>189.3</v>
      </c>
      <c r="CM57" s="348">
        <f t="shared" si="187"/>
        <v>303.3</v>
      </c>
      <c r="CN57" s="348">
        <f t="shared" si="187"/>
        <v>308.4462526048751</v>
      </c>
      <c r="CO57" s="348">
        <f>-CO30</f>
        <v>306.20598096455632</v>
      </c>
      <c r="CP57" s="307">
        <f>-CP30</f>
        <v>324.04384836342263</v>
      </c>
      <c r="CQ57" s="215"/>
      <c r="CR57" s="348">
        <f t="shared" ref="CR57:DD57" si="188">-CR30</f>
        <v>41.727999999999994</v>
      </c>
      <c r="CS57" s="348">
        <f t="shared" si="188"/>
        <v>42.01</v>
      </c>
      <c r="CT57" s="348">
        <f t="shared" si="188"/>
        <v>56.214999999999996</v>
      </c>
      <c r="CU57" s="348">
        <f t="shared" si="188"/>
        <v>57.908999999999992</v>
      </c>
      <c r="CV57" s="348">
        <f t="shared" si="188"/>
        <v>40.871000000000002</v>
      </c>
      <c r="CW57" s="348">
        <f t="shared" si="188"/>
        <v>107.289</v>
      </c>
      <c r="CX57" s="348">
        <f t="shared" si="188"/>
        <v>74.045000000000002</v>
      </c>
      <c r="CY57" s="348">
        <f t="shared" si="188"/>
        <v>114.12800000000001</v>
      </c>
      <c r="CZ57" s="348">
        <f t="shared" si="188"/>
        <v>113.67699999999999</v>
      </c>
      <c r="DA57" s="348">
        <f t="shared" si="188"/>
        <v>279.5</v>
      </c>
      <c r="DB57" s="348">
        <f t="shared" si="188"/>
        <v>422.4</v>
      </c>
      <c r="DC57" s="348">
        <f t="shared" si="188"/>
        <v>159.9</v>
      </c>
      <c r="DD57" s="348">
        <f t="shared" si="188"/>
        <v>281.40000000000003</v>
      </c>
      <c r="DE57" s="348">
        <f>-DE30</f>
        <v>360.80464190625582</v>
      </c>
      <c r="DF57" s="382">
        <f>-DF30</f>
        <v>307.90066543901798</v>
      </c>
      <c r="DG57" s="110"/>
      <c r="DH57" s="110"/>
      <c r="DI57" s="110"/>
      <c r="DJ57" s="110"/>
      <c r="DK57"/>
      <c r="DL57"/>
      <c r="DM57"/>
      <c r="DN57"/>
      <c r="DO57"/>
      <c r="DP57"/>
    </row>
    <row r="58" spans="1:122" s="109" customFormat="1" ht="14.25">
      <c r="B58" s="19" t="s">
        <v>4</v>
      </c>
      <c r="C58" s="306"/>
      <c r="D58" s="309">
        <f>D57/IS!D8</f>
        <v>8.6969549421326647E-2</v>
      </c>
      <c r="E58" s="310">
        <f>E57/IS!E8</f>
        <v>8.0361454970641302E-2</v>
      </c>
      <c r="F58" s="310">
        <f>F57/IS!F8</f>
        <v>4.211745750637489E-2</v>
      </c>
      <c r="G58" s="310">
        <f>G57/IS!G8</f>
        <v>4.9256158686146918E-2</v>
      </c>
      <c r="H58" s="309">
        <f>H57/IS!H8</f>
        <v>7.909404481805514E-2</v>
      </c>
      <c r="I58" s="310">
        <f>I57/IS!I8</f>
        <v>5.9191915888614555E-2</v>
      </c>
      <c r="J58" s="310">
        <f>J57/IS!J8</f>
        <v>8.9937649787584908E-2</v>
      </c>
      <c r="K58" s="310">
        <f>K57/IS!K8</f>
        <v>7.629306589259266E-2</v>
      </c>
      <c r="L58" s="309">
        <f>L57/IS!L8</f>
        <v>4.5603197674418602E-2</v>
      </c>
      <c r="M58" s="310">
        <f>M57/IS!M8</f>
        <v>6.6107875171662653E-2</v>
      </c>
      <c r="N58" s="310">
        <f>N57/IS!N8</f>
        <v>5.5442432596119702E-2</v>
      </c>
      <c r="O58" s="310">
        <f>O57/IS!O8</f>
        <v>3.8154230917431864E-2</v>
      </c>
      <c r="P58" s="309">
        <f>P57/IS!P8</f>
        <v>6.8740703390898772E-2</v>
      </c>
      <c r="Q58" s="310">
        <f>Q57/IS!Q8</f>
        <v>6.7088115572735016E-2</v>
      </c>
      <c r="R58" s="310">
        <f>R57/IS!R8</f>
        <v>5.4004404794527498E-2</v>
      </c>
      <c r="S58" s="310">
        <f>S57/IS!S8</f>
        <v>6.5535149353036518E-2</v>
      </c>
      <c r="T58" s="309">
        <f>T57/IS!T8</f>
        <v>3.20563179105239E-2</v>
      </c>
      <c r="U58" s="310">
        <f>U57/IS!U8</f>
        <v>6.2665778813606354E-2</v>
      </c>
      <c r="V58" s="310">
        <f>V57/IS!V8</f>
        <v>7.4195944015995427E-2</v>
      </c>
      <c r="W58" s="310">
        <f>W57/IS!W8</f>
        <v>6.3170109317735521E-2</v>
      </c>
      <c r="X58" s="309">
        <f>X57/IS!X8</f>
        <v>9.4536248474110948E-2</v>
      </c>
      <c r="Y58" s="310">
        <f>Y57/IS!Y8</f>
        <v>8.6823527078747492E-2</v>
      </c>
      <c r="Z58" s="310">
        <f>Z57/IS!Z8</f>
        <v>6.7050787602806555E-2</v>
      </c>
      <c r="AA58" s="310">
        <f>AA57/IS!AA8</f>
        <v>5.5837912678551441E-2</v>
      </c>
      <c r="AB58" s="309">
        <f>AB57/IS!AB8</f>
        <v>6.1742489107064709E-2</v>
      </c>
      <c r="AC58" s="310">
        <f>AC57/IS!AC8</f>
        <v>3.3030811029539267E-2</v>
      </c>
      <c r="AD58" s="310">
        <f>AD57/IS!AD8</f>
        <v>2.9119359039395866E-2</v>
      </c>
      <c r="AE58" s="310">
        <f>AE57/IS!AE8</f>
        <v>6.535288806290708E-2</v>
      </c>
      <c r="AF58" s="309">
        <f>AF57/IS!AF8</f>
        <v>5.9880557073974661E-2</v>
      </c>
      <c r="AG58" s="310">
        <f>AG57/IS!AG8</f>
        <v>8.2253064379268909E-2</v>
      </c>
      <c r="AH58" s="310">
        <f>AH57/IS!AH8</f>
        <v>9.2054326905617906E-2</v>
      </c>
      <c r="AI58" s="311">
        <f>AI57/IS!AI8</f>
        <v>9.3589502143429454E-2</v>
      </c>
      <c r="AJ58" s="310">
        <f>AJ57/IS!AJ8</f>
        <v>9.8588565290045366E-2</v>
      </c>
      <c r="AK58" s="310">
        <f>AK57/IS!AK8</f>
        <v>9.9077781636146292E-2</v>
      </c>
      <c r="AL58" s="310">
        <f>AL57/IS!AL8</f>
        <v>5.6423506283788512E-2</v>
      </c>
      <c r="AM58" s="311">
        <f>AM57/IS!AM8</f>
        <v>3.8002465723461165E-2</v>
      </c>
      <c r="AN58" s="310">
        <f>AN57/IS!AN8</f>
        <v>1.6315334992634736E-2</v>
      </c>
      <c r="AO58" s="310">
        <f>AO57/IS!AO8</f>
        <v>7.0670980833036287E-2</v>
      </c>
      <c r="AP58" s="310">
        <f>AP57/IS!AP8</f>
        <v>8.0046165156102994E-2</v>
      </c>
      <c r="AQ58" s="311">
        <f>AQ57/IS!AQ8</f>
        <v>7.3118141686435711E-2</v>
      </c>
      <c r="AR58" s="310">
        <f>AR57/IS!AR8</f>
        <v>5.8235972168040849E-2</v>
      </c>
      <c r="AS58" s="310">
        <f>AS57/IS!AS8</f>
        <v>6.0152869238005648E-2</v>
      </c>
      <c r="AT58" s="310">
        <f>AT57/IS!AT8</f>
        <v>7.6587938546205006E-2</v>
      </c>
      <c r="AU58" s="311">
        <f>AU57/IS!AU8</f>
        <v>8.0503144654088032E-2</v>
      </c>
      <c r="AV58" s="310">
        <f>AV57/IS!AV8</f>
        <v>3.2264449722882026E-2</v>
      </c>
      <c r="AW58" s="310">
        <f>AW57/IS!AW8</f>
        <v>8.7110187110187129E-2</v>
      </c>
      <c r="AX58" s="310">
        <f>AX57/IS!AX8</f>
        <v>0.11499148211243612</v>
      </c>
      <c r="AY58" s="311">
        <f>AY57/IS!AY8</f>
        <v>0.11542745753272067</v>
      </c>
      <c r="AZ58" s="310">
        <f>AZ57/IS!AZ8</f>
        <v>0.10825574177529484</v>
      </c>
      <c r="BA58" s="310">
        <f>BA57/IS!BA8</f>
        <v>0.11022175567510824</v>
      </c>
      <c r="BB58" s="310">
        <f>BB57/IS!BB8</f>
        <v>0.13345679012345679</v>
      </c>
      <c r="BC58" s="311">
        <f>BC57/IS!BC8</f>
        <v>0.17120799273387832</v>
      </c>
      <c r="BD58" s="310">
        <f>BD57/IS!BD8</f>
        <v>8.5779024600776868E-2</v>
      </c>
      <c r="BE58" s="310">
        <f>BE57/IS!BE8</f>
        <v>4.825183847245517E-2</v>
      </c>
      <c r="BF58" s="310">
        <f>BF57/IS!BF8</f>
        <v>7.6094186510576006E-2</v>
      </c>
      <c r="BG58" s="311">
        <f>BG57/IS!BG8</f>
        <v>1.8194876705769712E-2</v>
      </c>
      <c r="BH58" s="310">
        <f>BH57/IS!BH8</f>
        <v>5.4796018812206061E-2</v>
      </c>
      <c r="BI58" s="310">
        <f>BI57/IS!BI8</f>
        <v>6.4459316660796045E-2</v>
      </c>
      <c r="BJ58" s="310">
        <f>BJ57/IS!BJ8</f>
        <v>0.12544404973357018</v>
      </c>
      <c r="BK58" s="311">
        <f>BK57/IS!BK8</f>
        <v>8.663416615884624E-2</v>
      </c>
      <c r="BL58" s="113">
        <v>7.4999999999999997E-2</v>
      </c>
      <c r="BM58" s="312">
        <v>0.1</v>
      </c>
      <c r="BN58" s="312">
        <f>BM58</f>
        <v>0.1</v>
      </c>
      <c r="BO58" s="312">
        <f>BN58</f>
        <v>0.1</v>
      </c>
      <c r="BP58" s="608">
        <v>7.4999999999999997E-2</v>
      </c>
      <c r="BQ58" s="921">
        <f>BP58</f>
        <v>7.4999999999999997E-2</v>
      </c>
      <c r="BR58" s="921">
        <f>BQ58</f>
        <v>7.4999999999999997E-2</v>
      </c>
      <c r="BS58" s="922">
        <f>BR58</f>
        <v>7.4999999999999997E-2</v>
      </c>
      <c r="BT58" s="887">
        <v>7.4999999999999997E-2</v>
      </c>
      <c r="BU58" s="887">
        <f>BT58</f>
        <v>7.4999999999999997E-2</v>
      </c>
      <c r="BV58" s="887">
        <f>BU58</f>
        <v>7.4999999999999997E-2</v>
      </c>
      <c r="BW58" s="887">
        <f>BV58</f>
        <v>7.4999999999999997E-2</v>
      </c>
      <c r="BX58" s="314"/>
      <c r="BY58" s="310">
        <f>BY57/IS!BY8</f>
        <v>6.522291591465694E-2</v>
      </c>
      <c r="BZ58" s="310">
        <f>BZ57/IS!BZ8</f>
        <v>7.6525816206922503E-2</v>
      </c>
      <c r="CA58" s="310">
        <f>CA57/IS!CA8</f>
        <v>4.8127707854022928E-2</v>
      </c>
      <c r="CB58" s="310">
        <f>CB57/IS!CB8</f>
        <v>6.3791922455573496E-2</v>
      </c>
      <c r="CC58" s="310">
        <f>CC57/IS!CC8</f>
        <v>5.7426821113483899E-2</v>
      </c>
      <c r="CD58" s="310">
        <f>CD57/IS!CD8</f>
        <v>7.5384556351793031E-2</v>
      </c>
      <c r="CE58" s="310">
        <f>CE57/IS!CE8</f>
        <v>4.8807777945293722E-2</v>
      </c>
      <c r="CF58" s="310">
        <f>CF57/IS!CF8</f>
        <v>8.296784341824269E-2</v>
      </c>
      <c r="CG58" s="310">
        <f>CG57/IS!CG8</f>
        <v>7.094117928962973E-2</v>
      </c>
      <c r="CH58" s="310">
        <f>CH57/IS!CH8</f>
        <v>6.0009014516942384E-2</v>
      </c>
      <c r="CI58" s="310">
        <f>CI57/IS!CI8</f>
        <v>6.9083934748605344E-2</v>
      </c>
      <c r="CJ58" s="310">
        <f>CJ57/IS!CJ8</f>
        <v>9.1036047831020331E-2</v>
      </c>
      <c r="CK58" s="310">
        <f>CK57/IS!CK8</f>
        <v>0.13199729928799414</v>
      </c>
      <c r="CL58" s="310">
        <f>CL57/IS!CL8</f>
        <v>5.7555487990270597E-2</v>
      </c>
      <c r="CM58" s="310">
        <f>CM57/IS!CM8</f>
        <v>8.3064030234978367E-2</v>
      </c>
      <c r="CN58" s="310">
        <f>CN57/IS!CN8</f>
        <v>8.0025231285411738E-2</v>
      </c>
      <c r="CO58" s="310">
        <f>CO57/IS!CO8</f>
        <v>7.4999999999999997E-2</v>
      </c>
      <c r="CP58" s="400">
        <f>CP57/IS!CP8</f>
        <v>7.4999999999999983E-2</v>
      </c>
      <c r="CQ58" s="215"/>
      <c r="CR58" s="310">
        <f>CR57/IS!CR8</f>
        <v>5.4154510626369168E-2</v>
      </c>
      <c r="CS58" s="310">
        <f>CS57/IS!CS8</f>
        <v>5.4455541800882752E-2</v>
      </c>
      <c r="CT58" s="310">
        <f>CT57/IS!CT8</f>
        <v>7.4334179176909126E-2</v>
      </c>
      <c r="CU58" s="310">
        <f>CU57/IS!CU8</f>
        <v>6.735860381150896E-2</v>
      </c>
      <c r="CV58" s="310">
        <f>CV57/IS!CV8</f>
        <v>4.8801951552680821E-2</v>
      </c>
      <c r="CW58" s="310">
        <f>CW57/IS!CW8</f>
        <v>9.234475582076912E-2</v>
      </c>
      <c r="CX58" s="310">
        <f>CX57/IS!CX8</f>
        <v>5.011363467163709E-2</v>
      </c>
      <c r="CY58" s="310">
        <f>CY57/IS!CY8</f>
        <v>7.0078916149442089E-2</v>
      </c>
      <c r="CZ58" s="310">
        <f>CZ57/IS!CZ8</f>
        <v>6.1663683211282884E-2</v>
      </c>
      <c r="DA58" s="310">
        <f>DA57/IS!DA8</f>
        <v>0.10784427209939423</v>
      </c>
      <c r="DB58" s="310">
        <f>DB57/IS!DB8</f>
        <v>0.12498150723436992</v>
      </c>
      <c r="DC58" s="310">
        <f>DC57/IS!DC8</f>
        <v>4.88020753853197E-2</v>
      </c>
      <c r="DD58" s="310">
        <f>DD57/IS!DD8</f>
        <v>7.426761678543152E-2</v>
      </c>
      <c r="DE58" s="310">
        <f>DE57/IS!DE8</f>
        <v>9.3073060445124603E-2</v>
      </c>
      <c r="DF58" s="311">
        <f>DF57/IS!DF8</f>
        <v>7.5000000000000011E-2</v>
      </c>
      <c r="DG58" s="110"/>
      <c r="DH58" s="110"/>
      <c r="DI58" s="110"/>
      <c r="DJ58" s="110"/>
      <c r="DK58"/>
      <c r="DL58"/>
      <c r="DM58"/>
      <c r="DN58"/>
      <c r="DO58"/>
      <c r="DP58"/>
    </row>
    <row r="59" spans="1:122" s="109" customFormat="1" ht="15">
      <c r="B59" s="305" t="s">
        <v>270</v>
      </c>
      <c r="C59" s="306"/>
      <c r="D59" s="309"/>
      <c r="E59" s="310"/>
      <c r="F59" s="310"/>
      <c r="G59" s="310"/>
      <c r="H59" s="309"/>
      <c r="I59" s="310"/>
      <c r="J59" s="310"/>
      <c r="K59" s="310"/>
      <c r="L59" s="309"/>
      <c r="M59" s="310"/>
      <c r="N59" s="310"/>
      <c r="O59" s="310"/>
      <c r="P59" s="309"/>
      <c r="Q59" s="310"/>
      <c r="R59" s="310"/>
      <c r="S59" s="310"/>
      <c r="T59" s="309"/>
      <c r="U59" s="310"/>
      <c r="V59" s="310"/>
      <c r="W59" s="310"/>
      <c r="X59" s="309"/>
      <c r="Y59" s="310"/>
      <c r="Z59" s="310"/>
      <c r="AA59" s="310"/>
      <c r="AB59" s="309"/>
      <c r="AC59" s="310"/>
      <c r="AD59" s="310"/>
      <c r="AE59" s="311"/>
      <c r="AF59" s="310"/>
      <c r="AG59" s="310"/>
      <c r="AH59" s="310"/>
      <c r="AI59" s="403"/>
      <c r="AJ59" s="462"/>
      <c r="AK59" s="310"/>
      <c r="AL59" s="404"/>
      <c r="AM59" s="403"/>
      <c r="AN59" s="462"/>
      <c r="AO59" s="310"/>
      <c r="AP59" s="310"/>
      <c r="AQ59" s="403"/>
      <c r="AR59" s="462"/>
      <c r="AS59" s="310"/>
      <c r="AT59" s="310"/>
      <c r="AU59" s="403"/>
      <c r="AV59" s="462"/>
      <c r="AW59" s="404"/>
      <c r="AX59" s="310"/>
      <c r="AY59" s="403"/>
      <c r="AZ59" s="462"/>
      <c r="BA59" s="404"/>
      <c r="BB59" s="310"/>
      <c r="BC59" s="709"/>
      <c r="BD59" s="462"/>
      <c r="BE59" s="404"/>
      <c r="BF59" s="310"/>
      <c r="BG59" s="709"/>
      <c r="BH59" s="462"/>
      <c r="BI59" s="862">
        <v>0</v>
      </c>
      <c r="BJ59" s="872">
        <v>0</v>
      </c>
      <c r="BK59" s="925">
        <v>0</v>
      </c>
      <c r="BL59" s="872">
        <v>-28.49249999999995</v>
      </c>
      <c r="BM59" s="404"/>
      <c r="BN59" s="404"/>
      <c r="BO59" s="404"/>
      <c r="BP59" s="927"/>
      <c r="BQ59" s="404"/>
      <c r="BR59" s="404"/>
      <c r="BS59" s="405"/>
      <c r="BT59" s="404"/>
      <c r="BU59" s="404"/>
      <c r="BV59" s="404"/>
      <c r="BW59" s="405"/>
      <c r="BX59" s="314"/>
      <c r="BY59" s="310"/>
      <c r="BZ59" s="310"/>
      <c r="CA59" s="310"/>
      <c r="CB59" s="310"/>
      <c r="CC59" s="310"/>
      <c r="CD59" s="310"/>
      <c r="CE59" s="310"/>
      <c r="CF59" s="310"/>
      <c r="CG59" s="310"/>
      <c r="CH59" s="310"/>
      <c r="CI59" s="310"/>
      <c r="CJ59" s="310"/>
      <c r="CK59" s="113"/>
      <c r="CL59" s="113"/>
      <c r="CM59" s="113"/>
      <c r="CN59" s="113"/>
      <c r="CO59" s="113"/>
      <c r="CP59" s="112"/>
      <c r="CQ59" s="215"/>
      <c r="CR59" s="310"/>
      <c r="CS59" s="310"/>
      <c r="CT59" s="310"/>
      <c r="CU59" s="310"/>
      <c r="CV59" s="310"/>
      <c r="CW59" s="310"/>
      <c r="CX59" s="310"/>
      <c r="CY59" s="310"/>
      <c r="CZ59" s="310"/>
      <c r="DA59" s="310"/>
      <c r="DB59" s="310"/>
      <c r="DC59" s="310"/>
      <c r="DD59" s="310"/>
      <c r="DE59" s="310"/>
      <c r="DF59" s="311"/>
      <c r="DG59" s="110"/>
      <c r="DH59" s="110"/>
      <c r="DI59" s="110"/>
      <c r="DJ59" s="110"/>
      <c r="DK59"/>
      <c r="DL59"/>
      <c r="DM59"/>
      <c r="DN59"/>
      <c r="DO59"/>
      <c r="DP59"/>
    </row>
    <row r="60" spans="1:122" s="109" customFormat="1" ht="14.25">
      <c r="B60" s="340" t="s">
        <v>191</v>
      </c>
      <c r="C60" s="396"/>
      <c r="D60" s="315"/>
      <c r="E60" s="316"/>
      <c r="F60" s="316"/>
      <c r="G60" s="317"/>
      <c r="H60" s="315"/>
      <c r="I60" s="316"/>
      <c r="J60" s="316"/>
      <c r="K60" s="317"/>
      <c r="L60" s="315"/>
      <c r="M60" s="316"/>
      <c r="N60" s="316"/>
      <c r="O60" s="317"/>
      <c r="P60" s="315"/>
      <c r="Q60" s="316"/>
      <c r="R60" s="316"/>
      <c r="S60" s="317"/>
      <c r="T60" s="315"/>
      <c r="U60" s="316"/>
      <c r="V60" s="316"/>
      <c r="W60" s="317"/>
      <c r="X60" s="315"/>
      <c r="Y60" s="316"/>
      <c r="Z60" s="316"/>
      <c r="AA60" s="317"/>
      <c r="AB60" s="315"/>
      <c r="AC60" s="316"/>
      <c r="AD60" s="316"/>
      <c r="AE60" s="317"/>
      <c r="AF60" s="316"/>
      <c r="AG60" s="316"/>
      <c r="AH60" s="316"/>
      <c r="AI60" s="352"/>
      <c r="AJ60" s="353"/>
      <c r="AK60" s="316"/>
      <c r="AL60" s="352">
        <f t="shared" ref="AL60:BO60" si="189">-AL18</f>
        <v>-0.17799999999999999</v>
      </c>
      <c r="AM60" s="352">
        <f t="shared" si="189"/>
        <v>-2.8000000000000021E-2</v>
      </c>
      <c r="AN60" s="353">
        <f t="shared" si="189"/>
        <v>-0.115</v>
      </c>
      <c r="AO60" s="352">
        <f t="shared" si="189"/>
        <v>-0.34</v>
      </c>
      <c r="AP60" s="352">
        <f t="shared" si="189"/>
        <v>0.45500000000000002</v>
      </c>
      <c r="AQ60" s="352">
        <f t="shared" si="189"/>
        <v>0</v>
      </c>
      <c r="AR60" s="353">
        <f t="shared" si="189"/>
        <v>0</v>
      </c>
      <c r="AS60" s="352">
        <f t="shared" si="189"/>
        <v>0</v>
      </c>
      <c r="AT60" s="352">
        <f t="shared" si="189"/>
        <v>0</v>
      </c>
      <c r="AU60" s="352">
        <f t="shared" si="189"/>
        <v>0</v>
      </c>
      <c r="AV60" s="353">
        <f t="shared" si="189"/>
        <v>0</v>
      </c>
      <c r="AW60" s="352">
        <f t="shared" si="189"/>
        <v>0</v>
      </c>
      <c r="AX60" s="352">
        <f t="shared" si="189"/>
        <v>0</v>
      </c>
      <c r="AY60" s="352">
        <f t="shared" si="189"/>
        <v>0</v>
      </c>
      <c r="AZ60" s="353">
        <f t="shared" si="189"/>
        <v>0</v>
      </c>
      <c r="BA60" s="352">
        <f t="shared" si="189"/>
        <v>0</v>
      </c>
      <c r="BB60" s="352">
        <f t="shared" si="189"/>
        <v>0</v>
      </c>
      <c r="BC60" s="354">
        <f t="shared" si="189"/>
        <v>0</v>
      </c>
      <c r="BD60" s="353">
        <f t="shared" si="189"/>
        <v>0</v>
      </c>
      <c r="BE60" s="352">
        <f>-BE18</f>
        <v>0</v>
      </c>
      <c r="BF60" s="352">
        <f>-BF18</f>
        <v>0</v>
      </c>
      <c r="BG60" s="354">
        <f>-BG18</f>
        <v>0</v>
      </c>
      <c r="BH60" s="353">
        <f>-BH18</f>
        <v>0</v>
      </c>
      <c r="BI60" s="352">
        <f>-BI18</f>
        <v>0</v>
      </c>
      <c r="BJ60" s="352">
        <f t="shared" si="189"/>
        <v>0</v>
      </c>
      <c r="BK60" s="354">
        <f t="shared" ref="BK60" si="190">-BK18</f>
        <v>0</v>
      </c>
      <c r="BL60" s="352">
        <f t="shared" si="189"/>
        <v>0</v>
      </c>
      <c r="BM60" s="352">
        <f t="shared" si="189"/>
        <v>0</v>
      </c>
      <c r="BN60" s="352">
        <f t="shared" si="189"/>
        <v>0</v>
      </c>
      <c r="BO60" s="352">
        <f t="shared" si="189"/>
        <v>0</v>
      </c>
      <c r="BP60" s="353">
        <f t="shared" ref="BP60:BW60" si="191">-BP18</f>
        <v>0</v>
      </c>
      <c r="BQ60" s="352">
        <f t="shared" si="191"/>
        <v>0</v>
      </c>
      <c r="BR60" s="352">
        <f t="shared" si="191"/>
        <v>0</v>
      </c>
      <c r="BS60" s="354">
        <f t="shared" si="191"/>
        <v>0</v>
      </c>
      <c r="BT60" s="352">
        <f t="shared" si="191"/>
        <v>0</v>
      </c>
      <c r="BU60" s="352">
        <f t="shared" si="191"/>
        <v>0</v>
      </c>
      <c r="BV60" s="352">
        <f t="shared" si="191"/>
        <v>0</v>
      </c>
      <c r="BW60" s="354">
        <f t="shared" si="191"/>
        <v>0</v>
      </c>
      <c r="BX60" s="481"/>
      <c r="BY60" s="246"/>
      <c r="BZ60" s="246"/>
      <c r="CA60" s="246"/>
      <c r="CB60" s="246"/>
      <c r="CC60" s="246"/>
      <c r="CD60" s="246"/>
      <c r="CE60" s="246"/>
      <c r="CF60" s="246"/>
      <c r="CG60" s="246"/>
      <c r="CH60" s="246"/>
      <c r="CI60" s="246"/>
      <c r="CJ60" s="246"/>
      <c r="CK60" s="318">
        <f t="shared" ref="CK60:CO60" si="192">-CK18</f>
        <v>0</v>
      </c>
      <c r="CL60" s="318">
        <f t="shared" si="192"/>
        <v>0</v>
      </c>
      <c r="CM60" s="318">
        <f t="shared" si="192"/>
        <v>0</v>
      </c>
      <c r="CN60" s="318">
        <f t="shared" si="192"/>
        <v>0</v>
      </c>
      <c r="CO60" s="318">
        <f t="shared" si="192"/>
        <v>0</v>
      </c>
      <c r="CP60" s="319">
        <f t="shared" ref="CP60" si="193">-CP18</f>
        <v>0</v>
      </c>
      <c r="CQ60" s="215"/>
      <c r="CR60" s="380">
        <f t="shared" ref="CR60:DD60" si="194">-CR18</f>
        <v>0.73599999999999999</v>
      </c>
      <c r="CS60" s="318">
        <f t="shared" si="194"/>
        <v>-0.84699999999999998</v>
      </c>
      <c r="CT60" s="318">
        <f t="shared" si="194"/>
        <v>-0.223</v>
      </c>
      <c r="CU60" s="318">
        <f t="shared" si="194"/>
        <v>-0.27100000000000002</v>
      </c>
      <c r="CV60" s="318">
        <f t="shared" si="194"/>
        <v>-0.48199999999999998</v>
      </c>
      <c r="CW60" s="318">
        <f t="shared" si="194"/>
        <v>-0.22</v>
      </c>
      <c r="CX60" s="318">
        <f t="shared" si="194"/>
        <v>-0.34900000000000003</v>
      </c>
      <c r="CY60" s="318">
        <f t="shared" si="194"/>
        <v>0.11499999999999999</v>
      </c>
      <c r="CZ60" s="318">
        <f t="shared" si="194"/>
        <v>0</v>
      </c>
      <c r="DA60" s="318">
        <f t="shared" si="194"/>
        <v>0</v>
      </c>
      <c r="DB60" s="318">
        <f t="shared" si="194"/>
        <v>0</v>
      </c>
      <c r="DC60" s="318">
        <f t="shared" si="194"/>
        <v>0</v>
      </c>
      <c r="DD60" s="318">
        <f t="shared" si="194"/>
        <v>0</v>
      </c>
      <c r="DE60" s="318">
        <f>-DE18</f>
        <v>0</v>
      </c>
      <c r="DF60" s="319">
        <f>-DF18</f>
        <v>0</v>
      </c>
      <c r="DG60" s="110"/>
      <c r="DH60" s="110"/>
      <c r="DI60" s="110"/>
      <c r="DJ60" s="110"/>
      <c r="DK60"/>
      <c r="DL60"/>
      <c r="DM60"/>
      <c r="DN60"/>
      <c r="DO60"/>
      <c r="DP60"/>
    </row>
    <row r="61" spans="1:122" s="109" customFormat="1" ht="14.25">
      <c r="B61" s="305" t="s">
        <v>192</v>
      </c>
      <c r="C61" s="306"/>
      <c r="D61" s="600">
        <f t="shared" ref="D61:M61" si="195">D62+D63</f>
        <v>348.50900000000001</v>
      </c>
      <c r="E61" s="603">
        <f t="shared" si="195"/>
        <v>361.34500000000003</v>
      </c>
      <c r="F61" s="603">
        <f t="shared" si="195"/>
        <v>363.59299999999996</v>
      </c>
      <c r="G61" s="602">
        <f t="shared" si="195"/>
        <v>354.036</v>
      </c>
      <c r="H61" s="600">
        <f t="shared" si="195"/>
        <v>365.99099999999999</v>
      </c>
      <c r="I61" s="603">
        <f t="shared" si="195"/>
        <v>372.613</v>
      </c>
      <c r="J61" s="603">
        <f t="shared" si="195"/>
        <v>397.69399999999996</v>
      </c>
      <c r="K61" s="602">
        <f t="shared" si="195"/>
        <v>404.79399999999998</v>
      </c>
      <c r="L61" s="600">
        <f t="shared" si="195"/>
        <v>414.76599999999996</v>
      </c>
      <c r="M61" s="603">
        <f t="shared" si="195"/>
        <v>420.87900000000002</v>
      </c>
      <c r="N61" s="603">
        <v>449.00099999999998</v>
      </c>
      <c r="O61" s="602">
        <v>404.93900000000002</v>
      </c>
      <c r="P61" s="600">
        <v>409.92399999999998</v>
      </c>
      <c r="Q61" s="603">
        <v>418.64</v>
      </c>
      <c r="R61" s="603">
        <v>414.72500000000002</v>
      </c>
      <c r="S61" s="602">
        <v>400.57799999999997</v>
      </c>
      <c r="T61" s="600">
        <v>405.67099999999999</v>
      </c>
      <c r="U61" s="603">
        <v>412.86</v>
      </c>
      <c r="V61" s="603">
        <v>423.75900000000001</v>
      </c>
      <c r="W61" s="602">
        <v>434.25400000000002</v>
      </c>
      <c r="X61" s="320">
        <v>454.08199999999999</v>
      </c>
      <c r="Y61" s="214">
        <v>470.31799999999998</v>
      </c>
      <c r="Z61" s="214">
        <v>483.52100000000002</v>
      </c>
      <c r="AA61" s="321">
        <v>491.43599999999998</v>
      </c>
      <c r="AB61" s="320">
        <v>503.49200000000002</v>
      </c>
      <c r="AC61" s="214">
        <v>494.92899999999997</v>
      </c>
      <c r="AD61" s="214">
        <v>483.27699999999999</v>
      </c>
      <c r="AE61" s="321">
        <v>491.70299999999997</v>
      </c>
      <c r="AF61" s="214">
        <v>505.31599999999997</v>
      </c>
      <c r="AG61" s="214">
        <v>524.70299999999997</v>
      </c>
      <c r="AH61" s="214">
        <v>548.57000000000005</v>
      </c>
      <c r="AI61" s="214">
        <v>566.65800000000002</v>
      </c>
      <c r="AJ61" s="320">
        <v>599.46900000000005</v>
      </c>
      <c r="AK61" s="214">
        <v>627.62099999999998</v>
      </c>
      <c r="AL61" s="214">
        <v>658.71100000000001</v>
      </c>
      <c r="AM61" s="214">
        <v>673.23800000000006</v>
      </c>
      <c r="AN61" s="320">
        <v>676.91399999999999</v>
      </c>
      <c r="AO61" s="214">
        <v>703.04</v>
      </c>
      <c r="AP61" s="214">
        <v>727.29</v>
      </c>
      <c r="AQ61" s="214">
        <v>754.58799999999997</v>
      </c>
      <c r="AR61" s="320">
        <v>774.79200000000003</v>
      </c>
      <c r="AS61" s="214">
        <v>799.5</v>
      </c>
      <c r="AT61" s="214">
        <v>824.6</v>
      </c>
      <c r="AU61" s="214">
        <v>859.3</v>
      </c>
      <c r="AV61" s="320">
        <v>872.1</v>
      </c>
      <c r="AW61" s="214">
        <v>913.3</v>
      </c>
      <c r="AX61" s="214">
        <v>980.3</v>
      </c>
      <c r="AY61" s="214">
        <v>1177.0999999999999</v>
      </c>
      <c r="AZ61" s="320">
        <v>1265.5</v>
      </c>
      <c r="BA61" s="214">
        <v>1345.4</v>
      </c>
      <c r="BB61" s="214">
        <v>1446.2</v>
      </c>
      <c r="BC61" s="321">
        <v>1585.4</v>
      </c>
      <c r="BD61" s="320">
        <v>1619.3</v>
      </c>
      <c r="BE61" s="214">
        <v>1695.7</v>
      </c>
      <c r="BF61" s="214">
        <v>1752.8</v>
      </c>
      <c r="BG61" s="321">
        <v>1767.8</v>
      </c>
      <c r="BH61" s="320">
        <v>1819.7</v>
      </c>
      <c r="BI61" s="214">
        <v>1873.4</v>
      </c>
      <c r="BJ61" s="214">
        <v>1983.6</v>
      </c>
      <c r="BK61" s="931">
        <v>2059</v>
      </c>
      <c r="BL61" s="328">
        <f t="shared" ref="BL61:BO61" si="196">BK61+BL57+BL60+BL59</f>
        <v>2109.4</v>
      </c>
      <c r="BM61" s="609">
        <f t="shared" si="196"/>
        <v>2199.6714282500002</v>
      </c>
      <c r="BN61" s="328">
        <f t="shared" si="196"/>
        <v>2286.4833283337503</v>
      </c>
      <c r="BO61" s="609">
        <f t="shared" si="196"/>
        <v>2389.6462526048754</v>
      </c>
      <c r="BP61" s="350">
        <f t="shared" ref="BP61:BW61" si="197">BO61+BP57+BP60+BP59</f>
        <v>2470.2046419062563</v>
      </c>
      <c r="BQ61" s="609">
        <f t="shared" si="197"/>
        <v>2543.5560736357079</v>
      </c>
      <c r="BR61" s="328">
        <f t="shared" si="197"/>
        <v>2616.9292739643406</v>
      </c>
      <c r="BS61" s="351">
        <f t="shared" si="197"/>
        <v>2695.852233569432</v>
      </c>
      <c r="BT61" s="328">
        <f t="shared" si="197"/>
        <v>2778.1053073452745</v>
      </c>
      <c r="BU61" s="609">
        <f t="shared" si="197"/>
        <v>2855.8904037282173</v>
      </c>
      <c r="BV61" s="328">
        <f t="shared" si="197"/>
        <v>2934.6877325706587</v>
      </c>
      <c r="BW61" s="351">
        <f t="shared" si="197"/>
        <v>3019.8960819328549</v>
      </c>
      <c r="BX61" s="481"/>
      <c r="BY61" s="211">
        <f>G61</f>
        <v>354.036</v>
      </c>
      <c r="BZ61" s="211">
        <f>K61</f>
        <v>404.79399999999998</v>
      </c>
      <c r="CA61" s="211">
        <f>O61</f>
        <v>404.93900000000002</v>
      </c>
      <c r="CB61" s="211">
        <f>S61</f>
        <v>400.57799999999997</v>
      </c>
      <c r="CC61" s="211">
        <f>W61</f>
        <v>434.25400000000002</v>
      </c>
      <c r="CD61" s="211">
        <f>AA61</f>
        <v>491.43599999999998</v>
      </c>
      <c r="CE61" s="211">
        <f>AE61</f>
        <v>491.70299999999997</v>
      </c>
      <c r="CF61" s="211">
        <f>AI61</f>
        <v>566.65800000000002</v>
      </c>
      <c r="CG61" s="211">
        <f>AM61</f>
        <v>673.23800000000006</v>
      </c>
      <c r="CH61" s="211">
        <f>AQ61</f>
        <v>754.58799999999997</v>
      </c>
      <c r="CI61" s="211">
        <f>AU61</f>
        <v>859.3</v>
      </c>
      <c r="CJ61" s="211">
        <f>AY61</f>
        <v>1177.0999999999999</v>
      </c>
      <c r="CK61" s="328">
        <f>BC61</f>
        <v>1585.4</v>
      </c>
      <c r="CL61" s="328">
        <f>BG61</f>
        <v>1767.8</v>
      </c>
      <c r="CM61" s="328">
        <f>BK61</f>
        <v>2059</v>
      </c>
      <c r="CN61" s="328">
        <f>BO61</f>
        <v>2389.6462526048754</v>
      </c>
      <c r="CO61" s="328">
        <f>BS61</f>
        <v>2695.852233569432</v>
      </c>
      <c r="CP61" s="329">
        <f>BW61</f>
        <v>3019.8960819328549</v>
      </c>
      <c r="CQ61" s="215"/>
      <c r="CR61" s="213">
        <f>P61</f>
        <v>409.92399999999998</v>
      </c>
      <c r="CS61" s="211">
        <f>T61</f>
        <v>405.67099999999999</v>
      </c>
      <c r="CT61" s="211">
        <f>X61</f>
        <v>454.08199999999999</v>
      </c>
      <c r="CU61" s="211">
        <f>AB61</f>
        <v>503.49200000000002</v>
      </c>
      <c r="CV61" s="246">
        <f>AF61</f>
        <v>505.31599999999997</v>
      </c>
      <c r="CW61" s="246">
        <f>AJ61</f>
        <v>599.46900000000005</v>
      </c>
      <c r="CX61" s="246">
        <f>AN61</f>
        <v>676.91399999999999</v>
      </c>
      <c r="CY61" s="246">
        <f>AR61</f>
        <v>774.79200000000003</v>
      </c>
      <c r="CZ61" s="246">
        <f>AV61</f>
        <v>872.1</v>
      </c>
      <c r="DA61" s="246">
        <f>AZ61</f>
        <v>1265.5</v>
      </c>
      <c r="DB61" s="246">
        <f>BD61</f>
        <v>1619.3</v>
      </c>
      <c r="DC61" s="246">
        <f>BH61</f>
        <v>1819.7</v>
      </c>
      <c r="DD61" s="246">
        <f>BL61</f>
        <v>2109.4</v>
      </c>
      <c r="DE61" s="246">
        <f>BP61</f>
        <v>2470.2046419062563</v>
      </c>
      <c r="DF61" s="308">
        <f>BT61</f>
        <v>2778.1053073452745</v>
      </c>
      <c r="DG61" s="110"/>
      <c r="DH61" s="110"/>
      <c r="DI61" s="110"/>
      <c r="DJ61" s="110"/>
      <c r="DK61"/>
      <c r="DL61"/>
      <c r="DM61"/>
      <c r="DN61"/>
      <c r="DO61"/>
      <c r="DP61"/>
    </row>
    <row r="62" spans="1:122" s="109" customFormat="1" ht="14.25">
      <c r="B62" s="340" t="s">
        <v>193</v>
      </c>
      <c r="C62" s="396"/>
      <c r="D62" s="601">
        <v>208.41900000000001</v>
      </c>
      <c r="E62" s="604">
        <v>218.03899999999999</v>
      </c>
      <c r="F62" s="604">
        <v>224.18199999999999</v>
      </c>
      <c r="G62" s="602">
        <v>232.48</v>
      </c>
      <c r="H62" s="601">
        <v>239.322</v>
      </c>
      <c r="I62" s="604">
        <v>245.67400000000001</v>
      </c>
      <c r="J62" s="604">
        <v>260.98599999999999</v>
      </c>
      <c r="K62" s="602">
        <v>261.26</v>
      </c>
      <c r="L62" s="601">
        <v>270.63499999999999</v>
      </c>
      <c r="M62" s="604">
        <v>279.23399999999998</v>
      </c>
      <c r="N62" s="604">
        <v>305.82400000000001</v>
      </c>
      <c r="O62" s="602">
        <v>260.73099999999999</v>
      </c>
      <c r="P62" s="601">
        <v>261.226</v>
      </c>
      <c r="Q62" s="604">
        <v>266.8</v>
      </c>
      <c r="R62" s="604">
        <v>262.46800000000002</v>
      </c>
      <c r="S62" s="602">
        <v>250.19499999999999</v>
      </c>
      <c r="T62" s="601">
        <v>258.517</v>
      </c>
      <c r="U62" s="604">
        <v>263.93900000000002</v>
      </c>
      <c r="V62" s="604">
        <v>271.86599999999999</v>
      </c>
      <c r="W62" s="602">
        <v>280.738</v>
      </c>
      <c r="X62" s="315">
        <v>291.58499999999998</v>
      </c>
      <c r="Y62" s="322">
        <v>301.43700000000001</v>
      </c>
      <c r="Z62" s="322">
        <v>311.88499999999999</v>
      </c>
      <c r="AA62" s="321">
        <v>318.07600000000002</v>
      </c>
      <c r="AB62" s="320">
        <v>328.36500000000001</v>
      </c>
      <c r="AC62" s="322">
        <v>331.35300000000001</v>
      </c>
      <c r="AD62" s="322">
        <v>325.28300000000002</v>
      </c>
      <c r="AE62" s="321">
        <v>329.404</v>
      </c>
      <c r="AF62" s="322">
        <v>339.28100000000001</v>
      </c>
      <c r="AG62" s="322">
        <v>350.49</v>
      </c>
      <c r="AH62" s="322">
        <v>361.07900000000001</v>
      </c>
      <c r="AI62" s="316">
        <v>362.29500000000002</v>
      </c>
      <c r="AJ62" s="315">
        <v>375.65600000000001</v>
      </c>
      <c r="AK62" s="322">
        <v>385.88799999999998</v>
      </c>
      <c r="AL62" s="322">
        <v>405.95600000000002</v>
      </c>
      <c r="AM62" s="316">
        <v>421.87299999999999</v>
      </c>
      <c r="AN62" s="315">
        <v>436.51299999999998</v>
      </c>
      <c r="AO62" s="322">
        <v>450.72800000000001</v>
      </c>
      <c r="AP62" s="322">
        <v>461.25099999999998</v>
      </c>
      <c r="AQ62" s="316">
        <v>475.20499999999998</v>
      </c>
      <c r="AR62" s="315">
        <v>487.53899999999999</v>
      </c>
      <c r="AS62" s="322">
        <v>505.2</v>
      </c>
      <c r="AT62" s="322">
        <v>515.4</v>
      </c>
      <c r="AU62" s="316">
        <v>530.70000000000005</v>
      </c>
      <c r="AV62" s="315">
        <v>548.4</v>
      </c>
      <c r="AW62" s="322">
        <v>569.4</v>
      </c>
      <c r="AX62" s="322">
        <v>593</v>
      </c>
      <c r="AY62" s="316">
        <v>621.20000000000005</v>
      </c>
      <c r="AZ62" s="315">
        <v>655.1</v>
      </c>
      <c r="BA62" s="322">
        <v>689.6</v>
      </c>
      <c r="BB62" s="322">
        <v>724.6</v>
      </c>
      <c r="BC62" s="317">
        <v>759</v>
      </c>
      <c r="BD62" s="315">
        <v>771.4</v>
      </c>
      <c r="BE62" s="322">
        <v>858</v>
      </c>
      <c r="BF62" s="322">
        <v>908.3</v>
      </c>
      <c r="BG62" s="317">
        <v>961.5</v>
      </c>
      <c r="BH62" s="315">
        <v>1018.2</v>
      </c>
      <c r="BI62" s="322">
        <v>1073</v>
      </c>
      <c r="BJ62" s="322">
        <v>1125.9000000000001</v>
      </c>
      <c r="BK62" s="932">
        <v>1176.7</v>
      </c>
      <c r="BL62" s="352">
        <f t="shared" ref="BL62:BO62" si="198">BK62+BL69</f>
        <v>1240.3</v>
      </c>
      <c r="BM62" s="352">
        <f t="shared" si="198"/>
        <v>1303.5819999999999</v>
      </c>
      <c r="BN62" s="352">
        <f t="shared" si="198"/>
        <v>1369.5721428474999</v>
      </c>
      <c r="BO62" s="352">
        <f t="shared" si="198"/>
        <v>1438.1666426975123</v>
      </c>
      <c r="BP62" s="353">
        <f t="shared" ref="BP62:BW62" si="199">BO62+BP69</f>
        <v>1509.8560302756587</v>
      </c>
      <c r="BQ62" s="352">
        <f t="shared" si="199"/>
        <v>1583.9621695328462</v>
      </c>
      <c r="BR62" s="352">
        <f t="shared" si="199"/>
        <v>1660.2688517419174</v>
      </c>
      <c r="BS62" s="354">
        <f t="shared" si="199"/>
        <v>1738.7767299608477</v>
      </c>
      <c r="BT62" s="352">
        <f t="shared" si="199"/>
        <v>1819.6522969679306</v>
      </c>
      <c r="BU62" s="352">
        <f t="shared" si="199"/>
        <v>1902.9954561882889</v>
      </c>
      <c r="BV62" s="352">
        <f t="shared" si="199"/>
        <v>1988.6721683001354</v>
      </c>
      <c r="BW62" s="354">
        <f t="shared" si="199"/>
        <v>2076.7128002772552</v>
      </c>
      <c r="BX62" s="481"/>
      <c r="BY62" s="246">
        <f>G62</f>
        <v>232.48</v>
      </c>
      <c r="BZ62" s="246">
        <f>K62</f>
        <v>261.26</v>
      </c>
      <c r="CA62" s="246">
        <f>O62</f>
        <v>260.73099999999999</v>
      </c>
      <c r="CB62" s="246">
        <f>S62</f>
        <v>250.19499999999999</v>
      </c>
      <c r="CC62" s="246">
        <f>W62</f>
        <v>280.738</v>
      </c>
      <c r="CD62" s="246">
        <f>AA62</f>
        <v>318.07600000000002</v>
      </c>
      <c r="CE62" s="246">
        <f>AE62</f>
        <v>329.404</v>
      </c>
      <c r="CF62" s="246">
        <f>AI62</f>
        <v>362.29500000000002</v>
      </c>
      <c r="CG62" s="246">
        <f>AM62</f>
        <v>421.87299999999999</v>
      </c>
      <c r="CH62" s="246">
        <f>AQ62</f>
        <v>475.20499999999998</v>
      </c>
      <c r="CI62" s="246">
        <f>AU62</f>
        <v>530.70000000000005</v>
      </c>
      <c r="CJ62" s="246">
        <f>AY62</f>
        <v>621.20000000000005</v>
      </c>
      <c r="CK62" s="352">
        <f>BC62</f>
        <v>759</v>
      </c>
      <c r="CL62" s="352">
        <f>BG62</f>
        <v>961.5</v>
      </c>
      <c r="CM62" s="352">
        <f>BK62</f>
        <v>1176.7</v>
      </c>
      <c r="CN62" s="352">
        <f>BO62</f>
        <v>1438.1666426975123</v>
      </c>
      <c r="CO62" s="352">
        <f>BS62</f>
        <v>1738.7767299608477</v>
      </c>
      <c r="CP62" s="354">
        <f>BW62</f>
        <v>2076.7128002772552</v>
      </c>
      <c r="CQ62" s="215"/>
      <c r="CR62" s="246">
        <f>P62</f>
        <v>261.226</v>
      </c>
      <c r="CS62" s="246">
        <f>T62</f>
        <v>258.517</v>
      </c>
      <c r="CT62" s="246">
        <f>X62</f>
        <v>291.58499999999998</v>
      </c>
      <c r="CU62" s="246">
        <f>AB62</f>
        <v>328.36500000000001</v>
      </c>
      <c r="CV62" s="246">
        <f>AF62</f>
        <v>339.28100000000001</v>
      </c>
      <c r="CW62" s="246">
        <f>AJ62</f>
        <v>375.65600000000001</v>
      </c>
      <c r="CX62" s="246">
        <f>AN62</f>
        <v>436.51299999999998</v>
      </c>
      <c r="CY62" s="246">
        <f>AR62</f>
        <v>487.53899999999999</v>
      </c>
      <c r="CZ62" s="246">
        <f>AV62</f>
        <v>548.4</v>
      </c>
      <c r="DA62" s="246">
        <f>AZ62</f>
        <v>655.1</v>
      </c>
      <c r="DB62" s="246">
        <f>BD62</f>
        <v>771.4</v>
      </c>
      <c r="DC62" s="246">
        <f>BH62</f>
        <v>1018.2</v>
      </c>
      <c r="DD62" s="246">
        <f>BL62</f>
        <v>1240.3</v>
      </c>
      <c r="DE62" s="246">
        <f>BP62</f>
        <v>1509.8560302756587</v>
      </c>
      <c r="DF62" s="308">
        <f>BT62</f>
        <v>1819.6522969679306</v>
      </c>
      <c r="DG62" s="110"/>
      <c r="DH62" s="110"/>
      <c r="DI62" s="110"/>
      <c r="DJ62" s="110"/>
      <c r="DK62"/>
      <c r="DL62"/>
      <c r="DM62"/>
      <c r="DN62"/>
      <c r="DO62"/>
      <c r="DP62"/>
    </row>
    <row r="63" spans="1:122" s="109" customFormat="1" ht="15">
      <c r="B63" s="323" t="s">
        <v>194</v>
      </c>
      <c r="C63" s="324"/>
      <c r="D63" s="397">
        <v>140.09</v>
      </c>
      <c r="E63" s="326">
        <v>143.30600000000001</v>
      </c>
      <c r="F63" s="326">
        <v>139.411</v>
      </c>
      <c r="G63" s="326">
        <v>121.556</v>
      </c>
      <c r="H63" s="397">
        <v>126.669</v>
      </c>
      <c r="I63" s="326">
        <v>126.93899999999999</v>
      </c>
      <c r="J63" s="326">
        <v>136.708</v>
      </c>
      <c r="K63" s="326">
        <v>143.53399999999999</v>
      </c>
      <c r="L63" s="397">
        <v>144.131</v>
      </c>
      <c r="M63" s="326">
        <v>141.64500000000001</v>
      </c>
      <c r="N63" s="326">
        <f t="shared" ref="N63:S63" si="200">N61-N62</f>
        <v>143.17699999999996</v>
      </c>
      <c r="O63" s="326">
        <f t="shared" si="200"/>
        <v>144.20800000000003</v>
      </c>
      <c r="P63" s="397">
        <f t="shared" si="200"/>
        <v>148.69799999999998</v>
      </c>
      <c r="Q63" s="326">
        <f t="shared" si="200"/>
        <v>151.83999999999997</v>
      </c>
      <c r="R63" s="326">
        <f t="shared" si="200"/>
        <v>152.25700000000001</v>
      </c>
      <c r="S63" s="326">
        <f t="shared" si="200"/>
        <v>150.38299999999998</v>
      </c>
      <c r="T63" s="397">
        <f>T61-T62</f>
        <v>147.154</v>
      </c>
      <c r="U63" s="326">
        <f>U61-U62</f>
        <v>148.92099999999999</v>
      </c>
      <c r="V63" s="326">
        <f>V61-V62</f>
        <v>151.89300000000003</v>
      </c>
      <c r="W63" s="326">
        <f>W61-W62</f>
        <v>153.51600000000002</v>
      </c>
      <c r="X63" s="397">
        <f t="shared" ref="X63:AG63" si="201">X61-X62</f>
        <v>162.49700000000001</v>
      </c>
      <c r="Y63" s="326">
        <f t="shared" si="201"/>
        <v>168.88099999999997</v>
      </c>
      <c r="Z63" s="326">
        <f t="shared" si="201"/>
        <v>171.63600000000002</v>
      </c>
      <c r="AA63" s="326">
        <f t="shared" si="201"/>
        <v>173.35999999999996</v>
      </c>
      <c r="AB63" s="325">
        <f t="shared" si="201"/>
        <v>175.12700000000001</v>
      </c>
      <c r="AC63" s="326">
        <f t="shared" si="201"/>
        <v>163.57599999999996</v>
      </c>
      <c r="AD63" s="326">
        <f t="shared" si="201"/>
        <v>157.99399999999997</v>
      </c>
      <c r="AE63" s="326">
        <f t="shared" si="201"/>
        <v>162.29899999999998</v>
      </c>
      <c r="AF63" s="325">
        <f t="shared" si="201"/>
        <v>166.03499999999997</v>
      </c>
      <c r="AG63" s="326">
        <f t="shared" si="201"/>
        <v>174.21299999999997</v>
      </c>
      <c r="AH63" s="326">
        <f>AH61-AH62</f>
        <v>187.49100000000004</v>
      </c>
      <c r="AI63" s="326">
        <f t="shared" ref="AI63:AW63" si="202">AI61-AI62</f>
        <v>204.363</v>
      </c>
      <c r="AJ63" s="325">
        <f t="shared" si="202"/>
        <v>223.81300000000005</v>
      </c>
      <c r="AK63" s="326">
        <f t="shared" si="202"/>
        <v>241.733</v>
      </c>
      <c r="AL63" s="326">
        <f t="shared" si="202"/>
        <v>252.755</v>
      </c>
      <c r="AM63" s="326">
        <f t="shared" si="202"/>
        <v>251.36500000000007</v>
      </c>
      <c r="AN63" s="325">
        <f t="shared" si="202"/>
        <v>240.40100000000001</v>
      </c>
      <c r="AO63" s="326">
        <f t="shared" si="202"/>
        <v>252.31199999999995</v>
      </c>
      <c r="AP63" s="326">
        <f t="shared" si="202"/>
        <v>266.03899999999999</v>
      </c>
      <c r="AQ63" s="326">
        <f t="shared" si="202"/>
        <v>279.38299999999998</v>
      </c>
      <c r="AR63" s="325">
        <f t="shared" si="202"/>
        <v>287.25300000000004</v>
      </c>
      <c r="AS63" s="326">
        <f t="shared" si="202"/>
        <v>294.3</v>
      </c>
      <c r="AT63" s="326">
        <f t="shared" si="202"/>
        <v>309.20000000000005</v>
      </c>
      <c r="AU63" s="326">
        <f t="shared" si="202"/>
        <v>328.59999999999991</v>
      </c>
      <c r="AV63" s="325">
        <f t="shared" si="202"/>
        <v>323.70000000000005</v>
      </c>
      <c r="AW63" s="326">
        <f t="shared" si="202"/>
        <v>343.9</v>
      </c>
      <c r="AX63" s="326">
        <f t="shared" ref="AX63:BO63" si="203">AX61-AX62</f>
        <v>387.29999999999995</v>
      </c>
      <c r="AY63" s="326">
        <f t="shared" si="203"/>
        <v>555.89999999999986</v>
      </c>
      <c r="AZ63" s="325">
        <f t="shared" si="203"/>
        <v>610.4</v>
      </c>
      <c r="BA63" s="326">
        <f t="shared" si="203"/>
        <v>655.80000000000007</v>
      </c>
      <c r="BB63" s="326">
        <f t="shared" si="203"/>
        <v>721.6</v>
      </c>
      <c r="BC63" s="327">
        <f t="shared" si="203"/>
        <v>826.40000000000009</v>
      </c>
      <c r="BD63" s="325">
        <f>BD61-BD62</f>
        <v>847.9</v>
      </c>
      <c r="BE63" s="326">
        <f>BE61-BE62</f>
        <v>837.7</v>
      </c>
      <c r="BF63" s="326">
        <f>BF61-BF62</f>
        <v>844.5</v>
      </c>
      <c r="BG63" s="327">
        <f>BG61-BG62</f>
        <v>806.3</v>
      </c>
      <c r="BH63" s="325">
        <f>BH61-BH62</f>
        <v>801.5</v>
      </c>
      <c r="BI63" s="326">
        <f t="shared" si="203"/>
        <v>800.40000000000009</v>
      </c>
      <c r="BJ63" s="326">
        <f t="shared" si="203"/>
        <v>857.69999999999982</v>
      </c>
      <c r="BK63" s="327">
        <f t="shared" si="203"/>
        <v>882.3</v>
      </c>
      <c r="BL63" s="326">
        <f t="shared" si="203"/>
        <v>869.10000000000014</v>
      </c>
      <c r="BM63" s="326">
        <f t="shared" si="203"/>
        <v>896.08942825000031</v>
      </c>
      <c r="BN63" s="326">
        <f t="shared" si="203"/>
        <v>916.91118548625036</v>
      </c>
      <c r="BO63" s="326">
        <f t="shared" si="203"/>
        <v>951.47960990736306</v>
      </c>
      <c r="BP63" s="325">
        <f t="shared" ref="BP63:BW63" si="204">BP61-BP62</f>
        <v>960.34861163059759</v>
      </c>
      <c r="BQ63" s="326">
        <f t="shared" si="204"/>
        <v>959.59390410286164</v>
      </c>
      <c r="BR63" s="326">
        <f t="shared" si="204"/>
        <v>956.66042222242322</v>
      </c>
      <c r="BS63" s="327">
        <f t="shared" si="204"/>
        <v>957.07550360858431</v>
      </c>
      <c r="BT63" s="326">
        <f t="shared" si="204"/>
        <v>958.45301037734384</v>
      </c>
      <c r="BU63" s="326">
        <f t="shared" si="204"/>
        <v>952.89494753992835</v>
      </c>
      <c r="BV63" s="326">
        <f t="shared" si="204"/>
        <v>946.01556427052333</v>
      </c>
      <c r="BW63" s="327">
        <f t="shared" si="204"/>
        <v>943.18328165559979</v>
      </c>
      <c r="BX63" s="481"/>
      <c r="BY63" s="326">
        <f>BY61-BY62</f>
        <v>121.55600000000001</v>
      </c>
      <c r="BZ63" s="326">
        <f>BZ61-BZ62</f>
        <v>143.53399999999999</v>
      </c>
      <c r="CA63" s="326">
        <f>CA61-CA62</f>
        <v>144.20800000000003</v>
      </c>
      <c r="CB63" s="326">
        <f>CB61-CB62</f>
        <v>150.38299999999998</v>
      </c>
      <c r="CC63" s="326">
        <f>CC61-CC62</f>
        <v>153.51600000000002</v>
      </c>
      <c r="CD63" s="326">
        <f t="shared" ref="CD63:CN63" si="205">CD61-CD62</f>
        <v>173.35999999999996</v>
      </c>
      <c r="CE63" s="326">
        <f t="shared" si="205"/>
        <v>162.29899999999998</v>
      </c>
      <c r="CF63" s="326">
        <f t="shared" si="205"/>
        <v>204.363</v>
      </c>
      <c r="CG63" s="326">
        <f t="shared" si="205"/>
        <v>251.36500000000007</v>
      </c>
      <c r="CH63" s="326">
        <f t="shared" si="205"/>
        <v>279.38299999999998</v>
      </c>
      <c r="CI63" s="326">
        <f t="shared" si="205"/>
        <v>328.59999999999991</v>
      </c>
      <c r="CJ63" s="326">
        <f t="shared" si="205"/>
        <v>555.89999999999986</v>
      </c>
      <c r="CK63" s="326">
        <f t="shared" si="205"/>
        <v>826.40000000000009</v>
      </c>
      <c r="CL63" s="326">
        <f t="shared" si="205"/>
        <v>806.3</v>
      </c>
      <c r="CM63" s="326">
        <f t="shared" si="205"/>
        <v>882.3</v>
      </c>
      <c r="CN63" s="326">
        <f t="shared" si="205"/>
        <v>951.47960990736306</v>
      </c>
      <c r="CO63" s="326">
        <f>CO61-CO62</f>
        <v>957.07550360858431</v>
      </c>
      <c r="CP63" s="326">
        <f>CP61-CP62</f>
        <v>943.18328165559979</v>
      </c>
      <c r="CQ63" s="215"/>
      <c r="CR63" s="326">
        <f>CR61-CR62</f>
        <v>148.69799999999998</v>
      </c>
      <c r="CS63" s="326">
        <f>CS61-CS62</f>
        <v>147.154</v>
      </c>
      <c r="CT63" s="326">
        <f>CT61-CT62</f>
        <v>162.49700000000001</v>
      </c>
      <c r="CU63" s="326">
        <f t="shared" ref="CU63:CZ63" si="206">CU61-CU62</f>
        <v>175.12700000000001</v>
      </c>
      <c r="CV63" s="326">
        <f t="shared" si="206"/>
        <v>166.03499999999997</v>
      </c>
      <c r="CW63" s="326">
        <f t="shared" si="206"/>
        <v>223.81300000000005</v>
      </c>
      <c r="CX63" s="326">
        <f t="shared" si="206"/>
        <v>240.40100000000001</v>
      </c>
      <c r="CY63" s="326">
        <f t="shared" si="206"/>
        <v>287.25300000000004</v>
      </c>
      <c r="CZ63" s="632">
        <f t="shared" si="206"/>
        <v>323.70000000000005</v>
      </c>
      <c r="DA63" s="632">
        <f t="shared" ref="DA63:DF63" si="207">DA61-DA62</f>
        <v>610.4</v>
      </c>
      <c r="DB63" s="632">
        <f t="shared" si="207"/>
        <v>847.9</v>
      </c>
      <c r="DC63" s="632">
        <f t="shared" si="207"/>
        <v>801.5</v>
      </c>
      <c r="DD63" s="632">
        <f t="shared" si="207"/>
        <v>869.10000000000014</v>
      </c>
      <c r="DE63" s="632">
        <f t="shared" si="207"/>
        <v>960.34861163059759</v>
      </c>
      <c r="DF63" s="383">
        <f t="shared" si="207"/>
        <v>958.45301037734384</v>
      </c>
      <c r="DG63" s="110"/>
      <c r="DH63" s="110"/>
      <c r="DI63" s="110"/>
      <c r="DJ63" s="110"/>
      <c r="DK63"/>
      <c r="DL63"/>
      <c r="DM63"/>
      <c r="DN63"/>
      <c r="DO63"/>
      <c r="DP63"/>
    </row>
    <row r="64" spans="1:122" s="109" customFormat="1" ht="14.25">
      <c r="B64" s="301"/>
      <c r="C64" s="301"/>
      <c r="D64" s="328"/>
      <c r="E64" s="328"/>
      <c r="F64" s="328"/>
      <c r="G64" s="328"/>
      <c r="H64" s="328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8"/>
      <c r="AW64" s="328"/>
      <c r="AX64" s="328"/>
      <c r="AY64" s="328"/>
      <c r="AZ64" s="328"/>
      <c r="BA64" s="328"/>
      <c r="BB64" s="328"/>
      <c r="BC64" s="328"/>
      <c r="BD64" s="328"/>
      <c r="BE64" s="328"/>
      <c r="BF64" s="328"/>
      <c r="BG64" s="328"/>
      <c r="BH64" s="328"/>
      <c r="BI64" s="328"/>
      <c r="BJ64" s="328"/>
      <c r="BK64" s="328"/>
      <c r="BL64" s="328"/>
      <c r="BM64" s="328"/>
      <c r="BN64" s="328"/>
      <c r="BO64" s="328"/>
      <c r="BP64" s="328"/>
      <c r="BQ64" s="328"/>
      <c r="BR64" s="328"/>
      <c r="BS64" s="328"/>
      <c r="BT64" s="328"/>
      <c r="BU64" s="328"/>
      <c r="BV64" s="328"/>
      <c r="BW64" s="328"/>
      <c r="BX64" s="328"/>
      <c r="BY64" s="328"/>
      <c r="BZ64" s="328"/>
      <c r="CA64" s="328"/>
      <c r="CB64" s="328"/>
      <c r="CC64" s="328"/>
      <c r="CD64" s="328"/>
      <c r="CE64" s="328"/>
      <c r="CF64" s="328"/>
      <c r="CG64" s="328"/>
      <c r="CH64" s="328"/>
      <c r="CI64" s="328"/>
      <c r="CJ64" s="328"/>
      <c r="CK64" s="328"/>
      <c r="CL64" s="328"/>
      <c r="CM64" s="328"/>
      <c r="CN64" s="328"/>
      <c r="CO64" s="328"/>
      <c r="CP64" s="328"/>
      <c r="CQ64" s="110"/>
      <c r="CR64" s="328"/>
      <c r="CS64" s="328"/>
      <c r="CT64" s="328"/>
      <c r="CU64" s="328"/>
      <c r="CV64" s="328"/>
      <c r="CW64" s="328"/>
      <c r="CX64" s="328"/>
      <c r="CY64" s="328"/>
      <c r="CZ64" s="384"/>
      <c r="DA64" s="384"/>
      <c r="DB64" s="384"/>
      <c r="DC64" s="384"/>
      <c r="DD64" s="384"/>
      <c r="DE64" s="384"/>
      <c r="DF64" s="384"/>
      <c r="DG64" s="110"/>
      <c r="DH64" s="110"/>
      <c r="DI64" s="110"/>
      <c r="DJ64" s="110"/>
      <c r="DK64"/>
      <c r="DL64"/>
      <c r="DM64"/>
      <c r="DN64"/>
      <c r="DO64"/>
      <c r="DP64"/>
    </row>
    <row r="65" spans="1:122" s="109" customFormat="1" ht="14.25">
      <c r="B65" s="209" t="s">
        <v>157</v>
      </c>
      <c r="C65" s="210"/>
      <c r="D65" s="236">
        <f>BS!D16</f>
        <v>140.09</v>
      </c>
      <c r="E65" s="245">
        <f>BS!E16</f>
        <v>143.30600000000001</v>
      </c>
      <c r="F65" s="245">
        <f>BS!F16</f>
        <v>139.411</v>
      </c>
      <c r="G65" s="245">
        <f>BS!G16</f>
        <v>121.556</v>
      </c>
      <c r="H65" s="236">
        <f>BS!H16</f>
        <v>126.669</v>
      </c>
      <c r="I65" s="245">
        <f>BS!I16</f>
        <v>126.93899999999999</v>
      </c>
      <c r="J65" s="245">
        <f>BS!J16</f>
        <v>136.708</v>
      </c>
      <c r="K65" s="245">
        <f>BS!K16</f>
        <v>143.53399999999999</v>
      </c>
      <c r="L65" s="236">
        <f>BS!L16</f>
        <v>144.131</v>
      </c>
      <c r="M65" s="245">
        <f>BS!M16</f>
        <v>141.64500000000001</v>
      </c>
      <c r="N65" s="245">
        <f>BS!N16</f>
        <v>143.17699999999999</v>
      </c>
      <c r="O65" s="245">
        <f>BS!O16</f>
        <v>144.208</v>
      </c>
      <c r="P65" s="236">
        <f>BS!P16</f>
        <v>148.69800000000001</v>
      </c>
      <c r="Q65" s="245">
        <f>BS!Q16</f>
        <v>151.84</v>
      </c>
      <c r="R65" s="245">
        <f>BS!R16</f>
        <v>152.25700000000001</v>
      </c>
      <c r="S65" s="245">
        <f>BS!S16</f>
        <v>150.38300000000001</v>
      </c>
      <c r="T65" s="236">
        <f>BS!T16</f>
        <v>147.154</v>
      </c>
      <c r="U65" s="245">
        <f>BS!U16</f>
        <v>148.92099999999999</v>
      </c>
      <c r="V65" s="245">
        <f>BS!V16</f>
        <v>151.893</v>
      </c>
      <c r="W65" s="245">
        <f>BS!W16</f>
        <v>153.51599999999999</v>
      </c>
      <c r="X65" s="236">
        <f>BS!X16</f>
        <v>162.49700000000001</v>
      </c>
      <c r="Y65" s="245">
        <f>BS!Y16</f>
        <v>168.881</v>
      </c>
      <c r="Z65" s="245">
        <f>BS!Z16</f>
        <v>171.636</v>
      </c>
      <c r="AA65" s="245">
        <f>BS!AA16</f>
        <v>173.36</v>
      </c>
      <c r="AB65" s="236">
        <f>BS!AB16</f>
        <v>175.12700000000001</v>
      </c>
      <c r="AC65" s="245">
        <f>BS!AC16</f>
        <v>163.57599999999999</v>
      </c>
      <c r="AD65" s="245">
        <f>BS!AD16</f>
        <v>157.994</v>
      </c>
      <c r="AE65" s="245">
        <f>BS!AE16</f>
        <v>162.29900000000001</v>
      </c>
      <c r="AF65" s="236">
        <f>BS!AF16</f>
        <v>166.035</v>
      </c>
      <c r="AG65" s="245">
        <f>BS!AG16</f>
        <v>174.21299999999999</v>
      </c>
      <c r="AH65" s="245">
        <f>BS!AH16</f>
        <v>187.49100000000001</v>
      </c>
      <c r="AI65" s="245">
        <f>BS!AI16</f>
        <v>204.363</v>
      </c>
      <c r="AJ65" s="236">
        <f>BS!AJ16</f>
        <v>223.81299999999999</v>
      </c>
      <c r="AK65" s="245">
        <f>BS!AK16</f>
        <v>241.733</v>
      </c>
      <c r="AL65" s="245">
        <f>BS!AL16</f>
        <v>252.755</v>
      </c>
      <c r="AM65" s="245">
        <f>BS!AM16</f>
        <v>251.36500000000001</v>
      </c>
      <c r="AN65" s="236">
        <f>BS!AN16</f>
        <v>240.40100000000001</v>
      </c>
      <c r="AO65" s="245">
        <f>BS!AO16</f>
        <v>252.31200000000001</v>
      </c>
      <c r="AP65" s="245">
        <f>BS!AP16</f>
        <v>266.03899999999999</v>
      </c>
      <c r="AQ65" s="245">
        <f>BS!AQ16</f>
        <v>279.38299999999998</v>
      </c>
      <c r="AR65" s="236">
        <f>BS!AR16</f>
        <v>287.25299999999999</v>
      </c>
      <c r="AS65" s="245">
        <v>294.3</v>
      </c>
      <c r="AT65" s="245">
        <f>BS!AT16</f>
        <v>309.2</v>
      </c>
      <c r="AU65" s="245">
        <f>BS!AU16</f>
        <v>328.6</v>
      </c>
      <c r="AV65" s="236">
        <f>BS!AV16</f>
        <v>323.7</v>
      </c>
      <c r="AW65" s="245">
        <f>BS!AW16</f>
        <v>343.9</v>
      </c>
      <c r="AX65" s="245">
        <f>BS!AX16</f>
        <v>387.3</v>
      </c>
      <c r="AY65" s="245">
        <f>BS!AY16</f>
        <v>555.9</v>
      </c>
      <c r="AZ65" s="236">
        <f>BS!AZ16</f>
        <v>610.4</v>
      </c>
      <c r="BA65" s="245">
        <f>BS!BA16</f>
        <v>655.8</v>
      </c>
      <c r="BB65" s="245">
        <f>BS!BB16</f>
        <v>721.6</v>
      </c>
      <c r="BC65" s="245">
        <f>BS!BC16</f>
        <v>826.4</v>
      </c>
      <c r="BD65" s="236">
        <f>BS!BD16</f>
        <v>847.9</v>
      </c>
      <c r="BE65" s="245">
        <f>BS!BE16</f>
        <v>837.7</v>
      </c>
      <c r="BF65" s="245">
        <f>BS!BF16</f>
        <v>844.5</v>
      </c>
      <c r="BG65" s="245">
        <f>BS!BG16</f>
        <v>806.3</v>
      </c>
      <c r="BH65" s="236">
        <f>BS!BH16</f>
        <v>801.5</v>
      </c>
      <c r="BI65" s="245">
        <f>BS!BI16</f>
        <v>800.4</v>
      </c>
      <c r="BJ65" s="245">
        <f>BS!BJ16</f>
        <v>857.7</v>
      </c>
      <c r="BK65" s="245">
        <f>BS!BK16</f>
        <v>882.3</v>
      </c>
      <c r="BL65" s="236">
        <f>BS!BL16</f>
        <v>869.1</v>
      </c>
      <c r="BM65" s="245">
        <f>BS!BM16</f>
        <v>896.08942825000031</v>
      </c>
      <c r="BN65" s="245">
        <f>BS!BN16</f>
        <v>916.91118548625036</v>
      </c>
      <c r="BO65" s="245">
        <f>BS!BO16</f>
        <v>951.47960990736306</v>
      </c>
      <c r="BP65" s="236">
        <f>BS!BP16</f>
        <v>960.34861163059759</v>
      </c>
      <c r="BQ65" s="245">
        <f>BS!BQ16</f>
        <v>959.59390410286164</v>
      </c>
      <c r="BR65" s="245">
        <f>BS!BR16</f>
        <v>956.66042222242322</v>
      </c>
      <c r="BS65" s="245">
        <f>BS!BS16</f>
        <v>957.07550360858431</v>
      </c>
      <c r="BT65" s="236">
        <f>BS!BT16</f>
        <v>958.45301037734384</v>
      </c>
      <c r="BU65" s="245">
        <f>BS!BU16</f>
        <v>952.89494753992835</v>
      </c>
      <c r="BV65" s="245">
        <f>BS!BV16</f>
        <v>946.01556427052333</v>
      </c>
      <c r="BW65" s="245">
        <f>BS!BW16</f>
        <v>943.18328165559979</v>
      </c>
      <c r="BX65" s="481"/>
      <c r="BY65" s="245">
        <f>BS!BY16</f>
        <v>121.556</v>
      </c>
      <c r="BZ65" s="245">
        <f>BS!BZ16</f>
        <v>143.53399999999999</v>
      </c>
      <c r="CA65" s="245">
        <f>BS!CA16</f>
        <v>144.208</v>
      </c>
      <c r="CB65" s="245">
        <f>BS!CB16</f>
        <v>150.38300000000001</v>
      </c>
      <c r="CC65" s="245">
        <f>BS!CC16</f>
        <v>153.51599999999999</v>
      </c>
      <c r="CD65" s="245">
        <f>BS!CD16</f>
        <v>173.36</v>
      </c>
      <c r="CE65" s="245">
        <f>BS!CE16</f>
        <v>162.29900000000001</v>
      </c>
      <c r="CF65" s="245">
        <f>BS!CF16</f>
        <v>204.363</v>
      </c>
      <c r="CG65" s="245">
        <f>BS!CG16</f>
        <v>251.36500000000001</v>
      </c>
      <c r="CH65" s="245">
        <f>BS!CH16</f>
        <v>279.38299999999998</v>
      </c>
      <c r="CI65" s="245">
        <f>BS!CI16</f>
        <v>328.6</v>
      </c>
      <c r="CJ65" s="245">
        <f>BS!CJ16</f>
        <v>555.9</v>
      </c>
      <c r="CK65" s="245">
        <f>BS!CK16</f>
        <v>826.4</v>
      </c>
      <c r="CL65" s="245">
        <f>BS!CL16</f>
        <v>806.3</v>
      </c>
      <c r="CM65" s="245">
        <f>BS!CM16</f>
        <v>882.3</v>
      </c>
      <c r="CN65" s="245">
        <f>BS!CN16</f>
        <v>951.47960990736306</v>
      </c>
      <c r="CO65" s="245">
        <f>BS!CO16</f>
        <v>957.07550360858431</v>
      </c>
      <c r="CP65" s="245">
        <f>BS!CP16</f>
        <v>943.18328165559979</v>
      </c>
      <c r="CQ65" s="215"/>
      <c r="CR65" s="245">
        <f>BS!CR16</f>
        <v>148.69800000000001</v>
      </c>
      <c r="CS65" s="245">
        <f>BS!CS16</f>
        <v>147.154</v>
      </c>
      <c r="CT65" s="245">
        <f>BS!CT16</f>
        <v>162.49700000000001</v>
      </c>
      <c r="CU65" s="245">
        <f>BS!CU16</f>
        <v>175.12700000000001</v>
      </c>
      <c r="CV65" s="245">
        <f>BS!CV16</f>
        <v>166.035</v>
      </c>
      <c r="CW65" s="245">
        <f>BS!CW16</f>
        <v>223.81299999999999</v>
      </c>
      <c r="CX65" s="245">
        <f>BS!CX16</f>
        <v>240.40100000000001</v>
      </c>
      <c r="CY65" s="245">
        <f>BS!CY16</f>
        <v>287.25299999999999</v>
      </c>
      <c r="CZ65" s="245">
        <f>BS!CZ16</f>
        <v>323.7</v>
      </c>
      <c r="DA65" s="245">
        <f>BS!DA16</f>
        <v>610.4</v>
      </c>
      <c r="DB65" s="245">
        <f>BS!DB16</f>
        <v>847.9</v>
      </c>
      <c r="DC65" s="245">
        <f>BS!DC16</f>
        <v>801.5</v>
      </c>
      <c r="DD65" s="245">
        <f>BS!DD16</f>
        <v>869.1</v>
      </c>
      <c r="DE65" s="245">
        <f>BS!DE16</f>
        <v>960.34861163059759</v>
      </c>
      <c r="DF65" s="234">
        <f>BS!DF16</f>
        <v>958.45301037734384</v>
      </c>
      <c r="DG65" s="110"/>
      <c r="DH65" s="110"/>
      <c r="DI65" s="110"/>
      <c r="DJ65" s="110"/>
      <c r="DK65"/>
      <c r="DL65"/>
      <c r="DM65"/>
      <c r="DN65"/>
      <c r="DO65"/>
      <c r="DP65"/>
    </row>
    <row r="66" spans="1:122" s="7" customFormat="1" ht="14.25">
      <c r="A66" s="3"/>
      <c r="B66" s="163" t="s">
        <v>135</v>
      </c>
      <c r="C66" s="164"/>
      <c r="D66" s="167">
        <f t="shared" ref="D66:X66" si="208">D65-D63</f>
        <v>0</v>
      </c>
      <c r="E66" s="165">
        <f t="shared" si="208"/>
        <v>0</v>
      </c>
      <c r="F66" s="165">
        <f t="shared" si="208"/>
        <v>0</v>
      </c>
      <c r="G66" s="165">
        <f t="shared" si="208"/>
        <v>0</v>
      </c>
      <c r="H66" s="167">
        <f t="shared" si="208"/>
        <v>0</v>
      </c>
      <c r="I66" s="165">
        <f t="shared" si="208"/>
        <v>0</v>
      </c>
      <c r="J66" s="165">
        <f t="shared" si="208"/>
        <v>0</v>
      </c>
      <c r="K66" s="165">
        <f t="shared" si="208"/>
        <v>0</v>
      </c>
      <c r="L66" s="167">
        <f t="shared" si="208"/>
        <v>0</v>
      </c>
      <c r="M66" s="165">
        <f t="shared" si="208"/>
        <v>0</v>
      </c>
      <c r="N66" s="165">
        <f t="shared" si="208"/>
        <v>0</v>
      </c>
      <c r="O66" s="165">
        <f t="shared" si="208"/>
        <v>0</v>
      </c>
      <c r="P66" s="167">
        <f t="shared" si="208"/>
        <v>0</v>
      </c>
      <c r="Q66" s="165">
        <f t="shared" si="208"/>
        <v>0</v>
      </c>
      <c r="R66" s="165">
        <f t="shared" si="208"/>
        <v>0</v>
      </c>
      <c r="S66" s="165">
        <f t="shared" si="208"/>
        <v>0</v>
      </c>
      <c r="T66" s="167">
        <f t="shared" si="208"/>
        <v>0</v>
      </c>
      <c r="U66" s="165">
        <f t="shared" si="208"/>
        <v>0</v>
      </c>
      <c r="V66" s="165">
        <f t="shared" si="208"/>
        <v>0</v>
      </c>
      <c r="W66" s="165">
        <f t="shared" si="208"/>
        <v>0</v>
      </c>
      <c r="X66" s="167">
        <f t="shared" si="208"/>
        <v>0</v>
      </c>
      <c r="Y66" s="165">
        <f t="shared" ref="Y66:AW66" si="209">Y65-Y63</f>
        <v>0</v>
      </c>
      <c r="Z66" s="165">
        <f t="shared" si="209"/>
        <v>0</v>
      </c>
      <c r="AA66" s="165">
        <f t="shared" si="209"/>
        <v>0</v>
      </c>
      <c r="AB66" s="165">
        <f t="shared" si="209"/>
        <v>0</v>
      </c>
      <c r="AC66" s="165">
        <f t="shared" si="209"/>
        <v>0</v>
      </c>
      <c r="AD66" s="165">
        <f t="shared" si="209"/>
        <v>0</v>
      </c>
      <c r="AE66" s="165">
        <f t="shared" si="209"/>
        <v>0</v>
      </c>
      <c r="AF66" s="165">
        <f t="shared" si="209"/>
        <v>0</v>
      </c>
      <c r="AG66" s="165">
        <f t="shared" si="209"/>
        <v>0</v>
      </c>
      <c r="AH66" s="347">
        <f t="shared" si="209"/>
        <v>0</v>
      </c>
      <c r="AI66" s="165">
        <f t="shared" si="209"/>
        <v>0</v>
      </c>
      <c r="AJ66" s="167">
        <f t="shared" si="209"/>
        <v>0</v>
      </c>
      <c r="AK66" s="165">
        <f t="shared" si="209"/>
        <v>0</v>
      </c>
      <c r="AL66" s="347">
        <f t="shared" si="209"/>
        <v>0</v>
      </c>
      <c r="AM66" s="347">
        <f t="shared" si="209"/>
        <v>0</v>
      </c>
      <c r="AN66" s="167">
        <f t="shared" si="209"/>
        <v>0</v>
      </c>
      <c r="AO66" s="165">
        <f t="shared" si="209"/>
        <v>0</v>
      </c>
      <c r="AP66" s="165">
        <f t="shared" si="209"/>
        <v>0</v>
      </c>
      <c r="AQ66" s="347">
        <f t="shared" si="209"/>
        <v>0</v>
      </c>
      <c r="AR66" s="355">
        <f t="shared" si="209"/>
        <v>0</v>
      </c>
      <c r="AS66" s="165">
        <f t="shared" si="209"/>
        <v>0</v>
      </c>
      <c r="AT66" s="165">
        <f t="shared" si="209"/>
        <v>0</v>
      </c>
      <c r="AU66" s="347">
        <f t="shared" si="209"/>
        <v>0</v>
      </c>
      <c r="AV66" s="355">
        <f t="shared" si="209"/>
        <v>0</v>
      </c>
      <c r="AW66" s="347">
        <f t="shared" si="209"/>
        <v>0</v>
      </c>
      <c r="AX66" s="165">
        <f t="shared" ref="AX66:BC66" si="210">AX65-AX63</f>
        <v>0</v>
      </c>
      <c r="AY66" s="347">
        <f t="shared" si="210"/>
        <v>0</v>
      </c>
      <c r="AZ66" s="355">
        <f t="shared" si="210"/>
        <v>0</v>
      </c>
      <c r="BA66" s="347">
        <f t="shared" si="210"/>
        <v>0</v>
      </c>
      <c r="BB66" s="165">
        <f t="shared" si="210"/>
        <v>0</v>
      </c>
      <c r="BC66" s="347">
        <f t="shared" si="210"/>
        <v>0</v>
      </c>
      <c r="BD66" s="355">
        <f t="shared" ref="BD66:BO66" si="211">BD65-BD63</f>
        <v>0</v>
      </c>
      <c r="BE66" s="347">
        <f t="shared" si="211"/>
        <v>0</v>
      </c>
      <c r="BF66" s="165">
        <f t="shared" si="211"/>
        <v>0</v>
      </c>
      <c r="BG66" s="347">
        <f t="shared" si="211"/>
        <v>0</v>
      </c>
      <c r="BH66" s="355">
        <f>BH65-BH63</f>
        <v>0</v>
      </c>
      <c r="BI66" s="165">
        <f t="shared" si="211"/>
        <v>0</v>
      </c>
      <c r="BJ66" s="165">
        <f t="shared" si="211"/>
        <v>0</v>
      </c>
      <c r="BK66" s="165">
        <f t="shared" si="211"/>
        <v>0</v>
      </c>
      <c r="BL66" s="167">
        <f t="shared" si="211"/>
        <v>0</v>
      </c>
      <c r="BM66" s="165">
        <f t="shared" si="211"/>
        <v>0</v>
      </c>
      <c r="BN66" s="165">
        <f t="shared" si="211"/>
        <v>0</v>
      </c>
      <c r="BO66" s="165">
        <f t="shared" si="211"/>
        <v>0</v>
      </c>
      <c r="BP66" s="167">
        <f t="shared" ref="BP66:BW66" si="212">BP65-BP63</f>
        <v>0</v>
      </c>
      <c r="BQ66" s="165">
        <f t="shared" si="212"/>
        <v>0</v>
      </c>
      <c r="BR66" s="165">
        <f t="shared" si="212"/>
        <v>0</v>
      </c>
      <c r="BS66" s="165">
        <f t="shared" si="212"/>
        <v>0</v>
      </c>
      <c r="BT66" s="167">
        <f t="shared" si="212"/>
        <v>0</v>
      </c>
      <c r="BU66" s="165">
        <f t="shared" si="212"/>
        <v>0</v>
      </c>
      <c r="BV66" s="165">
        <f t="shared" si="212"/>
        <v>0</v>
      </c>
      <c r="BW66" s="165">
        <f t="shared" si="212"/>
        <v>0</v>
      </c>
      <c r="BX66" s="482"/>
      <c r="BY66" s="165">
        <f>BY63-BY65</f>
        <v>0</v>
      </c>
      <c r="BZ66" s="165">
        <f>BZ63-BZ65</f>
        <v>0</v>
      </c>
      <c r="CA66" s="165">
        <f>CA63-CA65</f>
        <v>0</v>
      </c>
      <c r="CB66" s="165">
        <f>CB63-CB65</f>
        <v>0</v>
      </c>
      <c r="CC66" s="165">
        <f>CC63-CC65</f>
        <v>0</v>
      </c>
      <c r="CD66" s="165">
        <f t="shared" ref="CD66:CN66" si="213">CD63-CD65</f>
        <v>0</v>
      </c>
      <c r="CE66" s="165">
        <f t="shared" si="213"/>
        <v>0</v>
      </c>
      <c r="CF66" s="165">
        <f t="shared" si="213"/>
        <v>0</v>
      </c>
      <c r="CG66" s="165">
        <f>CG65-CG63</f>
        <v>0</v>
      </c>
      <c r="CH66" s="165">
        <f>CH65-CH63</f>
        <v>0</v>
      </c>
      <c r="CI66" s="165">
        <f t="shared" si="213"/>
        <v>0</v>
      </c>
      <c r="CJ66" s="165">
        <f t="shared" si="213"/>
        <v>0</v>
      </c>
      <c r="CK66" s="165">
        <f t="shared" si="213"/>
        <v>0</v>
      </c>
      <c r="CL66" s="165">
        <f t="shared" si="213"/>
        <v>0</v>
      </c>
      <c r="CM66" s="165">
        <f t="shared" si="213"/>
        <v>0</v>
      </c>
      <c r="CN66" s="347">
        <f t="shared" si="213"/>
        <v>0</v>
      </c>
      <c r="CO66" s="347">
        <f>CO63-CO65</f>
        <v>0</v>
      </c>
      <c r="CP66" s="347">
        <f>CP63-CP65</f>
        <v>0</v>
      </c>
      <c r="CQ66" s="131"/>
      <c r="CR66" s="165">
        <f>CR65-CR63</f>
        <v>0</v>
      </c>
      <c r="CS66" s="165">
        <f>CS65-CS63</f>
        <v>0</v>
      </c>
      <c r="CT66" s="165">
        <f>CT65-CT63</f>
        <v>0</v>
      </c>
      <c r="CU66" s="165">
        <f t="shared" ref="CU66:CZ66" si="214">CU65-CU63</f>
        <v>0</v>
      </c>
      <c r="CV66" s="165">
        <f t="shared" si="214"/>
        <v>0</v>
      </c>
      <c r="CW66" s="165">
        <f t="shared" si="214"/>
        <v>0</v>
      </c>
      <c r="CX66" s="165">
        <f t="shared" si="214"/>
        <v>0</v>
      </c>
      <c r="CY66" s="165">
        <f t="shared" si="214"/>
        <v>0</v>
      </c>
      <c r="CZ66" s="165">
        <f t="shared" si="214"/>
        <v>0</v>
      </c>
      <c r="DA66" s="165">
        <f t="shared" ref="DA66:DF66" si="215">DA65-DA63</f>
        <v>0</v>
      </c>
      <c r="DB66" s="165">
        <f t="shared" si="215"/>
        <v>0</v>
      </c>
      <c r="DC66" s="165">
        <f t="shared" si="215"/>
        <v>0</v>
      </c>
      <c r="DD66" s="165">
        <f t="shared" si="215"/>
        <v>0</v>
      </c>
      <c r="DE66" s="165">
        <f t="shared" si="215"/>
        <v>0</v>
      </c>
      <c r="DF66" s="166">
        <f t="shared" si="215"/>
        <v>0</v>
      </c>
      <c r="DG66" s="102"/>
      <c r="DH66" s="102"/>
      <c r="DI66" s="102"/>
      <c r="DJ66" s="100"/>
      <c r="DK66"/>
      <c r="DL66"/>
      <c r="DM66"/>
      <c r="DN66"/>
      <c r="DO66"/>
      <c r="DP66"/>
      <c r="DQ66" s="101"/>
      <c r="DR66" s="101"/>
    </row>
    <row r="67" spans="1:122" s="109" customFormat="1" ht="14.25">
      <c r="B67" s="301"/>
      <c r="C67" s="301"/>
      <c r="D67" s="302"/>
      <c r="E67" s="302"/>
      <c r="F67" s="302"/>
      <c r="G67" s="302"/>
      <c r="H67" s="302"/>
      <c r="I67" s="302"/>
      <c r="J67" s="302"/>
      <c r="K67" s="302"/>
      <c r="L67" s="302"/>
      <c r="M67" s="302"/>
      <c r="N67" s="302"/>
      <c r="O67" s="302"/>
      <c r="P67" s="302"/>
      <c r="Q67" s="302"/>
      <c r="R67" s="302"/>
      <c r="S67" s="302"/>
      <c r="T67" s="302"/>
      <c r="U67" s="302"/>
      <c r="V67" s="302"/>
      <c r="W67" s="302"/>
      <c r="X67" s="302"/>
      <c r="Y67" s="302"/>
      <c r="Z67" s="302"/>
      <c r="AA67" s="302"/>
      <c r="AB67" s="302"/>
      <c r="AC67" s="302"/>
      <c r="AD67" s="302"/>
      <c r="AE67" s="302"/>
      <c r="AF67" s="302"/>
      <c r="AG67" s="302"/>
      <c r="AH67" s="302"/>
      <c r="AI67" s="302"/>
      <c r="AJ67" s="302"/>
      <c r="AK67" s="302"/>
      <c r="AL67" s="302"/>
      <c r="AM67" s="302"/>
      <c r="AN67" s="302"/>
      <c r="AO67" s="302"/>
      <c r="AP67" s="302"/>
      <c r="AQ67" s="302"/>
      <c r="AR67" s="302"/>
      <c r="AS67" s="302"/>
      <c r="AT67" s="302"/>
      <c r="AU67" s="302"/>
      <c r="AV67" s="302"/>
      <c r="AW67" s="302"/>
      <c r="AX67" s="302"/>
      <c r="AY67" s="302"/>
      <c r="AZ67" s="302"/>
      <c r="BA67" s="302"/>
      <c r="BB67" s="302"/>
      <c r="BC67" s="302"/>
      <c r="BD67" s="302"/>
      <c r="BE67" s="302"/>
      <c r="BF67" s="302"/>
      <c r="BG67" s="302"/>
      <c r="BH67" s="302"/>
      <c r="BI67" s="302"/>
      <c r="BJ67" s="302"/>
      <c r="BK67" s="302"/>
      <c r="BL67" s="302"/>
      <c r="BM67" s="302"/>
      <c r="BN67" s="302"/>
      <c r="BO67" s="302"/>
      <c r="BP67" s="302"/>
      <c r="BQ67" s="302"/>
      <c r="BR67" s="302"/>
      <c r="BS67" s="302"/>
      <c r="BT67" s="302"/>
      <c r="BU67" s="302"/>
      <c r="BV67" s="302"/>
      <c r="BW67" s="302"/>
      <c r="BX67" s="303"/>
      <c r="BY67" s="302"/>
      <c r="BZ67" s="302"/>
      <c r="CA67" s="302"/>
      <c r="CB67" s="302"/>
      <c r="CC67" s="302"/>
      <c r="CD67" s="302"/>
      <c r="CE67" s="302"/>
      <c r="CF67" s="302"/>
      <c r="CG67" s="302"/>
      <c r="CH67" s="302"/>
      <c r="CI67" s="302"/>
      <c r="CJ67" s="304"/>
      <c r="CK67" s="304"/>
      <c r="CL67" s="304"/>
      <c r="CM67" s="304"/>
      <c r="CN67" s="304"/>
      <c r="CO67" s="304"/>
      <c r="CP67" s="304"/>
      <c r="CQ67" s="110"/>
      <c r="CR67" s="304"/>
      <c r="CS67" s="304"/>
      <c r="CT67" s="304"/>
      <c r="CU67" s="304"/>
      <c r="CV67" s="304"/>
      <c r="CW67" s="304"/>
      <c r="CX67" s="304"/>
      <c r="CY67" s="304"/>
      <c r="CZ67" s="304"/>
      <c r="DA67" s="304"/>
      <c r="DB67" s="304"/>
      <c r="DC67" s="304"/>
      <c r="DD67" s="304"/>
      <c r="DE67" s="304"/>
      <c r="DF67" s="304"/>
      <c r="DG67" s="110"/>
      <c r="DH67" s="110"/>
      <c r="DI67" s="110"/>
      <c r="DJ67" s="110"/>
      <c r="DK67"/>
      <c r="DL67"/>
      <c r="DM67"/>
      <c r="DN67"/>
      <c r="DO67"/>
      <c r="DP67"/>
    </row>
    <row r="68" spans="1:122" s="109" customFormat="1" ht="15">
      <c r="B68" s="170" t="s">
        <v>195</v>
      </c>
      <c r="C68" s="171"/>
      <c r="D68" s="11" t="str">
        <f t="shared" ref="D68:AI68" si="216">D56</f>
        <v>F1Q03A</v>
      </c>
      <c r="E68" s="12" t="str">
        <f t="shared" si="216"/>
        <v>F2Q03A</v>
      </c>
      <c r="F68" s="12" t="str">
        <f t="shared" si="216"/>
        <v>F3Q03A</v>
      </c>
      <c r="G68" s="13" t="str">
        <f t="shared" si="216"/>
        <v>F4Q03A</v>
      </c>
      <c r="H68" s="11" t="str">
        <f t="shared" si="216"/>
        <v>F1Q04A</v>
      </c>
      <c r="I68" s="12" t="str">
        <f t="shared" si="216"/>
        <v>F2Q04A</v>
      </c>
      <c r="J68" s="12" t="str">
        <f t="shared" si="216"/>
        <v>F3Q04A</v>
      </c>
      <c r="K68" s="13" t="str">
        <f t="shared" si="216"/>
        <v>F4Q04A</v>
      </c>
      <c r="L68" s="11" t="str">
        <f t="shared" si="216"/>
        <v>F1Q05A</v>
      </c>
      <c r="M68" s="12" t="str">
        <f t="shared" si="216"/>
        <v>F2Q05A</v>
      </c>
      <c r="N68" s="12" t="str">
        <f t="shared" si="216"/>
        <v>F3Q05A</v>
      </c>
      <c r="O68" s="13" t="str">
        <f t="shared" si="216"/>
        <v>F4Q05A</v>
      </c>
      <c r="P68" s="11" t="str">
        <f t="shared" si="216"/>
        <v>F1Q06A</v>
      </c>
      <c r="Q68" s="12" t="str">
        <f t="shared" si="216"/>
        <v>F2Q06A</v>
      </c>
      <c r="R68" s="12" t="str">
        <f t="shared" si="216"/>
        <v>F3Q06A</v>
      </c>
      <c r="S68" s="13" t="str">
        <f t="shared" si="216"/>
        <v>F4Q06A</v>
      </c>
      <c r="T68" s="11" t="str">
        <f t="shared" si="216"/>
        <v>F1Q07A</v>
      </c>
      <c r="U68" s="12" t="str">
        <f t="shared" si="216"/>
        <v>F2Q07A</v>
      </c>
      <c r="V68" s="12" t="str">
        <f t="shared" si="216"/>
        <v>F3Q07A</v>
      </c>
      <c r="W68" s="13" t="str">
        <f t="shared" si="216"/>
        <v>F4Q07A</v>
      </c>
      <c r="X68" s="11" t="str">
        <f t="shared" si="216"/>
        <v>F1Q08A</v>
      </c>
      <c r="Y68" s="12" t="str">
        <f t="shared" si="216"/>
        <v>F2Q08A</v>
      </c>
      <c r="Z68" s="12" t="str">
        <f t="shared" si="216"/>
        <v>F3Q08A</v>
      </c>
      <c r="AA68" s="13" t="str">
        <f t="shared" si="216"/>
        <v>F4Q08A</v>
      </c>
      <c r="AB68" s="12" t="str">
        <f t="shared" si="216"/>
        <v>F1Q09A</v>
      </c>
      <c r="AC68" s="12" t="str">
        <f t="shared" si="216"/>
        <v>F2Q09A</v>
      </c>
      <c r="AD68" s="12" t="str">
        <f t="shared" si="216"/>
        <v>F3Q09A</v>
      </c>
      <c r="AE68" s="13" t="str">
        <f t="shared" si="216"/>
        <v>F4Q09A</v>
      </c>
      <c r="AF68" s="12" t="str">
        <f t="shared" si="216"/>
        <v>F1Q10A</v>
      </c>
      <c r="AG68" s="12" t="str">
        <f t="shared" si="216"/>
        <v>F2Q10A</v>
      </c>
      <c r="AH68" s="12" t="str">
        <f t="shared" si="216"/>
        <v>F3Q10A</v>
      </c>
      <c r="AI68" s="13" t="str">
        <f t="shared" si="216"/>
        <v>F4Q10A</v>
      </c>
      <c r="AJ68" s="12" t="str">
        <f t="shared" ref="AJ68:BO68" si="217">AJ56</f>
        <v>F1Q11A</v>
      </c>
      <c r="AK68" s="12" t="str">
        <f t="shared" si="217"/>
        <v>F2Q11A</v>
      </c>
      <c r="AL68" s="12" t="str">
        <f t="shared" si="217"/>
        <v>F3Q11A</v>
      </c>
      <c r="AM68" s="13" t="str">
        <f t="shared" si="217"/>
        <v>F4Q11A</v>
      </c>
      <c r="AN68" s="12" t="str">
        <f t="shared" si="217"/>
        <v>F1Q12A</v>
      </c>
      <c r="AO68" s="12" t="str">
        <f t="shared" si="217"/>
        <v>F2Q12A</v>
      </c>
      <c r="AP68" s="12" t="str">
        <f t="shared" si="217"/>
        <v>F3Q12A</v>
      </c>
      <c r="AQ68" s="13" t="str">
        <f t="shared" si="217"/>
        <v>F4Q12A</v>
      </c>
      <c r="AR68" s="12" t="str">
        <f t="shared" si="217"/>
        <v>F1Q13A</v>
      </c>
      <c r="AS68" s="12" t="str">
        <f t="shared" si="217"/>
        <v>F2Q13A</v>
      </c>
      <c r="AT68" s="12" t="str">
        <f t="shared" si="217"/>
        <v>F3Q13A</v>
      </c>
      <c r="AU68" s="13" t="str">
        <f t="shared" si="217"/>
        <v>F4Q13A</v>
      </c>
      <c r="AV68" s="12" t="str">
        <f t="shared" si="217"/>
        <v>F1Q14A</v>
      </c>
      <c r="AW68" s="12" t="str">
        <f t="shared" si="217"/>
        <v>F2Q14A</v>
      </c>
      <c r="AX68" s="12" t="str">
        <f t="shared" si="217"/>
        <v>F3Q14A</v>
      </c>
      <c r="AY68" s="13" t="str">
        <f t="shared" si="217"/>
        <v>F4Q14A</v>
      </c>
      <c r="AZ68" s="12" t="str">
        <f t="shared" si="217"/>
        <v>F1Q15A</v>
      </c>
      <c r="BA68" s="12" t="str">
        <f t="shared" si="217"/>
        <v>F2Q15A</v>
      </c>
      <c r="BB68" s="12" t="str">
        <f t="shared" si="217"/>
        <v>F3Q15A</v>
      </c>
      <c r="BC68" s="13" t="str">
        <f t="shared" si="217"/>
        <v>F4Q15A</v>
      </c>
      <c r="BD68" s="12" t="str">
        <f t="shared" si="217"/>
        <v>F1Q16A</v>
      </c>
      <c r="BE68" s="12" t="str">
        <f>BE56</f>
        <v>F2Q16A</v>
      </c>
      <c r="BF68" s="12" t="str">
        <f>BF56</f>
        <v>F3Q16A</v>
      </c>
      <c r="BG68" s="13" t="str">
        <f>BG56</f>
        <v>F4Q16A</v>
      </c>
      <c r="BH68" s="858" t="str">
        <f>BH56</f>
        <v>F1Q17A</v>
      </c>
      <c r="BI68" s="12" t="str">
        <f t="shared" si="217"/>
        <v>F2Q17A</v>
      </c>
      <c r="BJ68" s="12" t="str">
        <f t="shared" si="217"/>
        <v>F3Q17A</v>
      </c>
      <c r="BK68" s="13" t="str">
        <f t="shared" si="217"/>
        <v>F4Q17A</v>
      </c>
      <c r="BL68" s="12" t="str">
        <f t="shared" si="217"/>
        <v>F1Q18A</v>
      </c>
      <c r="BM68" s="12" t="str">
        <f t="shared" si="217"/>
        <v>F2Q18E</v>
      </c>
      <c r="BN68" s="12" t="str">
        <f t="shared" si="217"/>
        <v>F3Q18E</v>
      </c>
      <c r="BO68" s="13" t="str">
        <f t="shared" si="217"/>
        <v>F4Q18E</v>
      </c>
      <c r="BP68" s="12" t="str">
        <f t="shared" ref="BP68:BW68" si="218">BP56</f>
        <v>F1Q19E</v>
      </c>
      <c r="BQ68" s="12" t="str">
        <f t="shared" si="218"/>
        <v>F2Q19E</v>
      </c>
      <c r="BR68" s="12" t="str">
        <f t="shared" si="218"/>
        <v>F3Q19E</v>
      </c>
      <c r="BS68" s="13" t="str">
        <f t="shared" si="218"/>
        <v>F4Q19E</v>
      </c>
      <c r="BT68" s="878" t="str">
        <f t="shared" si="218"/>
        <v>F1Q20E</v>
      </c>
      <c r="BU68" s="878" t="str">
        <f t="shared" si="218"/>
        <v>F2Q20E</v>
      </c>
      <c r="BV68" s="878" t="str">
        <f t="shared" si="218"/>
        <v>F3Q20E</v>
      </c>
      <c r="BW68" s="879" t="str">
        <f t="shared" si="218"/>
        <v>F4Q20E</v>
      </c>
      <c r="BX68" s="252"/>
      <c r="BY68" s="11" t="e">
        <f>BY56</f>
        <v>#NAME?</v>
      </c>
      <c r="BZ68" s="12" t="e">
        <f>BZ56</f>
        <v>#NAME?</v>
      </c>
      <c r="CA68" s="12" t="e">
        <f t="shared" ref="CA68:CN68" si="219">CA56</f>
        <v>#NAME?</v>
      </c>
      <c r="CB68" s="241" t="e">
        <f t="shared" si="219"/>
        <v>#NAME?</v>
      </c>
      <c r="CC68" s="12" t="e">
        <f t="shared" si="219"/>
        <v>#NAME?</v>
      </c>
      <c r="CD68" s="241" t="e">
        <f t="shared" si="219"/>
        <v>#NAME?</v>
      </c>
      <c r="CE68" s="12" t="e">
        <f t="shared" si="219"/>
        <v>#NAME?</v>
      </c>
      <c r="CF68" s="12" t="e">
        <f t="shared" si="219"/>
        <v>#NAME?</v>
      </c>
      <c r="CG68" s="12" t="e">
        <f t="shared" si="219"/>
        <v>#NAME?</v>
      </c>
      <c r="CH68" s="12" t="e">
        <f t="shared" si="219"/>
        <v>#NAME?</v>
      </c>
      <c r="CI68" s="12" t="str">
        <f t="shared" si="219"/>
        <v>FY2013A</v>
      </c>
      <c r="CJ68" s="12" t="str">
        <f t="shared" si="219"/>
        <v>FY2014A</v>
      </c>
      <c r="CK68" s="12" t="str">
        <f t="shared" si="219"/>
        <v>FY2015A</v>
      </c>
      <c r="CL68" s="12" t="str">
        <f t="shared" si="219"/>
        <v>FY2016A</v>
      </c>
      <c r="CM68" s="12" t="str">
        <f t="shared" si="219"/>
        <v>FY2017A</v>
      </c>
      <c r="CN68" s="12" t="str">
        <f t="shared" si="219"/>
        <v>FY2018E</v>
      </c>
      <c r="CO68" s="878" t="str">
        <f>CO56</f>
        <v>FY2019E</v>
      </c>
      <c r="CP68" s="13" t="str">
        <f>CP56</f>
        <v>FY2020E</v>
      </c>
      <c r="CQ68" s="215"/>
      <c r="CR68" s="11" t="str">
        <f t="shared" ref="CR68:DD68" si="220">CR56</f>
        <v>CY2005</v>
      </c>
      <c r="CS68" s="11" t="str">
        <f t="shared" si="220"/>
        <v>CY2006</v>
      </c>
      <c r="CT68" s="11" t="str">
        <f t="shared" si="220"/>
        <v>CY2007</v>
      </c>
      <c r="CU68" s="11" t="str">
        <f t="shared" si="220"/>
        <v>CY2008</v>
      </c>
      <c r="CV68" s="12" t="str">
        <f t="shared" si="220"/>
        <v>CY2009</v>
      </c>
      <c r="CW68" s="12" t="str">
        <f t="shared" si="220"/>
        <v>CY2010</v>
      </c>
      <c r="CX68" s="12" t="str">
        <f t="shared" si="220"/>
        <v>CY2011</v>
      </c>
      <c r="CY68" s="12" t="str">
        <f t="shared" si="220"/>
        <v>CY2012</v>
      </c>
      <c r="CZ68" s="12" t="str">
        <f t="shared" si="220"/>
        <v>CY2013</v>
      </c>
      <c r="DA68" s="12" t="str">
        <f t="shared" si="220"/>
        <v>CY2014</v>
      </c>
      <c r="DB68" s="12" t="str">
        <f t="shared" si="220"/>
        <v>CY2015</v>
      </c>
      <c r="DC68" s="12" t="str">
        <f t="shared" si="220"/>
        <v>CY2016</v>
      </c>
      <c r="DD68" s="878" t="str">
        <f t="shared" si="220"/>
        <v>CY2017</v>
      </c>
      <c r="DE68" s="878" t="str">
        <f>DE56</f>
        <v>CY2018</v>
      </c>
      <c r="DF68" s="879" t="str">
        <f>DF56</f>
        <v>CY2019</v>
      </c>
      <c r="DG68" s="110"/>
      <c r="DH68" s="110"/>
      <c r="DI68" s="110"/>
      <c r="DJ68" s="110"/>
      <c r="DK68"/>
      <c r="DL68"/>
      <c r="DM68"/>
      <c r="DN68"/>
      <c r="DO68"/>
      <c r="DP68"/>
    </row>
    <row r="69" spans="1:122" s="109" customFormat="1" ht="15">
      <c r="B69" s="330" t="s">
        <v>498</v>
      </c>
      <c r="C69" s="306"/>
      <c r="D69" s="331">
        <f t="shared" ref="D69:AI69" si="221">D70*D61</f>
        <v>9.1080000000000005</v>
      </c>
      <c r="E69" s="332">
        <f t="shared" si="221"/>
        <v>9.2530000000000001</v>
      </c>
      <c r="F69" s="332">
        <f t="shared" si="221"/>
        <v>9.2469999999999999</v>
      </c>
      <c r="G69" s="332">
        <f t="shared" si="221"/>
        <v>9.333000000000002</v>
      </c>
      <c r="H69" s="331">
        <f t="shared" si="221"/>
        <v>8.625</v>
      </c>
      <c r="I69" s="332">
        <f t="shared" si="221"/>
        <v>8.4190000000000005</v>
      </c>
      <c r="J69" s="332">
        <f t="shared" si="221"/>
        <v>8.9920000000000009</v>
      </c>
      <c r="K69" s="332">
        <f t="shared" si="221"/>
        <v>9.7929999999999993</v>
      </c>
      <c r="L69" s="331">
        <f t="shared" si="221"/>
        <v>9.4420000000000002</v>
      </c>
      <c r="M69" s="332">
        <f t="shared" si="221"/>
        <v>9.4669999999999987</v>
      </c>
      <c r="N69" s="332">
        <f t="shared" si="221"/>
        <v>9.0400000000000027</v>
      </c>
      <c r="O69" s="332">
        <f t="shared" si="221"/>
        <v>9.3279999999999994</v>
      </c>
      <c r="P69" s="331">
        <f t="shared" si="221"/>
        <v>9.1440000000000001</v>
      </c>
      <c r="Q69" s="332">
        <f t="shared" si="221"/>
        <v>9.2849999999999984</v>
      </c>
      <c r="R69" s="332">
        <f t="shared" si="221"/>
        <v>9.7080000000000037</v>
      </c>
      <c r="S69" s="332">
        <f t="shared" si="221"/>
        <v>10.079999999999997</v>
      </c>
      <c r="T69" s="331">
        <f t="shared" si="221"/>
        <v>9.5020000000000007</v>
      </c>
      <c r="U69" s="332">
        <f t="shared" si="221"/>
        <v>9.3279999999999976</v>
      </c>
      <c r="V69" s="332">
        <f t="shared" si="221"/>
        <v>9.9990000000000041</v>
      </c>
      <c r="W69" s="332">
        <f t="shared" si="221"/>
        <v>10.408000000000003</v>
      </c>
      <c r="X69" s="331">
        <f t="shared" si="221"/>
        <v>10.916</v>
      </c>
      <c r="Y69" s="332">
        <f t="shared" si="221"/>
        <v>11.076999999999998</v>
      </c>
      <c r="Z69" s="332">
        <f t="shared" si="221"/>
        <v>11.440999999999999</v>
      </c>
      <c r="AA69" s="332">
        <f t="shared" si="221"/>
        <v>11.278000000000002</v>
      </c>
      <c r="AB69" s="331">
        <f t="shared" si="221"/>
        <v>11.211</v>
      </c>
      <c r="AC69" s="332">
        <f t="shared" si="221"/>
        <v>11.604000000000001</v>
      </c>
      <c r="AD69" s="332">
        <f t="shared" si="221"/>
        <v>11.176</v>
      </c>
      <c r="AE69" s="332">
        <f t="shared" si="221"/>
        <v>10.421999999999995</v>
      </c>
      <c r="AF69" s="331">
        <f t="shared" si="221"/>
        <v>10.87</v>
      </c>
      <c r="AG69" s="332">
        <f t="shared" si="221"/>
        <v>11.38</v>
      </c>
      <c r="AH69" s="332">
        <f t="shared" si="221"/>
        <v>11.904999999999999</v>
      </c>
      <c r="AI69" s="463">
        <f t="shared" si="221"/>
        <v>12.417999999999997</v>
      </c>
      <c r="AJ69" s="332">
        <f t="shared" ref="AJ69:BD69" si="222">AJ70*AJ61</f>
        <v>13.589</v>
      </c>
      <c r="AK69" s="332">
        <f t="shared" si="222"/>
        <v>14.293000000000001</v>
      </c>
      <c r="AL69" s="332">
        <f t="shared" si="222"/>
        <v>15.237999999999998</v>
      </c>
      <c r="AM69" s="463">
        <f t="shared" si="222"/>
        <v>16.667999999999999</v>
      </c>
      <c r="AN69" s="332">
        <f t="shared" si="222"/>
        <v>17.274000000000001</v>
      </c>
      <c r="AO69" s="332">
        <f t="shared" si="222"/>
        <v>17.686</v>
      </c>
      <c r="AP69" s="332">
        <f t="shared" si="222"/>
        <v>17.134999999999998</v>
      </c>
      <c r="AQ69" s="463">
        <f t="shared" si="222"/>
        <v>17.450000000000003</v>
      </c>
      <c r="AR69" s="332">
        <f t="shared" si="222"/>
        <v>18.518000000000001</v>
      </c>
      <c r="AS69" s="332">
        <f t="shared" si="222"/>
        <v>18.481999999999999</v>
      </c>
      <c r="AT69" s="332">
        <f t="shared" si="222"/>
        <v>18.399999999999999</v>
      </c>
      <c r="AU69" s="463">
        <f t="shared" si="222"/>
        <v>18.899999999999999</v>
      </c>
      <c r="AV69" s="332">
        <f t="shared" si="222"/>
        <v>20.8</v>
      </c>
      <c r="AW69" s="332">
        <f t="shared" si="222"/>
        <v>21.599999999999998</v>
      </c>
      <c r="AX69" s="332">
        <f t="shared" si="222"/>
        <v>24.100000000000005</v>
      </c>
      <c r="AY69" s="463">
        <f t="shared" si="222"/>
        <v>30.299999999999994</v>
      </c>
      <c r="AZ69" s="332">
        <f t="shared" si="222"/>
        <v>35.700000000000003</v>
      </c>
      <c r="BA69" s="332">
        <f t="shared" si="222"/>
        <v>38.799999999999997</v>
      </c>
      <c r="BB69" s="332">
        <f t="shared" si="222"/>
        <v>41.900000000000006</v>
      </c>
      <c r="BC69" s="463">
        <f t="shared" si="222"/>
        <v>45.900000000000006</v>
      </c>
      <c r="BD69" s="332">
        <f t="shared" si="222"/>
        <v>51.5</v>
      </c>
      <c r="BE69" s="332">
        <f t="shared" ref="BE69:BJ69" si="223">BE70*BE61</f>
        <v>53.5</v>
      </c>
      <c r="BF69" s="332">
        <f t="shared" si="223"/>
        <v>54.599999999999994</v>
      </c>
      <c r="BG69" s="463">
        <f t="shared" si="223"/>
        <v>54.800000000000011</v>
      </c>
      <c r="BH69" s="332">
        <f t="shared" si="223"/>
        <v>55.3</v>
      </c>
      <c r="BI69" s="332">
        <f t="shared" si="223"/>
        <v>55.900000000000006</v>
      </c>
      <c r="BJ69" s="332">
        <f t="shared" si="223"/>
        <v>55.600000000000009</v>
      </c>
      <c r="BK69" s="463">
        <f t="shared" ref="BK69:BL69" si="224">BK70*BK61</f>
        <v>60.399999999999963</v>
      </c>
      <c r="BL69" s="332">
        <f t="shared" si="224"/>
        <v>63.6</v>
      </c>
      <c r="BM69" s="609">
        <f t="shared" ref="BM69:BS69" si="225">BM70*BL61</f>
        <v>63.282000000000004</v>
      </c>
      <c r="BN69" s="609">
        <f t="shared" si="225"/>
        <v>65.99014284750001</v>
      </c>
      <c r="BO69" s="351">
        <f t="shared" si="225"/>
        <v>68.594499850012511</v>
      </c>
      <c r="BP69" s="626">
        <f t="shared" si="225"/>
        <v>71.689387578146253</v>
      </c>
      <c r="BQ69" s="609">
        <f t="shared" si="225"/>
        <v>74.106139257187678</v>
      </c>
      <c r="BR69" s="609">
        <f t="shared" si="225"/>
        <v>76.306682209071241</v>
      </c>
      <c r="BS69" s="351">
        <f t="shared" si="225"/>
        <v>78.507878218930216</v>
      </c>
      <c r="BT69" s="626">
        <f t="shared" ref="BT69" si="226">BT70*BS61</f>
        <v>80.87556700708295</v>
      </c>
      <c r="BU69" s="609">
        <f t="shared" ref="BU69" si="227">BU70*BT61</f>
        <v>83.343159220358231</v>
      </c>
      <c r="BV69" s="609">
        <f t="shared" ref="BV69" si="228">BV70*BU61</f>
        <v>85.676712111846513</v>
      </c>
      <c r="BW69" s="351">
        <f t="shared" ref="BW69" si="229">BW70*BV61</f>
        <v>88.040631977119759</v>
      </c>
      <c r="BX69" s="483"/>
      <c r="BY69" s="332">
        <f>BY70*BY61</f>
        <v>36.941000000000003</v>
      </c>
      <c r="BZ69" s="332">
        <f>BZ70*BZ61</f>
        <v>35.829000000000001</v>
      </c>
      <c r="CA69" s="332">
        <f t="shared" ref="CA69:CN69" si="230">CA70*CA61</f>
        <v>37.277000000000001</v>
      </c>
      <c r="CB69" s="332">
        <f t="shared" si="230"/>
        <v>38.216999999999999</v>
      </c>
      <c r="CC69" s="332">
        <f t="shared" si="230"/>
        <v>39.237000000000002</v>
      </c>
      <c r="CD69" s="332">
        <f t="shared" si="230"/>
        <v>44.712000000000003</v>
      </c>
      <c r="CE69" s="332">
        <f t="shared" si="230"/>
        <v>44.412999999999997</v>
      </c>
      <c r="CF69" s="332">
        <f t="shared" si="230"/>
        <v>46.573</v>
      </c>
      <c r="CG69" s="332">
        <f t="shared" si="230"/>
        <v>59.787999999999997</v>
      </c>
      <c r="CH69" s="332">
        <f t="shared" si="230"/>
        <v>69.545000000000002</v>
      </c>
      <c r="CI69" s="332">
        <f t="shared" si="230"/>
        <v>74.3</v>
      </c>
      <c r="CJ69" s="332">
        <f t="shared" si="230"/>
        <v>96.8</v>
      </c>
      <c r="CK69" s="332">
        <f t="shared" si="230"/>
        <v>162.30000000000001</v>
      </c>
      <c r="CL69" s="332">
        <f t="shared" si="230"/>
        <v>214.4</v>
      </c>
      <c r="CM69" s="332">
        <f t="shared" si="230"/>
        <v>227.2</v>
      </c>
      <c r="CN69" s="332">
        <f t="shared" si="230"/>
        <v>261.4666426975125</v>
      </c>
      <c r="CO69" s="332">
        <f>CO70*CO61</f>
        <v>300.6100872633354</v>
      </c>
      <c r="CP69" s="329">
        <f>CP70*CP61</f>
        <v>337.93607031640744</v>
      </c>
      <c r="CQ69" s="215"/>
      <c r="CR69" s="273">
        <f>SUM(M69:P69)</f>
        <v>36.978999999999999</v>
      </c>
      <c r="CS69" s="273">
        <f>SUM(Q69:T69)</f>
        <v>38.575000000000003</v>
      </c>
      <c r="CT69" s="273">
        <f>SUM(U69:X69)</f>
        <v>40.65100000000001</v>
      </c>
      <c r="CU69" s="273">
        <f>SUM(Y69:AB69)</f>
        <v>45.006999999999998</v>
      </c>
      <c r="CV69" s="273">
        <f>SUM(AC69:AF69)</f>
        <v>44.071999999999996</v>
      </c>
      <c r="CW69" s="273">
        <f>SUM(AG69:AJ69)</f>
        <v>49.291999999999994</v>
      </c>
      <c r="CX69" s="273">
        <f>SUM(AK69:AN69)</f>
        <v>63.472999999999999</v>
      </c>
      <c r="CY69" s="273">
        <f>SUM(AO69:AR69)</f>
        <v>70.789000000000001</v>
      </c>
      <c r="CZ69" s="273">
        <f>SUM(AS69:AV69)</f>
        <v>76.581999999999994</v>
      </c>
      <c r="DA69" s="273">
        <f>SUM(AW69:AZ69)</f>
        <v>111.7</v>
      </c>
      <c r="DB69" s="273">
        <f>SUM(BA69:BD69)</f>
        <v>178.10000000000002</v>
      </c>
      <c r="DC69" s="273">
        <f>SUM(BE69:BH69)</f>
        <v>218.2</v>
      </c>
      <c r="DD69" s="273">
        <f>SUM(BI69:BL69)</f>
        <v>235.49999999999997</v>
      </c>
      <c r="DE69" s="273">
        <f>SUM(BM69:BP69)</f>
        <v>269.55603027565877</v>
      </c>
      <c r="DF69" s="274">
        <f>SUM(BQ69:BT69)</f>
        <v>309.79626669227207</v>
      </c>
      <c r="DG69" s="110"/>
      <c r="DH69" s="110"/>
      <c r="DI69" s="110"/>
      <c r="DJ69" s="110"/>
      <c r="DK69"/>
      <c r="DL69"/>
      <c r="DM69"/>
      <c r="DN69"/>
      <c r="DO69"/>
      <c r="DP69"/>
    </row>
    <row r="70" spans="1:122" s="109" customFormat="1" ht="14.25">
      <c r="B70" s="22" t="s">
        <v>196</v>
      </c>
      <c r="C70" s="396"/>
      <c r="D70" s="333">
        <f t="shared" ref="D70:AI70" si="231">D72/D61</f>
        <v>2.6134188787090146E-2</v>
      </c>
      <c r="E70" s="334">
        <f t="shared" si="231"/>
        <v>2.5607106781607603E-2</v>
      </c>
      <c r="F70" s="334">
        <f t="shared" si="231"/>
        <v>2.5432282799723871E-2</v>
      </c>
      <c r="G70" s="334">
        <f t="shared" si="231"/>
        <v>2.6361725926177006E-2</v>
      </c>
      <c r="H70" s="333">
        <f t="shared" si="231"/>
        <v>2.356615326606392E-2</v>
      </c>
      <c r="I70" s="334">
        <f t="shared" si="231"/>
        <v>2.2594488115014775E-2</v>
      </c>
      <c r="J70" s="334">
        <f t="shared" si="231"/>
        <v>2.2610348660025047E-2</v>
      </c>
      <c r="K70" s="334">
        <f t="shared" si="231"/>
        <v>2.4192552261150115E-2</v>
      </c>
      <c r="L70" s="333">
        <f t="shared" si="231"/>
        <v>2.2764643196404723E-2</v>
      </c>
      <c r="M70" s="334">
        <f t="shared" si="231"/>
        <v>2.2493400716120306E-2</v>
      </c>
      <c r="N70" s="334">
        <f t="shared" si="231"/>
        <v>2.0133585448584755E-2</v>
      </c>
      <c r="O70" s="334">
        <f t="shared" si="231"/>
        <v>2.303556832016674E-2</v>
      </c>
      <c r="P70" s="333">
        <f t="shared" si="231"/>
        <v>2.2306573901503694E-2</v>
      </c>
      <c r="Q70" s="334">
        <f t="shared" si="231"/>
        <v>2.2178960443340338E-2</v>
      </c>
      <c r="R70" s="334">
        <f t="shared" si="231"/>
        <v>2.3408282596901569E-2</v>
      </c>
      <c r="S70" s="334">
        <f t="shared" si="231"/>
        <v>2.5163638542306362E-2</v>
      </c>
      <c r="T70" s="333">
        <f t="shared" si="231"/>
        <v>2.3422921530008311E-2</v>
      </c>
      <c r="U70" s="334">
        <f t="shared" si="231"/>
        <v>2.2593615269098477E-2</v>
      </c>
      <c r="V70" s="334">
        <f t="shared" si="231"/>
        <v>2.3595959023879148E-2</v>
      </c>
      <c r="W70" s="334">
        <f t="shared" si="231"/>
        <v>2.3967539734809588E-2</v>
      </c>
      <c r="X70" s="333">
        <f t="shared" si="231"/>
        <v>2.4039710889222653E-2</v>
      </c>
      <c r="Y70" s="334">
        <f t="shared" si="231"/>
        <v>2.3552149822035302E-2</v>
      </c>
      <c r="Z70" s="334">
        <f t="shared" si="231"/>
        <v>2.3661847158654947E-2</v>
      </c>
      <c r="AA70" s="334">
        <f t="shared" si="231"/>
        <v>2.2949071700078958E-2</v>
      </c>
      <c r="AB70" s="333">
        <f t="shared" si="231"/>
        <v>2.2266490828056852E-2</v>
      </c>
      <c r="AC70" s="334">
        <f t="shared" si="231"/>
        <v>2.3445787173513779E-2</v>
      </c>
      <c r="AD70" s="334">
        <f t="shared" si="231"/>
        <v>2.3125453932216929E-2</v>
      </c>
      <c r="AE70" s="334">
        <f t="shared" si="231"/>
        <v>2.1195721807676576E-2</v>
      </c>
      <c r="AF70" s="333">
        <f t="shared" si="231"/>
        <v>2.151129194405085E-2</v>
      </c>
      <c r="AG70" s="334">
        <f t="shared" si="231"/>
        <v>2.1688459947818102E-2</v>
      </c>
      <c r="AH70" s="334">
        <f t="shared" si="231"/>
        <v>2.1701879431977683E-2</v>
      </c>
      <c r="AI70" s="381">
        <f t="shared" si="231"/>
        <v>2.1914452809278253E-2</v>
      </c>
      <c r="AJ70" s="334">
        <f t="shared" ref="AJ70:BD70" si="232">AJ72/AJ61</f>
        <v>2.2668394862786899E-2</v>
      </c>
      <c r="AK70" s="334">
        <f t="shared" si="232"/>
        <v>2.2773297897935221E-2</v>
      </c>
      <c r="AL70" s="334">
        <f t="shared" si="232"/>
        <v>2.31330583518417E-2</v>
      </c>
      <c r="AM70" s="381">
        <f t="shared" si="232"/>
        <v>2.4757960780585762E-2</v>
      </c>
      <c r="AN70" s="334">
        <f t="shared" si="232"/>
        <v>2.5518751274164815E-2</v>
      </c>
      <c r="AO70" s="334">
        <f t="shared" si="232"/>
        <v>2.5156463359126083E-2</v>
      </c>
      <c r="AP70" s="334">
        <f t="shared" si="232"/>
        <v>2.3560065448445598E-2</v>
      </c>
      <c r="AQ70" s="381">
        <f t="shared" si="232"/>
        <v>2.3125202097038389E-2</v>
      </c>
      <c r="AR70" s="334">
        <f t="shared" si="232"/>
        <v>2.3900608163223161E-2</v>
      </c>
      <c r="AS70" s="334">
        <f t="shared" si="232"/>
        <v>2.3116948092557849E-2</v>
      </c>
      <c r="AT70" s="334">
        <f t="shared" si="232"/>
        <v>2.2313849138976469E-2</v>
      </c>
      <c r="AU70" s="381">
        <f t="shared" si="232"/>
        <v>2.1994646805539392E-2</v>
      </c>
      <c r="AV70" s="334">
        <f t="shared" si="232"/>
        <v>2.3850475862859762E-2</v>
      </c>
      <c r="AW70" s="334">
        <f t="shared" si="232"/>
        <v>2.3650498193364719E-2</v>
      </c>
      <c r="AX70" s="334">
        <f t="shared" si="232"/>
        <v>2.4584310925226976E-2</v>
      </c>
      <c r="AY70" s="381">
        <f t="shared" si="232"/>
        <v>2.5741228442783107E-2</v>
      </c>
      <c r="AZ70" s="334">
        <f t="shared" si="232"/>
        <v>2.8210193599367842E-2</v>
      </c>
      <c r="BA70" s="334">
        <f t="shared" si="232"/>
        <v>2.8839006986769729E-2</v>
      </c>
      <c r="BB70" s="334">
        <f t="shared" si="232"/>
        <v>2.8972479601714844E-2</v>
      </c>
      <c r="BC70" s="381">
        <f t="shared" si="232"/>
        <v>2.8951684117572853E-2</v>
      </c>
      <c r="BD70" s="334">
        <f t="shared" si="232"/>
        <v>3.1803865867967643E-2</v>
      </c>
      <c r="BE70" s="334">
        <f t="shared" ref="BE70:BJ70" si="233">BE72/BE61</f>
        <v>3.155039216842602E-2</v>
      </c>
      <c r="BF70" s="334">
        <f t="shared" si="233"/>
        <v>3.1150159744408944E-2</v>
      </c>
      <c r="BG70" s="381">
        <f t="shared" si="233"/>
        <v>3.0998981785269834E-2</v>
      </c>
      <c r="BH70" s="334">
        <f t="shared" si="233"/>
        <v>3.0389624663406053E-2</v>
      </c>
      <c r="BI70" s="334">
        <f t="shared" si="233"/>
        <v>2.9838795772392443E-2</v>
      </c>
      <c r="BJ70" s="334">
        <f t="shared" si="233"/>
        <v>2.8029844726759432E-2</v>
      </c>
      <c r="BK70" s="381">
        <f t="shared" ref="BK70:BL70" si="234">BK72/BK61</f>
        <v>2.933462846041766E-2</v>
      </c>
      <c r="BL70" s="334">
        <f t="shared" si="234"/>
        <v>3.015075376884422E-2</v>
      </c>
      <c r="BM70" s="335">
        <v>0.03</v>
      </c>
      <c r="BN70" s="335">
        <v>0.03</v>
      </c>
      <c r="BO70" s="335">
        <v>0.03</v>
      </c>
      <c r="BP70" s="627">
        <v>0.03</v>
      </c>
      <c r="BQ70" s="335">
        <v>0.03</v>
      </c>
      <c r="BR70" s="335">
        <v>0.03</v>
      </c>
      <c r="BS70" s="335">
        <v>0.03</v>
      </c>
      <c r="BT70" s="627">
        <v>0.03</v>
      </c>
      <c r="BU70" s="335">
        <v>0.03</v>
      </c>
      <c r="BV70" s="335">
        <v>0.03</v>
      </c>
      <c r="BW70" s="335">
        <v>0.03</v>
      </c>
      <c r="BX70" s="483"/>
      <c r="BY70" s="334">
        <f>BY72/BY61</f>
        <v>0.1043424962433199</v>
      </c>
      <c r="BZ70" s="334">
        <f>BZ72/BZ61</f>
        <v>8.8511687426197028E-2</v>
      </c>
      <c r="CA70" s="334">
        <f t="shared" ref="CA70:CN70" si="235">CA72/CA61</f>
        <v>9.2055840509311274E-2</v>
      </c>
      <c r="CB70" s="334">
        <f t="shared" si="235"/>
        <v>9.5404640294774051E-2</v>
      </c>
      <c r="CC70" s="334">
        <f t="shared" si="235"/>
        <v>9.0354953552529163E-2</v>
      </c>
      <c r="CD70" s="334">
        <f t="shared" si="235"/>
        <v>9.0982345615705826E-2</v>
      </c>
      <c r="CE70" s="334">
        <f t="shared" si="235"/>
        <v>9.0324850570364629E-2</v>
      </c>
      <c r="CF70" s="334">
        <f t="shared" si="235"/>
        <v>8.2188904065591595E-2</v>
      </c>
      <c r="CG70" s="334">
        <f t="shared" si="235"/>
        <v>8.880663301833823E-2</v>
      </c>
      <c r="CH70" s="334">
        <f t="shared" si="235"/>
        <v>9.2162875635446104E-2</v>
      </c>
      <c r="CI70" s="334">
        <f t="shared" si="235"/>
        <v>8.6465727918072846E-2</v>
      </c>
      <c r="CJ70" s="334">
        <f t="shared" si="235"/>
        <v>8.2236003738000177E-2</v>
      </c>
      <c r="CK70" s="334">
        <f t="shared" si="235"/>
        <v>0.10237164122618897</v>
      </c>
      <c r="CL70" s="334">
        <f t="shared" si="235"/>
        <v>0.12128068786061773</v>
      </c>
      <c r="CM70" s="334">
        <f t="shared" si="235"/>
        <v>0.1103448275862069</v>
      </c>
      <c r="CN70" s="334">
        <f t="shared" si="235"/>
        <v>0.10941646380191053</v>
      </c>
      <c r="CO70" s="334">
        <f>CO72/CO61</f>
        <v>0.11150836960574574</v>
      </c>
      <c r="CP70" s="913">
        <f>CP72/CP61</f>
        <v>0.1119032116165119</v>
      </c>
      <c r="CQ70" s="215"/>
      <c r="CR70" s="334">
        <f t="shared" ref="CR70:DD70" si="236">CR72/CR61</f>
        <v>9.0209404670133983E-2</v>
      </c>
      <c r="CS70" s="334">
        <f t="shared" si="236"/>
        <v>9.5089370450438915E-2</v>
      </c>
      <c r="CT70" s="334">
        <f t="shared" si="236"/>
        <v>8.9523478138309839E-2</v>
      </c>
      <c r="CU70" s="334">
        <f t="shared" si="236"/>
        <v>8.9389702319004075E-2</v>
      </c>
      <c r="CV70" s="334">
        <f t="shared" si="236"/>
        <v>8.7216711918878476E-2</v>
      </c>
      <c r="CW70" s="334">
        <f t="shared" si="236"/>
        <v>8.2226103434873174E-2</v>
      </c>
      <c r="CX70" s="334">
        <f t="shared" si="236"/>
        <v>9.3768189164354698E-2</v>
      </c>
      <c r="CY70" s="334">
        <f t="shared" si="236"/>
        <v>9.1365166393044844E-2</v>
      </c>
      <c r="CZ70" s="334">
        <f t="shared" si="236"/>
        <v>8.7813324160073383E-2</v>
      </c>
      <c r="DA70" s="334">
        <f t="shared" si="236"/>
        <v>8.8265507704464646E-2</v>
      </c>
      <c r="DB70" s="334">
        <f t="shared" si="236"/>
        <v>0.10998579633174831</v>
      </c>
      <c r="DC70" s="334">
        <f t="shared" si="236"/>
        <v>0.11990987525416276</v>
      </c>
      <c r="DD70" s="334">
        <f t="shared" si="236"/>
        <v>0.1116431212667109</v>
      </c>
      <c r="DE70" s="334">
        <f>DE72/DE61</f>
        <v>0.10912295511988127</v>
      </c>
      <c r="DF70" s="381">
        <f>DF72/DF61</f>
        <v>0.11151350737971479</v>
      </c>
      <c r="DG70" s="110"/>
      <c r="DH70" s="110"/>
      <c r="DI70" s="110"/>
      <c r="DJ70" s="110"/>
      <c r="DK70"/>
      <c r="DL70"/>
      <c r="DM70"/>
      <c r="DN70"/>
      <c r="DO70"/>
      <c r="DP70"/>
    </row>
    <row r="71" spans="1:122" s="109" customFormat="1" ht="14.25">
      <c r="B71" s="301"/>
      <c r="C71" s="301"/>
      <c r="D71" s="328"/>
      <c r="E71" s="328"/>
      <c r="F71" s="328"/>
      <c r="G71" s="328"/>
      <c r="H71" s="328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  <c r="AL71" s="328"/>
      <c r="AM71" s="328"/>
      <c r="AN71" s="328"/>
      <c r="AO71" s="328"/>
      <c r="AP71" s="328"/>
      <c r="AQ71" s="328"/>
      <c r="AR71" s="328"/>
      <c r="AS71" s="328"/>
      <c r="AT71" s="328"/>
      <c r="AU71" s="328"/>
      <c r="AV71" s="328"/>
      <c r="AW71" s="328"/>
      <c r="AX71" s="328"/>
      <c r="AY71" s="328"/>
      <c r="AZ71" s="328"/>
      <c r="BA71" s="328"/>
      <c r="BB71" s="328"/>
      <c r="BC71" s="328"/>
      <c r="BD71" s="328"/>
      <c r="BE71" s="328"/>
      <c r="BF71" s="328"/>
      <c r="BG71" s="328"/>
      <c r="BH71" s="328"/>
      <c r="BI71" s="328"/>
      <c r="BJ71" s="352"/>
      <c r="BK71" s="328"/>
      <c r="BL71" s="328"/>
      <c r="BM71" s="328"/>
      <c r="BN71" s="328"/>
      <c r="BO71" s="328"/>
      <c r="BP71" s="328"/>
      <c r="BQ71" s="328"/>
      <c r="BR71" s="328"/>
      <c r="BS71" s="328"/>
      <c r="BT71" s="328"/>
      <c r="BU71" s="328"/>
      <c r="BV71" s="328"/>
      <c r="BW71" s="328"/>
      <c r="BX71" s="214"/>
      <c r="BY71" s="328"/>
      <c r="BZ71" s="328"/>
      <c r="CA71" s="328"/>
      <c r="CB71" s="328"/>
      <c r="CC71" s="328"/>
      <c r="CD71" s="328"/>
      <c r="CE71" s="328"/>
      <c r="CF71" s="328"/>
      <c r="CG71" s="328"/>
      <c r="CH71" s="328"/>
      <c r="CI71" s="328"/>
      <c r="CJ71" s="328"/>
      <c r="CK71" s="328"/>
      <c r="CL71" s="328"/>
      <c r="CM71" s="328"/>
      <c r="CN71" s="328"/>
      <c r="CO71" s="328"/>
      <c r="CP71" s="328"/>
      <c r="CQ71" s="110"/>
      <c r="CR71" s="328"/>
      <c r="CS71" s="328"/>
      <c r="CT71" s="328"/>
      <c r="CU71" s="328"/>
      <c r="CV71" s="328"/>
      <c r="CW71" s="328"/>
      <c r="CX71" s="328"/>
      <c r="CY71" s="328"/>
      <c r="CZ71" s="328"/>
      <c r="DA71" s="328"/>
      <c r="DB71" s="328"/>
      <c r="DC71" s="328"/>
      <c r="DD71" s="328"/>
      <c r="DE71" s="328"/>
      <c r="DF71" s="328"/>
      <c r="DG71" s="110"/>
      <c r="DH71" s="110"/>
      <c r="DI71" s="110"/>
      <c r="DJ71" s="110"/>
      <c r="DK71"/>
      <c r="DL71"/>
      <c r="DM71"/>
      <c r="DN71"/>
      <c r="DO71"/>
      <c r="DP71"/>
    </row>
    <row r="72" spans="1:122" s="109" customFormat="1" ht="14.25">
      <c r="B72" s="209" t="s">
        <v>197</v>
      </c>
      <c r="C72" s="210"/>
      <c r="D72" s="236">
        <f t="shared" ref="D72:AI72" si="237">D11</f>
        <v>9.1080000000000005</v>
      </c>
      <c r="E72" s="245">
        <f t="shared" si="237"/>
        <v>9.2530000000000001</v>
      </c>
      <c r="F72" s="245">
        <f t="shared" si="237"/>
        <v>9.2469999999999999</v>
      </c>
      <c r="G72" s="245">
        <f t="shared" si="237"/>
        <v>9.333000000000002</v>
      </c>
      <c r="H72" s="236">
        <f t="shared" si="237"/>
        <v>8.625</v>
      </c>
      <c r="I72" s="245">
        <f t="shared" si="237"/>
        <v>8.4190000000000005</v>
      </c>
      <c r="J72" s="245">
        <f t="shared" si="237"/>
        <v>8.9920000000000009</v>
      </c>
      <c r="K72" s="245">
        <f t="shared" si="237"/>
        <v>9.7929999999999993</v>
      </c>
      <c r="L72" s="236">
        <f t="shared" si="237"/>
        <v>9.4420000000000002</v>
      </c>
      <c r="M72" s="245">
        <f t="shared" si="237"/>
        <v>9.4669999999999987</v>
      </c>
      <c r="N72" s="245">
        <f t="shared" si="237"/>
        <v>9.0400000000000027</v>
      </c>
      <c r="O72" s="245">
        <f t="shared" si="237"/>
        <v>9.3279999999999994</v>
      </c>
      <c r="P72" s="236">
        <f t="shared" si="237"/>
        <v>9.1440000000000001</v>
      </c>
      <c r="Q72" s="245">
        <f t="shared" si="237"/>
        <v>9.2849999999999984</v>
      </c>
      <c r="R72" s="245">
        <f t="shared" si="237"/>
        <v>9.7080000000000037</v>
      </c>
      <c r="S72" s="245">
        <f t="shared" si="237"/>
        <v>10.079999999999997</v>
      </c>
      <c r="T72" s="236">
        <f t="shared" si="237"/>
        <v>9.5020000000000007</v>
      </c>
      <c r="U72" s="245">
        <f t="shared" si="237"/>
        <v>9.3279999999999976</v>
      </c>
      <c r="V72" s="245">
        <f t="shared" si="237"/>
        <v>9.9990000000000041</v>
      </c>
      <c r="W72" s="245">
        <f t="shared" si="237"/>
        <v>10.408000000000003</v>
      </c>
      <c r="X72" s="236">
        <f t="shared" si="237"/>
        <v>10.916</v>
      </c>
      <c r="Y72" s="245">
        <f t="shared" si="237"/>
        <v>11.076999999999998</v>
      </c>
      <c r="Z72" s="245">
        <f t="shared" si="237"/>
        <v>11.440999999999999</v>
      </c>
      <c r="AA72" s="245">
        <f t="shared" si="237"/>
        <v>11.278000000000002</v>
      </c>
      <c r="AB72" s="236">
        <f t="shared" si="237"/>
        <v>11.211</v>
      </c>
      <c r="AC72" s="245">
        <f t="shared" si="237"/>
        <v>11.604000000000001</v>
      </c>
      <c r="AD72" s="245">
        <f t="shared" si="237"/>
        <v>11.176</v>
      </c>
      <c r="AE72" s="245">
        <f t="shared" si="237"/>
        <v>10.421999999999995</v>
      </c>
      <c r="AF72" s="236">
        <f t="shared" si="237"/>
        <v>10.87</v>
      </c>
      <c r="AG72" s="245">
        <f t="shared" si="237"/>
        <v>11.38</v>
      </c>
      <c r="AH72" s="245">
        <f t="shared" si="237"/>
        <v>11.904999999999999</v>
      </c>
      <c r="AI72" s="211">
        <f t="shared" si="237"/>
        <v>12.417999999999997</v>
      </c>
      <c r="AJ72" s="236">
        <f t="shared" ref="AJ72:BO72" si="238">AJ11</f>
        <v>13.589</v>
      </c>
      <c r="AK72" s="245">
        <f t="shared" si="238"/>
        <v>14.293000000000001</v>
      </c>
      <c r="AL72" s="211">
        <f t="shared" si="238"/>
        <v>15.237999999999998</v>
      </c>
      <c r="AM72" s="211">
        <f t="shared" si="238"/>
        <v>16.667999999999999</v>
      </c>
      <c r="AN72" s="236">
        <f t="shared" si="238"/>
        <v>17.274000000000001</v>
      </c>
      <c r="AO72" s="245">
        <f t="shared" si="238"/>
        <v>17.686</v>
      </c>
      <c r="AP72" s="245">
        <f t="shared" si="238"/>
        <v>17.134999999999998</v>
      </c>
      <c r="AQ72" s="211">
        <f t="shared" si="238"/>
        <v>17.450000000000003</v>
      </c>
      <c r="AR72" s="236">
        <f t="shared" si="238"/>
        <v>18.518000000000001</v>
      </c>
      <c r="AS72" s="245">
        <f t="shared" si="238"/>
        <v>18.481999999999999</v>
      </c>
      <c r="AT72" s="245">
        <f t="shared" si="238"/>
        <v>18.399999999999999</v>
      </c>
      <c r="AU72" s="211">
        <f t="shared" si="238"/>
        <v>18.899999999999999</v>
      </c>
      <c r="AV72" s="236">
        <f t="shared" si="238"/>
        <v>20.8</v>
      </c>
      <c r="AW72" s="211">
        <f t="shared" si="238"/>
        <v>21.599999999999998</v>
      </c>
      <c r="AX72" s="245">
        <f t="shared" si="238"/>
        <v>24.100000000000005</v>
      </c>
      <c r="AY72" s="211">
        <f t="shared" si="238"/>
        <v>30.299999999999994</v>
      </c>
      <c r="AZ72" s="236">
        <f t="shared" si="238"/>
        <v>35.700000000000003</v>
      </c>
      <c r="BA72" s="211">
        <f t="shared" si="238"/>
        <v>38.799999999999997</v>
      </c>
      <c r="BB72" s="245">
        <f t="shared" si="238"/>
        <v>41.900000000000006</v>
      </c>
      <c r="BC72" s="212">
        <f t="shared" si="238"/>
        <v>45.900000000000006</v>
      </c>
      <c r="BD72" s="236">
        <f t="shared" si="238"/>
        <v>51.5</v>
      </c>
      <c r="BE72" s="211">
        <f>BE11</f>
        <v>53.5</v>
      </c>
      <c r="BF72" s="245">
        <f>BF11</f>
        <v>54.599999999999994</v>
      </c>
      <c r="BG72" s="212">
        <f>BG11</f>
        <v>54.800000000000011</v>
      </c>
      <c r="BH72" s="236">
        <f>BH11</f>
        <v>55.3</v>
      </c>
      <c r="BI72" s="211">
        <f t="shared" si="238"/>
        <v>55.900000000000006</v>
      </c>
      <c r="BJ72" s="211">
        <f>BJ11</f>
        <v>55.600000000000009</v>
      </c>
      <c r="BK72" s="212">
        <f>BK11</f>
        <v>60.399999999999963</v>
      </c>
      <c r="BL72" s="236">
        <f>BL11</f>
        <v>63.6</v>
      </c>
      <c r="BM72" s="211">
        <f t="shared" si="238"/>
        <v>63.282000000000004</v>
      </c>
      <c r="BN72" s="211">
        <f t="shared" si="238"/>
        <v>65.99014284750001</v>
      </c>
      <c r="BO72" s="211">
        <f t="shared" si="238"/>
        <v>68.594499850012511</v>
      </c>
      <c r="BP72" s="211">
        <f t="shared" ref="BP72:BW72" si="239">BP11</f>
        <v>71.689387578146253</v>
      </c>
      <c r="BQ72" s="211">
        <f t="shared" si="239"/>
        <v>74.106139257187678</v>
      </c>
      <c r="BR72" s="211">
        <f t="shared" si="239"/>
        <v>76.306682209071241</v>
      </c>
      <c r="BS72" s="211">
        <f t="shared" si="239"/>
        <v>78.507878218930216</v>
      </c>
      <c r="BT72" s="211">
        <f t="shared" si="239"/>
        <v>80.87556700708295</v>
      </c>
      <c r="BU72" s="211">
        <f t="shared" si="239"/>
        <v>83.343159220358231</v>
      </c>
      <c r="BV72" s="211">
        <f t="shared" si="239"/>
        <v>85.676712111846513</v>
      </c>
      <c r="BW72" s="211">
        <f t="shared" si="239"/>
        <v>88.040631977119759</v>
      </c>
      <c r="BX72" s="481"/>
      <c r="BY72" s="245">
        <f>BY11</f>
        <v>36.941000000000003</v>
      </c>
      <c r="BZ72" s="245">
        <f>BZ11</f>
        <v>35.829000000000001</v>
      </c>
      <c r="CA72" s="245">
        <f t="shared" ref="CA72:CN72" si="240">CA11</f>
        <v>37.277000000000001</v>
      </c>
      <c r="CB72" s="245">
        <f t="shared" si="240"/>
        <v>38.216999999999999</v>
      </c>
      <c r="CC72" s="245">
        <f t="shared" si="240"/>
        <v>39.237000000000002</v>
      </c>
      <c r="CD72" s="245">
        <f t="shared" si="240"/>
        <v>44.712000000000003</v>
      </c>
      <c r="CE72" s="245">
        <f t="shared" si="240"/>
        <v>44.412999999999997</v>
      </c>
      <c r="CF72" s="245">
        <f t="shared" si="240"/>
        <v>46.573</v>
      </c>
      <c r="CG72" s="245">
        <f t="shared" si="240"/>
        <v>59.787999999999997</v>
      </c>
      <c r="CH72" s="245">
        <f t="shared" si="240"/>
        <v>69.545000000000002</v>
      </c>
      <c r="CI72" s="245">
        <f t="shared" si="240"/>
        <v>74.3</v>
      </c>
      <c r="CJ72" s="245">
        <f t="shared" si="240"/>
        <v>96.8</v>
      </c>
      <c r="CK72" s="211">
        <f t="shared" si="240"/>
        <v>162.30000000000001</v>
      </c>
      <c r="CL72" s="211">
        <f t="shared" si="240"/>
        <v>214.4</v>
      </c>
      <c r="CM72" s="211">
        <f t="shared" si="240"/>
        <v>227.2</v>
      </c>
      <c r="CN72" s="211">
        <f t="shared" si="240"/>
        <v>261.4666426975125</v>
      </c>
      <c r="CO72" s="211">
        <f>CO11</f>
        <v>300.6100872633354</v>
      </c>
      <c r="CP72" s="212">
        <f>CP11</f>
        <v>337.93607031640744</v>
      </c>
      <c r="CQ72" s="215"/>
      <c r="CR72" s="245">
        <f t="shared" ref="CR72:DD72" si="241">CR11</f>
        <v>36.978999999999999</v>
      </c>
      <c r="CS72" s="245">
        <f t="shared" si="241"/>
        <v>38.575000000000003</v>
      </c>
      <c r="CT72" s="245">
        <f t="shared" si="241"/>
        <v>40.65100000000001</v>
      </c>
      <c r="CU72" s="245">
        <f t="shared" si="241"/>
        <v>45.006999999999998</v>
      </c>
      <c r="CV72" s="245">
        <f t="shared" si="241"/>
        <v>44.071999999999996</v>
      </c>
      <c r="CW72" s="245">
        <f t="shared" si="241"/>
        <v>49.291999999999994</v>
      </c>
      <c r="CX72" s="245">
        <f t="shared" si="241"/>
        <v>63.472999999999999</v>
      </c>
      <c r="CY72" s="245">
        <f t="shared" si="241"/>
        <v>70.789000000000001</v>
      </c>
      <c r="CZ72" s="245">
        <f t="shared" si="241"/>
        <v>76.581999999999994</v>
      </c>
      <c r="DA72" s="245">
        <f t="shared" si="241"/>
        <v>111.7</v>
      </c>
      <c r="DB72" s="245">
        <f t="shared" si="241"/>
        <v>178.10000000000002</v>
      </c>
      <c r="DC72" s="245">
        <f t="shared" si="241"/>
        <v>218.2</v>
      </c>
      <c r="DD72" s="245">
        <f t="shared" si="241"/>
        <v>235.49999999999997</v>
      </c>
      <c r="DE72" s="245">
        <f>DE11</f>
        <v>269.55603027565877</v>
      </c>
      <c r="DF72" s="234">
        <f>DF11</f>
        <v>309.79626669227207</v>
      </c>
      <c r="DG72" s="110"/>
      <c r="DH72" s="110"/>
      <c r="DI72" s="110"/>
      <c r="DJ72" s="110"/>
      <c r="DK72"/>
      <c r="DL72"/>
      <c r="DM72"/>
      <c r="DN72"/>
      <c r="DO72"/>
      <c r="DP72"/>
    </row>
    <row r="73" spans="1:122" s="7" customFormat="1" ht="14.25">
      <c r="A73" s="3"/>
      <c r="B73" s="163" t="s">
        <v>135</v>
      </c>
      <c r="C73" s="164"/>
      <c r="D73" s="167">
        <f t="shared" ref="D73:S73" si="242">D69-D72</f>
        <v>0</v>
      </c>
      <c r="E73" s="165">
        <f t="shared" si="242"/>
        <v>0</v>
      </c>
      <c r="F73" s="165">
        <f t="shared" si="242"/>
        <v>0</v>
      </c>
      <c r="G73" s="165">
        <f t="shared" si="242"/>
        <v>0</v>
      </c>
      <c r="H73" s="167">
        <f t="shared" si="242"/>
        <v>0</v>
      </c>
      <c r="I73" s="165">
        <f t="shared" si="242"/>
        <v>0</v>
      </c>
      <c r="J73" s="165">
        <f t="shared" si="242"/>
        <v>0</v>
      </c>
      <c r="K73" s="165">
        <f t="shared" si="242"/>
        <v>0</v>
      </c>
      <c r="L73" s="167">
        <f t="shared" si="242"/>
        <v>0</v>
      </c>
      <c r="M73" s="165">
        <f t="shared" si="242"/>
        <v>0</v>
      </c>
      <c r="N73" s="165">
        <f t="shared" si="242"/>
        <v>0</v>
      </c>
      <c r="O73" s="165">
        <f t="shared" si="242"/>
        <v>0</v>
      </c>
      <c r="P73" s="167">
        <f t="shared" si="242"/>
        <v>0</v>
      </c>
      <c r="Q73" s="165">
        <f t="shared" si="242"/>
        <v>0</v>
      </c>
      <c r="R73" s="165">
        <f t="shared" si="242"/>
        <v>0</v>
      </c>
      <c r="S73" s="165">
        <f t="shared" si="242"/>
        <v>0</v>
      </c>
      <c r="T73" s="167">
        <f>T69-T72</f>
        <v>0</v>
      </c>
      <c r="U73" s="165">
        <f>U69-U72</f>
        <v>0</v>
      </c>
      <c r="V73" s="165">
        <f>V69-V72</f>
        <v>0</v>
      </c>
      <c r="W73" s="165">
        <f>W69-W72</f>
        <v>0</v>
      </c>
      <c r="X73" s="167">
        <f t="shared" ref="X73:AG73" si="243">X69-X72</f>
        <v>0</v>
      </c>
      <c r="Y73" s="165">
        <f t="shared" si="243"/>
        <v>0</v>
      </c>
      <c r="Z73" s="165">
        <f t="shared" si="243"/>
        <v>0</v>
      </c>
      <c r="AA73" s="165">
        <f t="shared" si="243"/>
        <v>0</v>
      </c>
      <c r="AB73" s="167">
        <f t="shared" si="243"/>
        <v>0</v>
      </c>
      <c r="AC73" s="165">
        <f t="shared" si="243"/>
        <v>0</v>
      </c>
      <c r="AD73" s="165">
        <f t="shared" si="243"/>
        <v>0</v>
      </c>
      <c r="AE73" s="165">
        <f t="shared" si="243"/>
        <v>0</v>
      </c>
      <c r="AF73" s="167">
        <f t="shared" si="243"/>
        <v>0</v>
      </c>
      <c r="AG73" s="165">
        <f t="shared" si="243"/>
        <v>0</v>
      </c>
      <c r="AH73" s="165">
        <f>AH69-AH72</f>
        <v>0</v>
      </c>
      <c r="AI73" s="165">
        <f t="shared" ref="AI73:AW73" si="244">AI69-AI72</f>
        <v>0</v>
      </c>
      <c r="AJ73" s="167">
        <f t="shared" si="244"/>
        <v>0</v>
      </c>
      <c r="AK73" s="165">
        <f t="shared" si="244"/>
        <v>0</v>
      </c>
      <c r="AL73" s="165">
        <f t="shared" si="244"/>
        <v>0</v>
      </c>
      <c r="AM73" s="165">
        <f t="shared" si="244"/>
        <v>0</v>
      </c>
      <c r="AN73" s="167">
        <f t="shared" si="244"/>
        <v>0</v>
      </c>
      <c r="AO73" s="165">
        <f t="shared" si="244"/>
        <v>0</v>
      </c>
      <c r="AP73" s="165">
        <f t="shared" si="244"/>
        <v>0</v>
      </c>
      <c r="AQ73" s="165">
        <f t="shared" si="244"/>
        <v>0</v>
      </c>
      <c r="AR73" s="167">
        <f t="shared" si="244"/>
        <v>0</v>
      </c>
      <c r="AS73" s="165">
        <f t="shared" si="244"/>
        <v>0</v>
      </c>
      <c r="AT73" s="165">
        <f t="shared" si="244"/>
        <v>0</v>
      </c>
      <c r="AU73" s="165">
        <f t="shared" si="244"/>
        <v>0</v>
      </c>
      <c r="AV73" s="167">
        <f t="shared" si="244"/>
        <v>0</v>
      </c>
      <c r="AW73" s="165">
        <f t="shared" si="244"/>
        <v>0</v>
      </c>
      <c r="AX73" s="165">
        <f t="shared" ref="AX73:BO73" si="245">AX69-AX72</f>
        <v>0</v>
      </c>
      <c r="AY73" s="165">
        <f t="shared" si="245"/>
        <v>0</v>
      </c>
      <c r="AZ73" s="167">
        <f t="shared" si="245"/>
        <v>0</v>
      </c>
      <c r="BA73" s="165">
        <f t="shared" si="245"/>
        <v>0</v>
      </c>
      <c r="BB73" s="165">
        <f t="shared" si="245"/>
        <v>0</v>
      </c>
      <c r="BC73" s="166">
        <f t="shared" ref="BC73:BH73" si="246">BC69-BC72</f>
        <v>0</v>
      </c>
      <c r="BD73" s="167">
        <f t="shared" si="246"/>
        <v>0</v>
      </c>
      <c r="BE73" s="165">
        <f t="shared" si="246"/>
        <v>0</v>
      </c>
      <c r="BF73" s="165">
        <f t="shared" si="246"/>
        <v>0</v>
      </c>
      <c r="BG73" s="166">
        <f t="shared" si="246"/>
        <v>0</v>
      </c>
      <c r="BH73" s="167">
        <f t="shared" si="246"/>
        <v>0</v>
      </c>
      <c r="BI73" s="165">
        <f t="shared" si="245"/>
        <v>0</v>
      </c>
      <c r="BJ73" s="165">
        <f t="shared" si="245"/>
        <v>0</v>
      </c>
      <c r="BK73" s="166">
        <f t="shared" si="245"/>
        <v>0</v>
      </c>
      <c r="BL73" s="167">
        <f t="shared" si="245"/>
        <v>0</v>
      </c>
      <c r="BM73" s="165">
        <f t="shared" si="245"/>
        <v>0</v>
      </c>
      <c r="BN73" s="165">
        <f t="shared" si="245"/>
        <v>0</v>
      </c>
      <c r="BO73" s="165">
        <f t="shared" si="245"/>
        <v>0</v>
      </c>
      <c r="BP73" s="167">
        <f t="shared" ref="BP73:BW73" si="247">BP69-BP72</f>
        <v>0</v>
      </c>
      <c r="BQ73" s="165">
        <f t="shared" si="247"/>
        <v>0</v>
      </c>
      <c r="BR73" s="165">
        <f t="shared" si="247"/>
        <v>0</v>
      </c>
      <c r="BS73" s="165">
        <f t="shared" si="247"/>
        <v>0</v>
      </c>
      <c r="BT73" s="167">
        <f t="shared" si="247"/>
        <v>0</v>
      </c>
      <c r="BU73" s="165">
        <f t="shared" si="247"/>
        <v>0</v>
      </c>
      <c r="BV73" s="165">
        <f t="shared" si="247"/>
        <v>0</v>
      </c>
      <c r="BW73" s="165">
        <f t="shared" si="247"/>
        <v>0</v>
      </c>
      <c r="BX73" s="482"/>
      <c r="BY73" s="165">
        <f>BY69-BY72</f>
        <v>0</v>
      </c>
      <c r="BZ73" s="165">
        <f>BZ69-BZ72</f>
        <v>0</v>
      </c>
      <c r="CA73" s="165">
        <f>CA69-CA72</f>
        <v>0</v>
      </c>
      <c r="CB73" s="165">
        <f>CB69-CB72</f>
        <v>0</v>
      </c>
      <c r="CC73" s="165">
        <f>CC69-CC72</f>
        <v>0</v>
      </c>
      <c r="CD73" s="165">
        <f t="shared" ref="CD73:CN73" si="248">CD69-CD72</f>
        <v>0</v>
      </c>
      <c r="CE73" s="165">
        <f t="shared" si="248"/>
        <v>0</v>
      </c>
      <c r="CF73" s="165">
        <f t="shared" si="248"/>
        <v>0</v>
      </c>
      <c r="CG73" s="165">
        <f t="shared" si="248"/>
        <v>0</v>
      </c>
      <c r="CH73" s="165">
        <f t="shared" si="248"/>
        <v>0</v>
      </c>
      <c r="CI73" s="165">
        <f t="shared" si="248"/>
        <v>0</v>
      </c>
      <c r="CJ73" s="165">
        <f t="shared" si="248"/>
        <v>0</v>
      </c>
      <c r="CK73" s="165">
        <f t="shared" si="248"/>
        <v>0</v>
      </c>
      <c r="CL73" s="165">
        <f t="shared" si="248"/>
        <v>0</v>
      </c>
      <c r="CM73" s="165">
        <f t="shared" si="248"/>
        <v>0</v>
      </c>
      <c r="CN73" s="165">
        <f t="shared" si="248"/>
        <v>0</v>
      </c>
      <c r="CO73" s="165">
        <f>CO69-CO72</f>
        <v>0</v>
      </c>
      <c r="CP73" s="166">
        <f>CP69-CP72</f>
        <v>0</v>
      </c>
      <c r="CQ73" s="131"/>
      <c r="CR73" s="165">
        <f>CR69-CR72</f>
        <v>0</v>
      </c>
      <c r="CS73" s="165">
        <f>CS69-CS72</f>
        <v>0</v>
      </c>
      <c r="CT73" s="165">
        <f>CT69-CT72</f>
        <v>0</v>
      </c>
      <c r="CU73" s="165">
        <f t="shared" ref="CU73:CZ73" si="249">CU69-CU72</f>
        <v>0</v>
      </c>
      <c r="CV73" s="165">
        <f t="shared" si="249"/>
        <v>0</v>
      </c>
      <c r="CW73" s="165">
        <f t="shared" si="249"/>
        <v>0</v>
      </c>
      <c r="CX73" s="165">
        <f t="shared" si="249"/>
        <v>0</v>
      </c>
      <c r="CY73" s="165">
        <f t="shared" si="249"/>
        <v>0</v>
      </c>
      <c r="CZ73" s="165">
        <f t="shared" si="249"/>
        <v>0</v>
      </c>
      <c r="DA73" s="165">
        <f t="shared" ref="DA73:DF73" si="250">DA69-DA72</f>
        <v>0</v>
      </c>
      <c r="DB73" s="165">
        <f t="shared" si="250"/>
        <v>0</v>
      </c>
      <c r="DC73" s="165">
        <f t="shared" si="250"/>
        <v>0</v>
      </c>
      <c r="DD73" s="165">
        <f t="shared" si="250"/>
        <v>0</v>
      </c>
      <c r="DE73" s="165">
        <f t="shared" si="250"/>
        <v>0</v>
      </c>
      <c r="DF73" s="166">
        <f t="shared" si="250"/>
        <v>0</v>
      </c>
      <c r="DG73" s="102"/>
      <c r="DH73" s="102"/>
      <c r="DI73" s="102"/>
      <c r="DJ73" s="100"/>
      <c r="DK73"/>
      <c r="DL73"/>
      <c r="DM73"/>
      <c r="DN73"/>
      <c r="DO73"/>
      <c r="DP73"/>
      <c r="DQ73" s="101"/>
      <c r="DR73" s="101"/>
    </row>
    <row r="74" spans="1:122" s="109" customFormat="1" ht="14.25">
      <c r="B74" s="301"/>
      <c r="C74" s="301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18"/>
      <c r="BE74" s="118"/>
      <c r="BF74" s="118"/>
      <c r="BG74" s="118"/>
      <c r="BH74" s="118"/>
      <c r="BI74" s="118"/>
      <c r="BJ74" s="118"/>
      <c r="BK74" s="118"/>
      <c r="BL74" s="118"/>
      <c r="BM74" s="118"/>
      <c r="BN74" s="118"/>
      <c r="BO74" s="118"/>
      <c r="BP74" s="118"/>
      <c r="BQ74" s="118"/>
      <c r="BR74" s="118"/>
      <c r="BS74" s="118"/>
      <c r="BT74" s="118"/>
      <c r="BU74" s="118"/>
      <c r="BV74" s="118"/>
      <c r="BW74" s="118"/>
      <c r="BX74" s="301"/>
      <c r="BY74" s="118"/>
      <c r="BZ74" s="118"/>
      <c r="CA74" s="118"/>
      <c r="CB74" s="118"/>
      <c r="CC74" s="118"/>
      <c r="CD74" s="118"/>
      <c r="CE74" s="118"/>
      <c r="CF74" s="118"/>
      <c r="CG74" s="118"/>
      <c r="CH74" s="118"/>
      <c r="CI74" s="118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/>
      <c r="DL74"/>
      <c r="DM74"/>
      <c r="DN74"/>
      <c r="DO74"/>
      <c r="DP74"/>
    </row>
    <row r="75" spans="1:122" s="109" customFormat="1" ht="15">
      <c r="B75" s="170" t="s">
        <v>198</v>
      </c>
      <c r="C75" s="171"/>
      <c r="D75" s="11" t="str">
        <f t="shared" ref="D75:AI75" si="251">D68</f>
        <v>F1Q03A</v>
      </c>
      <c r="E75" s="12" t="str">
        <f t="shared" si="251"/>
        <v>F2Q03A</v>
      </c>
      <c r="F75" s="12" t="str">
        <f t="shared" si="251"/>
        <v>F3Q03A</v>
      </c>
      <c r="G75" s="13" t="str">
        <f t="shared" si="251"/>
        <v>F4Q03A</v>
      </c>
      <c r="H75" s="11" t="str">
        <f t="shared" si="251"/>
        <v>F1Q04A</v>
      </c>
      <c r="I75" s="12" t="str">
        <f t="shared" si="251"/>
        <v>F2Q04A</v>
      </c>
      <c r="J75" s="12" t="str">
        <f t="shared" si="251"/>
        <v>F3Q04A</v>
      </c>
      <c r="K75" s="13" t="str">
        <f t="shared" si="251"/>
        <v>F4Q04A</v>
      </c>
      <c r="L75" s="11" t="str">
        <f t="shared" si="251"/>
        <v>F1Q05A</v>
      </c>
      <c r="M75" s="12" t="str">
        <f t="shared" si="251"/>
        <v>F2Q05A</v>
      </c>
      <c r="N75" s="12" t="str">
        <f t="shared" si="251"/>
        <v>F3Q05A</v>
      </c>
      <c r="O75" s="13" t="str">
        <f t="shared" si="251"/>
        <v>F4Q05A</v>
      </c>
      <c r="P75" s="11" t="str">
        <f t="shared" si="251"/>
        <v>F1Q06A</v>
      </c>
      <c r="Q75" s="12" t="str">
        <f t="shared" si="251"/>
        <v>F2Q06A</v>
      </c>
      <c r="R75" s="12" t="str">
        <f t="shared" si="251"/>
        <v>F3Q06A</v>
      </c>
      <c r="S75" s="13" t="str">
        <f t="shared" si="251"/>
        <v>F4Q06A</v>
      </c>
      <c r="T75" s="11" t="str">
        <f t="shared" si="251"/>
        <v>F1Q07A</v>
      </c>
      <c r="U75" s="12" t="str">
        <f t="shared" si="251"/>
        <v>F2Q07A</v>
      </c>
      <c r="V75" s="12" t="str">
        <f t="shared" si="251"/>
        <v>F3Q07A</v>
      </c>
      <c r="W75" s="13" t="str">
        <f t="shared" si="251"/>
        <v>F4Q07A</v>
      </c>
      <c r="X75" s="11" t="str">
        <f t="shared" si="251"/>
        <v>F1Q08A</v>
      </c>
      <c r="Y75" s="12" t="str">
        <f t="shared" si="251"/>
        <v>F2Q08A</v>
      </c>
      <c r="Z75" s="12" t="str">
        <f t="shared" si="251"/>
        <v>F3Q08A</v>
      </c>
      <c r="AA75" s="13" t="str">
        <f t="shared" si="251"/>
        <v>F4Q08A</v>
      </c>
      <c r="AB75" s="12" t="str">
        <f t="shared" si="251"/>
        <v>F1Q09A</v>
      </c>
      <c r="AC75" s="12" t="str">
        <f t="shared" si="251"/>
        <v>F2Q09A</v>
      </c>
      <c r="AD75" s="12" t="str">
        <f t="shared" si="251"/>
        <v>F3Q09A</v>
      </c>
      <c r="AE75" s="13" t="str">
        <f t="shared" si="251"/>
        <v>F4Q09A</v>
      </c>
      <c r="AF75" s="12" t="str">
        <f t="shared" si="251"/>
        <v>F1Q10A</v>
      </c>
      <c r="AG75" s="12" t="str">
        <f t="shared" si="251"/>
        <v>F2Q10A</v>
      </c>
      <c r="AH75" s="12" t="str">
        <f t="shared" si="251"/>
        <v>F3Q10A</v>
      </c>
      <c r="AI75" s="13" t="str">
        <f t="shared" si="251"/>
        <v>F4Q10A</v>
      </c>
      <c r="AJ75" s="12" t="str">
        <f t="shared" ref="AJ75:BO75" si="252">AJ68</f>
        <v>F1Q11A</v>
      </c>
      <c r="AK75" s="12" t="str">
        <f t="shared" si="252"/>
        <v>F2Q11A</v>
      </c>
      <c r="AL75" s="12" t="str">
        <f t="shared" si="252"/>
        <v>F3Q11A</v>
      </c>
      <c r="AM75" s="13" t="str">
        <f t="shared" si="252"/>
        <v>F4Q11A</v>
      </c>
      <c r="AN75" s="12" t="str">
        <f t="shared" si="252"/>
        <v>F1Q12A</v>
      </c>
      <c r="AO75" s="12" t="str">
        <f t="shared" si="252"/>
        <v>F2Q12A</v>
      </c>
      <c r="AP75" s="12" t="str">
        <f t="shared" si="252"/>
        <v>F3Q12A</v>
      </c>
      <c r="AQ75" s="13" t="str">
        <f t="shared" si="252"/>
        <v>F4Q12A</v>
      </c>
      <c r="AR75" s="12" t="str">
        <f t="shared" si="252"/>
        <v>F1Q13A</v>
      </c>
      <c r="AS75" s="12" t="str">
        <f t="shared" si="252"/>
        <v>F2Q13A</v>
      </c>
      <c r="AT75" s="12" t="str">
        <f t="shared" si="252"/>
        <v>F3Q13A</v>
      </c>
      <c r="AU75" s="13" t="str">
        <f t="shared" si="252"/>
        <v>F4Q13A</v>
      </c>
      <c r="AV75" s="12" t="str">
        <f t="shared" si="252"/>
        <v>F1Q14A</v>
      </c>
      <c r="AW75" s="12" t="str">
        <f t="shared" si="252"/>
        <v>F2Q14A</v>
      </c>
      <c r="AX75" s="12" t="str">
        <f t="shared" si="252"/>
        <v>F3Q14A</v>
      </c>
      <c r="AY75" s="13" t="str">
        <f t="shared" si="252"/>
        <v>F4Q14A</v>
      </c>
      <c r="AZ75" s="12" t="str">
        <f t="shared" si="252"/>
        <v>F1Q15A</v>
      </c>
      <c r="BA75" s="12" t="str">
        <f t="shared" si="252"/>
        <v>F2Q15A</v>
      </c>
      <c r="BB75" s="12" t="str">
        <f t="shared" si="252"/>
        <v>F3Q15A</v>
      </c>
      <c r="BC75" s="13" t="str">
        <f t="shared" si="252"/>
        <v>F4Q15A</v>
      </c>
      <c r="BD75" s="12" t="str">
        <f t="shared" si="252"/>
        <v>F1Q16A</v>
      </c>
      <c r="BE75" s="12" t="str">
        <f>BE68</f>
        <v>F2Q16A</v>
      </c>
      <c r="BF75" s="12" t="str">
        <f>BF68</f>
        <v>F3Q16A</v>
      </c>
      <c r="BG75" s="13" t="str">
        <f>BG68</f>
        <v>F4Q16A</v>
      </c>
      <c r="BH75" s="858" t="str">
        <f>BH68</f>
        <v>F1Q17A</v>
      </c>
      <c r="BI75" s="12" t="str">
        <f t="shared" si="252"/>
        <v>F2Q17A</v>
      </c>
      <c r="BJ75" s="12" t="str">
        <f t="shared" si="252"/>
        <v>F3Q17A</v>
      </c>
      <c r="BK75" s="13" t="str">
        <f t="shared" si="252"/>
        <v>F4Q17A</v>
      </c>
      <c r="BL75" s="12" t="str">
        <f t="shared" si="252"/>
        <v>F1Q18A</v>
      </c>
      <c r="BM75" s="12" t="str">
        <f t="shared" si="252"/>
        <v>F2Q18E</v>
      </c>
      <c r="BN75" s="12" t="str">
        <f t="shared" si="252"/>
        <v>F3Q18E</v>
      </c>
      <c r="BO75" s="13" t="str">
        <f t="shared" si="252"/>
        <v>F4Q18E</v>
      </c>
      <c r="BP75" s="12" t="str">
        <f t="shared" ref="BP75:BW75" si="253">BP68</f>
        <v>F1Q19E</v>
      </c>
      <c r="BQ75" s="12" t="str">
        <f t="shared" si="253"/>
        <v>F2Q19E</v>
      </c>
      <c r="BR75" s="12" t="str">
        <f t="shared" si="253"/>
        <v>F3Q19E</v>
      </c>
      <c r="BS75" s="13" t="str">
        <f t="shared" si="253"/>
        <v>F4Q19E</v>
      </c>
      <c r="BT75" s="878" t="str">
        <f t="shared" si="253"/>
        <v>F1Q20E</v>
      </c>
      <c r="BU75" s="878" t="str">
        <f t="shared" si="253"/>
        <v>F2Q20E</v>
      </c>
      <c r="BV75" s="878" t="str">
        <f t="shared" si="253"/>
        <v>F3Q20E</v>
      </c>
      <c r="BW75" s="879" t="str">
        <f t="shared" si="253"/>
        <v>F4Q20E</v>
      </c>
      <c r="BX75" s="252"/>
      <c r="BY75" s="714" t="e">
        <f>BY68</f>
        <v>#NAME?</v>
      </c>
      <c r="BZ75" s="241" t="e">
        <f>BZ68</f>
        <v>#NAME?</v>
      </c>
      <c r="CA75" s="241" t="e">
        <f t="shared" ref="CA75:CN75" si="254">CA68</f>
        <v>#NAME?</v>
      </c>
      <c r="CB75" s="241" t="e">
        <f t="shared" si="254"/>
        <v>#NAME?</v>
      </c>
      <c r="CC75" s="241" t="e">
        <f t="shared" si="254"/>
        <v>#NAME?</v>
      </c>
      <c r="CD75" s="12" t="e">
        <f t="shared" si="254"/>
        <v>#NAME?</v>
      </c>
      <c r="CE75" s="12" t="e">
        <f t="shared" si="254"/>
        <v>#NAME?</v>
      </c>
      <c r="CF75" s="12" t="e">
        <f t="shared" si="254"/>
        <v>#NAME?</v>
      </c>
      <c r="CG75" s="12" t="e">
        <f t="shared" si="254"/>
        <v>#NAME?</v>
      </c>
      <c r="CH75" s="12" t="e">
        <f t="shared" si="254"/>
        <v>#NAME?</v>
      </c>
      <c r="CI75" s="12" t="str">
        <f t="shared" si="254"/>
        <v>FY2013A</v>
      </c>
      <c r="CJ75" s="241" t="str">
        <f t="shared" si="254"/>
        <v>FY2014A</v>
      </c>
      <c r="CK75" s="241" t="str">
        <f t="shared" si="254"/>
        <v>FY2015A</v>
      </c>
      <c r="CL75" s="12" t="str">
        <f t="shared" si="254"/>
        <v>FY2016A</v>
      </c>
      <c r="CM75" s="12" t="str">
        <f t="shared" si="254"/>
        <v>FY2017A</v>
      </c>
      <c r="CN75" s="12" t="str">
        <f t="shared" si="254"/>
        <v>FY2018E</v>
      </c>
      <c r="CO75" s="878" t="str">
        <f>CO68</f>
        <v>FY2019E</v>
      </c>
      <c r="CP75" s="357" t="str">
        <f>CP68</f>
        <v>FY2020E</v>
      </c>
      <c r="CQ75" s="215"/>
      <c r="CR75" s="13" t="str">
        <f t="shared" ref="CR75:DD75" si="255">CR68</f>
        <v>CY2005</v>
      </c>
      <c r="CS75" s="13" t="str">
        <f t="shared" si="255"/>
        <v>CY2006</v>
      </c>
      <c r="CT75" s="13" t="str">
        <f t="shared" si="255"/>
        <v>CY2007</v>
      </c>
      <c r="CU75" s="13" t="str">
        <f t="shared" si="255"/>
        <v>CY2008</v>
      </c>
      <c r="CV75" s="13" t="str">
        <f t="shared" si="255"/>
        <v>CY2009</v>
      </c>
      <c r="CW75" s="13" t="str">
        <f t="shared" si="255"/>
        <v>CY2010</v>
      </c>
      <c r="CX75" s="13" t="str">
        <f t="shared" si="255"/>
        <v>CY2011</v>
      </c>
      <c r="CY75" s="13" t="str">
        <f t="shared" si="255"/>
        <v>CY2012</v>
      </c>
      <c r="CZ75" s="13" t="str">
        <f t="shared" si="255"/>
        <v>CY2013</v>
      </c>
      <c r="DA75" s="11" t="str">
        <f t="shared" si="255"/>
        <v>CY2014</v>
      </c>
      <c r="DB75" s="12" t="str">
        <f t="shared" si="255"/>
        <v>CY2015</v>
      </c>
      <c r="DC75" s="12" t="str">
        <f t="shared" si="255"/>
        <v>CY2016</v>
      </c>
      <c r="DD75" s="878" t="str">
        <f t="shared" si="255"/>
        <v>CY2017</v>
      </c>
      <c r="DE75" s="878" t="str">
        <f>DE68</f>
        <v>CY2018</v>
      </c>
      <c r="DF75" s="879" t="str">
        <f>DF68</f>
        <v>CY2019</v>
      </c>
      <c r="DG75" s="110"/>
      <c r="DH75" s="110"/>
      <c r="DI75" s="110"/>
      <c r="DJ75" s="110"/>
      <c r="DK75"/>
      <c r="DL75"/>
      <c r="DM75"/>
      <c r="DN75"/>
      <c r="DO75"/>
      <c r="DP75"/>
    </row>
    <row r="76" spans="1:122" s="109" customFormat="1" ht="14.25">
      <c r="B76" s="305" t="s">
        <v>199</v>
      </c>
      <c r="C76" s="24"/>
      <c r="D76" s="338">
        <f t="shared" ref="D76:AI76" si="256">D27+D30</f>
        <v>-44.984999999999999</v>
      </c>
      <c r="E76" s="339">
        <f t="shared" si="256"/>
        <v>-10.044000000000011</v>
      </c>
      <c r="F76" s="339">
        <f t="shared" si="256"/>
        <v>-21.104999999999983</v>
      </c>
      <c r="G76" s="339">
        <f t="shared" si="256"/>
        <v>-36.212000000000025</v>
      </c>
      <c r="H76" s="338">
        <f t="shared" si="256"/>
        <v>12.274999999999993</v>
      </c>
      <c r="I76" s="339">
        <f t="shared" si="256"/>
        <v>8.1200000000000099</v>
      </c>
      <c r="J76" s="339">
        <f t="shared" si="256"/>
        <v>-0.24999999999999289</v>
      </c>
      <c r="K76" s="339">
        <f t="shared" si="256"/>
        <v>11.769999999999953</v>
      </c>
      <c r="L76" s="338">
        <f t="shared" si="256"/>
        <v>-2.9139999999999873</v>
      </c>
      <c r="M76" s="339">
        <f t="shared" si="256"/>
        <v>-80.717000000000013</v>
      </c>
      <c r="N76" s="339">
        <f t="shared" si="256"/>
        <v>14.846000000000011</v>
      </c>
      <c r="O76" s="339">
        <f t="shared" si="256"/>
        <v>84.84699999999998</v>
      </c>
      <c r="P76" s="338">
        <f t="shared" si="256"/>
        <v>8.3669999999999938</v>
      </c>
      <c r="Q76" s="339">
        <f t="shared" si="256"/>
        <v>-11.577999999999989</v>
      </c>
      <c r="R76" s="339">
        <f t="shared" si="256"/>
        <v>-28.982999999999997</v>
      </c>
      <c r="S76" s="339">
        <f t="shared" si="256"/>
        <v>10.060700000000036</v>
      </c>
      <c r="T76" s="338">
        <f t="shared" si="256"/>
        <v>9.4759999999999991</v>
      </c>
      <c r="U76" s="339">
        <f t="shared" si="256"/>
        <v>14.589000000000016</v>
      </c>
      <c r="V76" s="339">
        <f t="shared" si="256"/>
        <v>0.13100000000000378</v>
      </c>
      <c r="W76" s="339">
        <f t="shared" si="256"/>
        <v>17.985999999999912</v>
      </c>
      <c r="X76" s="338">
        <f t="shared" si="256"/>
        <v>35.590999999999994</v>
      </c>
      <c r="Y76" s="339">
        <f t="shared" si="256"/>
        <v>22.865999999999993</v>
      </c>
      <c r="Z76" s="339">
        <f t="shared" si="256"/>
        <v>11.771999999999991</v>
      </c>
      <c r="AA76" s="339">
        <f t="shared" si="256"/>
        <v>38.617000000000083</v>
      </c>
      <c r="AB76" s="338">
        <f t="shared" si="256"/>
        <v>64.75500000000001</v>
      </c>
      <c r="AC76" s="339">
        <f t="shared" si="256"/>
        <v>16.225000000000023</v>
      </c>
      <c r="AD76" s="339">
        <f t="shared" si="256"/>
        <v>38.022999999999982</v>
      </c>
      <c r="AE76" s="339">
        <f t="shared" si="256"/>
        <v>53.668999999999954</v>
      </c>
      <c r="AF76" s="338">
        <f t="shared" si="256"/>
        <v>38.332999999999998</v>
      </c>
      <c r="AG76" s="339">
        <f t="shared" si="256"/>
        <v>40.583999999999996</v>
      </c>
      <c r="AH76" s="339">
        <f t="shared" si="256"/>
        <v>11.150999999999989</v>
      </c>
      <c r="AI76" s="337">
        <f t="shared" si="256"/>
        <v>43.965000000000025</v>
      </c>
      <c r="AJ76" s="339">
        <f t="shared" ref="AJ76:BO76" si="257">AJ27+AJ30</f>
        <v>31.783000000000015</v>
      </c>
      <c r="AK76" s="339">
        <f t="shared" si="257"/>
        <v>59.981999999999985</v>
      </c>
      <c r="AL76" s="339">
        <f t="shared" si="257"/>
        <v>65.883000000000024</v>
      </c>
      <c r="AM76" s="337">
        <f t="shared" si="257"/>
        <v>107.50999999999998</v>
      </c>
      <c r="AN76" s="339">
        <f t="shared" si="257"/>
        <v>70.808000000000021</v>
      </c>
      <c r="AO76" s="339">
        <f t="shared" si="257"/>
        <v>91.183000000000021</v>
      </c>
      <c r="AP76" s="339">
        <f t="shared" si="257"/>
        <v>9.5560000000000045</v>
      </c>
      <c r="AQ76" s="337">
        <f t="shared" si="257"/>
        <v>19.563000000000031</v>
      </c>
      <c r="AR76" s="339">
        <f t="shared" si="257"/>
        <v>121.25699999999998</v>
      </c>
      <c r="AS76" s="339">
        <f t="shared" si="257"/>
        <v>104.63599999999997</v>
      </c>
      <c r="AT76" s="339">
        <f t="shared" si="257"/>
        <v>30.90000000000002</v>
      </c>
      <c r="AU76" s="337">
        <f t="shared" si="257"/>
        <v>119.10000000000001</v>
      </c>
      <c r="AV76" s="339">
        <f t="shared" si="257"/>
        <v>142.5</v>
      </c>
      <c r="AW76" s="339">
        <f t="shared" si="257"/>
        <v>172.29999999999998</v>
      </c>
      <c r="AX76" s="339">
        <f t="shared" si="257"/>
        <v>131.5</v>
      </c>
      <c r="AY76" s="337">
        <f t="shared" si="257"/>
        <v>117.50000000000004</v>
      </c>
      <c r="AZ76" s="339">
        <f t="shared" si="257"/>
        <v>296</v>
      </c>
      <c r="BA76" s="339">
        <f t="shared" si="257"/>
        <v>71.000000000000014</v>
      </c>
      <c r="BB76" s="339">
        <f t="shared" si="257"/>
        <v>113.80000000000003</v>
      </c>
      <c r="BC76" s="337">
        <f t="shared" si="257"/>
        <v>81.89999999999992</v>
      </c>
      <c r="BD76" s="339">
        <f t="shared" si="257"/>
        <v>265.8</v>
      </c>
      <c r="BE76" s="339">
        <f>BE27+BE30</f>
        <v>117.10000000000002</v>
      </c>
      <c r="BF76" s="339">
        <f>BF27+BF30</f>
        <v>83.700000000000102</v>
      </c>
      <c r="BG76" s="337">
        <f>BG27+BG30</f>
        <v>439.79999999999995</v>
      </c>
      <c r="BH76" s="339">
        <f>BH27+BH30</f>
        <v>445.79999999999995</v>
      </c>
      <c r="BI76" s="339">
        <f t="shared" si="257"/>
        <v>181.00000000000003</v>
      </c>
      <c r="BJ76" s="339">
        <f t="shared" si="257"/>
        <v>201.09999999999997</v>
      </c>
      <c r="BK76" s="337">
        <f t="shared" si="257"/>
        <v>340.1</v>
      </c>
      <c r="BL76" s="339">
        <f t="shared" si="257"/>
        <v>332.60000000000008</v>
      </c>
      <c r="BM76" s="339">
        <f t="shared" si="257"/>
        <v>366.57674268682331</v>
      </c>
      <c r="BN76" s="339">
        <f t="shared" si="257"/>
        <v>286.16573206862006</v>
      </c>
      <c r="BO76" s="337">
        <f t="shared" si="257"/>
        <v>187.51453279672413</v>
      </c>
      <c r="BP76" s="339">
        <f t="shared" ref="BP76:BW76" si="258">BP27+BP30</f>
        <v>385.93669939087533</v>
      </c>
      <c r="BQ76" s="339">
        <f t="shared" si="258"/>
        <v>396.02105638729813</v>
      </c>
      <c r="BR76" s="339">
        <f t="shared" si="258"/>
        <v>332.40447145847003</v>
      </c>
      <c r="BS76" s="337">
        <f t="shared" si="258"/>
        <v>305.88042707273536</v>
      </c>
      <c r="BT76" s="339">
        <f t="shared" si="258"/>
        <v>367.16673369535874</v>
      </c>
      <c r="BU76" s="339">
        <f t="shared" si="258"/>
        <v>397.37591016817663</v>
      </c>
      <c r="BV76" s="339">
        <f t="shared" si="258"/>
        <v>354.99679062100438</v>
      </c>
      <c r="BW76" s="337">
        <f t="shared" si="258"/>
        <v>333.22110484996108</v>
      </c>
      <c r="BX76" s="484"/>
      <c r="BY76" s="338">
        <f>BY27+BY30</f>
        <v>-112.34600000000002</v>
      </c>
      <c r="BZ76" s="339">
        <f>BZ27+BZ30</f>
        <v>31.914999999999971</v>
      </c>
      <c r="CA76" s="339">
        <f t="shared" ref="CA76:CN76" si="259">CA27+CA30</f>
        <v>16.062000000000005</v>
      </c>
      <c r="CB76" s="339">
        <f t="shared" si="259"/>
        <v>-22.133299999999977</v>
      </c>
      <c r="CC76" s="339">
        <f t="shared" si="259"/>
        <v>42.181999999999924</v>
      </c>
      <c r="CD76" s="339">
        <f t="shared" si="259"/>
        <v>108.84600000000006</v>
      </c>
      <c r="CE76" s="339">
        <f t="shared" si="259"/>
        <v>172.67199999999994</v>
      </c>
      <c r="CF76" s="339">
        <f t="shared" si="259"/>
        <v>134.03299999999999</v>
      </c>
      <c r="CG76" s="339">
        <f t="shared" si="259"/>
        <v>265.15800000000002</v>
      </c>
      <c r="CH76" s="339">
        <f t="shared" si="259"/>
        <v>191.11</v>
      </c>
      <c r="CI76" s="339">
        <f t="shared" si="259"/>
        <v>375.89300000000003</v>
      </c>
      <c r="CJ76" s="339">
        <f t="shared" si="259"/>
        <v>563.79999999999995</v>
      </c>
      <c r="CK76" s="339">
        <f t="shared" si="259"/>
        <v>562.70000000000005</v>
      </c>
      <c r="CL76" s="339">
        <f t="shared" si="259"/>
        <v>906.40000000000009</v>
      </c>
      <c r="CM76" s="339">
        <f t="shared" si="259"/>
        <v>1168.0000000000002</v>
      </c>
      <c r="CN76" s="339">
        <f t="shared" si="259"/>
        <v>1172.8570075521675</v>
      </c>
      <c r="CO76" s="339">
        <f>CO27+CO30</f>
        <v>1420.2426543093788</v>
      </c>
      <c r="CP76" s="337">
        <f>CP27+CP30</f>
        <v>1452.7605393345011</v>
      </c>
      <c r="CQ76" s="484"/>
      <c r="CR76" s="338">
        <f t="shared" ref="CR76:DD76" si="260">CR27+CR30</f>
        <v>27.342999999999989</v>
      </c>
      <c r="CS76" s="338">
        <f t="shared" si="260"/>
        <v>-21.024299999999947</v>
      </c>
      <c r="CT76" s="338">
        <f t="shared" si="260"/>
        <v>68.296999999999912</v>
      </c>
      <c r="CU76" s="338">
        <f t="shared" si="260"/>
        <v>138.0100000000001</v>
      </c>
      <c r="CV76" s="339">
        <f t="shared" si="260"/>
        <v>146.24999999999991</v>
      </c>
      <c r="CW76" s="339">
        <f t="shared" si="260"/>
        <v>127.48299999999999</v>
      </c>
      <c r="CX76" s="339">
        <f t="shared" si="260"/>
        <v>304.18299999999994</v>
      </c>
      <c r="CY76" s="339">
        <f t="shared" si="260"/>
        <v>241.559</v>
      </c>
      <c r="CZ76" s="337">
        <f t="shared" si="260"/>
        <v>397.13599999999997</v>
      </c>
      <c r="DA76" s="338">
        <f t="shared" si="260"/>
        <v>717.30000000000007</v>
      </c>
      <c r="DB76" s="339">
        <f t="shared" si="260"/>
        <v>532.50000000000011</v>
      </c>
      <c r="DC76" s="339">
        <f t="shared" si="260"/>
        <v>1086.4000000000001</v>
      </c>
      <c r="DD76" s="339">
        <f t="shared" si="260"/>
        <v>1054.8000000000002</v>
      </c>
      <c r="DE76" s="339">
        <f>DE27+DE30</f>
        <v>1226.1937069430428</v>
      </c>
      <c r="DF76" s="337">
        <f>DF27+DF30</f>
        <v>1401.4726886138621</v>
      </c>
      <c r="DG76" s="110"/>
      <c r="DH76" s="110"/>
      <c r="DI76" s="110"/>
      <c r="DJ76" s="110"/>
      <c r="DK76"/>
      <c r="DL76"/>
      <c r="DM76"/>
      <c r="DN76"/>
      <c r="DO76"/>
      <c r="DP76"/>
    </row>
    <row r="77" spans="1:122" s="492" customFormat="1" ht="14.25">
      <c r="B77" s="493" t="s">
        <v>280</v>
      </c>
      <c r="C77" s="494"/>
      <c r="D77" s="495">
        <f>+D76/IS!D8</f>
        <v>-0.280815760889921</v>
      </c>
      <c r="E77" s="495">
        <f>+E76/IS!E8</f>
        <v>-6.3826542284131121E-2</v>
      </c>
      <c r="F77" s="495">
        <f>+F76/IS!F8</f>
        <v>-0.14051358531015506</v>
      </c>
      <c r="G77" s="496">
        <f>+G76/IS!G8</f>
        <v>-0.24136184280686801</v>
      </c>
      <c r="H77" s="495">
        <f>+H76/IS!H8</f>
        <v>7.0099595678095761E-2</v>
      </c>
      <c r="I77" s="495">
        <f>+I76/IS!I8</f>
        <v>4.4257675599958628E-2</v>
      </c>
      <c r="J77" s="495">
        <f>+J76/IS!J8</f>
        <v>-1.2055338827352739E-3</v>
      </c>
      <c r="K77" s="496">
        <f>+K76/IS!K8</f>
        <v>5.3974237275699471E-2</v>
      </c>
      <c r="L77" s="495">
        <f>+L76/IS!L8</f>
        <v>-1.3235828488372035E-2</v>
      </c>
      <c r="M77" s="495">
        <f>+M76/IS!M8</f>
        <v>-0.76447412037694762</v>
      </c>
      <c r="N77" s="495">
        <f>+N76/IS!N8</f>
        <v>7.7511851805442483E-2</v>
      </c>
      <c r="O77" s="496">
        <f>+O76/IS!O8</f>
        <v>0.30842911877394635</v>
      </c>
      <c r="P77" s="495">
        <f>+P76/IS!P8</f>
        <v>4.2188327240640332E-2</v>
      </c>
      <c r="Q77" s="495">
        <f>+Q76/IS!Q8</f>
        <v>-6.2504723754818164E-2</v>
      </c>
      <c r="R77" s="495">
        <f>+R76/IS!R8</f>
        <v>-0.14707852510428401</v>
      </c>
      <c r="S77" s="496">
        <f>+S76/IS!S8</f>
        <v>5.2092081622509036E-2</v>
      </c>
      <c r="T77" s="495">
        <f>+T76/IS!T8</f>
        <v>4.8339539866346981E-2</v>
      </c>
      <c r="U77" s="495">
        <f>+U76/IS!U8</f>
        <v>8.0955551856167887E-2</v>
      </c>
      <c r="V77" s="495">
        <f>+V76/IS!V8</f>
        <v>7.4835761211084699E-4</v>
      </c>
      <c r="W77" s="496">
        <f>+W76/IS!W8</f>
        <v>9.443750196897896E-2</v>
      </c>
      <c r="X77" s="495">
        <f>+X76/IS!X8</f>
        <v>0.16905188260272735</v>
      </c>
      <c r="Y77" s="495">
        <f>+Y76/IS!Y8</f>
        <v>0.1133618894639776</v>
      </c>
      <c r="Z77" s="495">
        <f>+Z76/IS!Z8</f>
        <v>5.4700060406114914E-2</v>
      </c>
      <c r="AA77" s="496">
        <f>+AA76/IS!AA8</f>
        <v>0.16604748759491961</v>
      </c>
      <c r="AB77" s="495">
        <f>+AB76/IS!AB8</f>
        <v>0.30802271819167765</v>
      </c>
      <c r="AC77" s="495">
        <f>+AC76/IS!AC8</f>
        <v>9.3791548644430442E-2</v>
      </c>
      <c r="AD77" s="495">
        <f>+AD76/IS!AD8</f>
        <v>0.19885154252064444</v>
      </c>
      <c r="AE77" s="496">
        <f>+AE76/IS!AE8</f>
        <v>0.23523971491939349</v>
      </c>
      <c r="AF77" s="495">
        <f>+AF76/IS!AF8</f>
        <v>0.15637314492245183</v>
      </c>
      <c r="AG77" s="495">
        <f>+AG76/IS!AG8</f>
        <v>0.17047946298801131</v>
      </c>
      <c r="AH77" s="495">
        <f>+AH76/IS!AH8</f>
        <v>4.0494607255692303E-2</v>
      </c>
      <c r="AI77" s="496">
        <f>+AI76/IS!AI8</f>
        <v>0.1403363731833519</v>
      </c>
      <c r="AJ77" s="495">
        <f>+AJ76/IS!AJ8</f>
        <v>9.4840654094055912E-2</v>
      </c>
      <c r="AK77" s="495">
        <f>+AK76/IS!AK8</f>
        <v>0.18432689736978769</v>
      </c>
      <c r="AL77" s="495">
        <f>+AL76/IS!AL8</f>
        <v>0.18502562662360464</v>
      </c>
      <c r="AM77" s="496">
        <f>+AM76/IS!AM8</f>
        <v>0.26722775131985799</v>
      </c>
      <c r="AN77" s="495">
        <f>+AN76/IS!AN8</f>
        <v>0.17983440849291416</v>
      </c>
      <c r="AO77" s="495">
        <f>+AO76/IS!AO8</f>
        <v>0.25002879157640739</v>
      </c>
      <c r="AP77" s="495">
        <f>+AP76/IS!AP8</f>
        <v>2.4563153213824882E-2</v>
      </c>
      <c r="AQ77" s="496">
        <f>+AQ76/IS!AQ8</f>
        <v>4.6455464447784874E-2</v>
      </c>
      <c r="AR77" s="495">
        <f>+AR76/IS!AR8</f>
        <v>0.26724896026871015</v>
      </c>
      <c r="AS77" s="495">
        <f>+AS76/IS!AS8</f>
        <v>0.24608654750705544</v>
      </c>
      <c r="AT77" s="495">
        <f>+AT76/IS!AT8</f>
        <v>7.085530841550107E-2</v>
      </c>
      <c r="AU77" s="496">
        <f>+AU76/IS!AU8</f>
        <v>0.249685534591195</v>
      </c>
      <c r="AV77" s="495">
        <f>+AV76/IS!AV8</f>
        <v>0.28206650831353919</v>
      </c>
      <c r="AW77" s="495">
        <f>+AW76/IS!AW8</f>
        <v>0.3582120582120582</v>
      </c>
      <c r="AX77" s="495">
        <f>+AX76/IS!AX8</f>
        <v>0.22402044293015333</v>
      </c>
      <c r="AY77" s="496">
        <f>+AY76/IS!AY8</f>
        <v>0.16360345307713733</v>
      </c>
      <c r="AZ77" s="495">
        <f>+AZ76/IS!AZ8</f>
        <v>0.36747361887026692</v>
      </c>
      <c r="BA77" s="495">
        <f>+BA76/IS!BA8</f>
        <v>9.3163626820627232E-2</v>
      </c>
      <c r="BB77" s="495">
        <f>+BB76/IS!BB8</f>
        <v>0.14049382716049386</v>
      </c>
      <c r="BC77" s="496">
        <f>+BC76/IS!BC8</f>
        <v>9.2983651226157954E-2</v>
      </c>
      <c r="BD77" s="495">
        <f>+BD76/IS!BD8</f>
        <v>0.28679326715580494</v>
      </c>
      <c r="BE77" s="495">
        <f>+BE76/IS!BE8</f>
        <v>0.15107728035092249</v>
      </c>
      <c r="BF77" s="495">
        <f>+BF76/IS!BF8</f>
        <v>0.11134761207928708</v>
      </c>
      <c r="BG77" s="496">
        <f>+BG76/IS!BG8</f>
        <v>0.52645439310509934</v>
      </c>
      <c r="BH77" s="495">
        <f>+BH76/IS!BH8</f>
        <v>0.48758613146669583</v>
      </c>
      <c r="BI77" s="495">
        <f>+BI76/IS!BI8</f>
        <v>0.21251614418222381</v>
      </c>
      <c r="BJ77" s="495">
        <f>+BJ76/IS!BJ8</f>
        <v>0.22324600355239785</v>
      </c>
      <c r="BK77" s="496">
        <f>+BK76/IS!BK8</f>
        <v>0.34541945967905752</v>
      </c>
      <c r="BL77" s="495">
        <f>+BL76/IS!BL8</f>
        <v>0.31618975187755494</v>
      </c>
      <c r="BM77" s="495">
        <f>+BM76/IS!BM8</f>
        <v>0.40608279916832185</v>
      </c>
      <c r="BN77" s="495">
        <f>+BN76/IS!BN8</f>
        <v>0.32963883038217973</v>
      </c>
      <c r="BO77" s="496">
        <f>+BO76/IS!BO8</f>
        <v>0.1817654298979666</v>
      </c>
      <c r="BP77" s="495">
        <f>+BP76/IS!BP8</f>
        <v>0.35930773573472524</v>
      </c>
      <c r="BQ77" s="495">
        <f>+BQ76/IS!BQ8</f>
        <v>0.40492160178410952</v>
      </c>
      <c r="BR77" s="495">
        <f>+BR76/IS!BR8</f>
        <v>0.33977440329335967</v>
      </c>
      <c r="BS77" s="496">
        <f>+BS76/IS!BS8</f>
        <v>0.29067627652644756</v>
      </c>
      <c r="BT77" s="495">
        <f>+BT76/IS!BT8</f>
        <v>0.33478998124979015</v>
      </c>
      <c r="BU77" s="495">
        <f>+BU76/IS!BU8</f>
        <v>0.3831478605604538</v>
      </c>
      <c r="BV77" s="495">
        <f>+BV76/IS!BV8</f>
        <v>0.337889109792195</v>
      </c>
      <c r="BW77" s="496">
        <f>+BW76/IS!BW8</f>
        <v>0.29329969481646789</v>
      </c>
      <c r="BX77" s="501"/>
      <c r="BY77" s="497">
        <f>+BY76/IS!BY8</f>
        <v>-0.18185173254946271</v>
      </c>
      <c r="BZ77" s="498">
        <f>+BZ76/IS!BZ8</f>
        <v>4.0706713961197537E-2</v>
      </c>
      <c r="CA77" s="498">
        <f>+CA76/IS!CA8</f>
        <v>2.0270807487906554E-2</v>
      </c>
      <c r="CB77" s="498">
        <f>+CB76/IS!CB8</f>
        <v>-2.8605234248788337E-2</v>
      </c>
      <c r="CC77" s="498">
        <f>+CC76/IS!CC8</f>
        <v>5.6868677063784713E-2</v>
      </c>
      <c r="CD77" s="498">
        <f>+CD76/IS!CD8</f>
        <v>0.12656261445994679</v>
      </c>
      <c r="CE77" s="498">
        <f>+CE76/IS!CE8</f>
        <v>0.21514695786198701</v>
      </c>
      <c r="CF77" s="498">
        <f>+CF76/IS!CF8</f>
        <v>0.12504839767541884</v>
      </c>
      <c r="CG77" s="498">
        <f>+CG76/IS!CG8</f>
        <v>0.18687285136180848</v>
      </c>
      <c r="CH77" s="498">
        <f>+CH76/IS!CH8</f>
        <v>0.12183623287544602</v>
      </c>
      <c r="CI77" s="498">
        <f>+CI76/IS!CI8</f>
        <v>0.20975902653035144</v>
      </c>
      <c r="CJ77" s="498">
        <f>+CJ76/IS!CJ8</f>
        <v>0.24605044950685168</v>
      </c>
      <c r="CK77" s="498">
        <f>+CK76/IS!CK8</f>
        <v>0.17269211883132829</v>
      </c>
      <c r="CL77" s="498">
        <f>+CL76/IS!CL8</f>
        <v>0.27558528428093643</v>
      </c>
      <c r="CM77" s="498">
        <f>+CM76/IS!CM8</f>
        <v>0.31987730733417324</v>
      </c>
      <c r="CN77" s="498">
        <f>+CN76/IS!CN8</f>
        <v>0.30429338175267767</v>
      </c>
      <c r="CO77" s="498">
        <f>+CO76/IS!CO8</f>
        <v>0.3478645281116603</v>
      </c>
      <c r="CP77" s="499">
        <f>+CP76/IS!CP8</f>
        <v>0.33624165680161205</v>
      </c>
      <c r="CQ77" s="501"/>
      <c r="CR77" s="497">
        <f>+CR76/IS!CR8</f>
        <v>3.5485687884797057E-2</v>
      </c>
      <c r="CS77" s="497">
        <f>+CS76/IS!CS8</f>
        <v>-2.7252788561873277E-2</v>
      </c>
      <c r="CT77" s="497">
        <f>+CT76/IS!CT8</f>
        <v>9.0310440900922467E-2</v>
      </c>
      <c r="CU77" s="497">
        <f>+CU76/IS!CU8</f>
        <v>0.16053050323829388</v>
      </c>
      <c r="CV77" s="498">
        <f>+CV76/IS!CV8</f>
        <v>0.17462957633969234</v>
      </c>
      <c r="CW77" s="498">
        <f>+CW76/IS!CW8</f>
        <v>0.10972594120831687</v>
      </c>
      <c r="CX77" s="498">
        <f>+CX76/IS!CX8</f>
        <v>0.2058709667813165</v>
      </c>
      <c r="CY77" s="498">
        <f>+CY76/IS!CY8</f>
        <v>0.14832637833084852</v>
      </c>
      <c r="CZ77" s="499">
        <f>+CZ76/IS!CZ8</f>
        <v>0.21542500678058041</v>
      </c>
      <c r="DA77" s="497">
        <f>+DA76/IS!DA8</f>
        <v>0.27676814446116454</v>
      </c>
      <c r="DB77" s="498">
        <f>+DB76/IS!DB8</f>
        <v>0.15755836316832858</v>
      </c>
      <c r="DC77" s="498">
        <f>+DC76/IS!DC8</f>
        <v>0.33157332519456739</v>
      </c>
      <c r="DD77" s="498">
        <f>+DD76/IS!DD8</f>
        <v>0.27838479809976252</v>
      </c>
      <c r="DE77" s="498">
        <f>+DE76/IS!DE8</f>
        <v>0.31630857186530686</v>
      </c>
      <c r="DF77" s="499">
        <f>+DF76/IS!DF8</f>
        <v>0.34137779954508601</v>
      </c>
      <c r="DK77"/>
      <c r="DL77"/>
      <c r="DM77"/>
      <c r="DN77"/>
      <c r="DO77"/>
      <c r="DP77"/>
    </row>
    <row r="78" spans="1:122" s="109" customFormat="1" ht="14.25">
      <c r="B78" s="340" t="s">
        <v>200</v>
      </c>
      <c r="C78" s="186"/>
      <c r="D78" s="343">
        <f t="shared" ref="D78:AI78" si="261">D76-D10</f>
        <v>-44.984999999999999</v>
      </c>
      <c r="E78" s="341">
        <f t="shared" si="261"/>
        <v>-10.044000000000011</v>
      </c>
      <c r="F78" s="341">
        <f t="shared" si="261"/>
        <v>-21.104999999999983</v>
      </c>
      <c r="G78" s="341">
        <f t="shared" si="261"/>
        <v>-36.212000000000025</v>
      </c>
      <c r="H78" s="343">
        <f t="shared" si="261"/>
        <v>12.274999999999993</v>
      </c>
      <c r="I78" s="341">
        <f t="shared" si="261"/>
        <v>8.1200000000000099</v>
      </c>
      <c r="J78" s="341">
        <f t="shared" si="261"/>
        <v>-0.24999999999999289</v>
      </c>
      <c r="K78" s="341">
        <f t="shared" si="261"/>
        <v>11.769999999999953</v>
      </c>
      <c r="L78" s="343">
        <f t="shared" si="261"/>
        <v>-2.9139999999999873</v>
      </c>
      <c r="M78" s="341">
        <f t="shared" si="261"/>
        <v>-80.717000000000013</v>
      </c>
      <c r="N78" s="341">
        <f t="shared" si="261"/>
        <v>14.846000000000011</v>
      </c>
      <c r="O78" s="341">
        <f t="shared" si="261"/>
        <v>84.84699999999998</v>
      </c>
      <c r="P78" s="343">
        <f t="shared" si="261"/>
        <v>5.3359999999999932</v>
      </c>
      <c r="Q78" s="341">
        <f t="shared" si="261"/>
        <v>-15.164999999999988</v>
      </c>
      <c r="R78" s="341">
        <f t="shared" si="261"/>
        <v>-32.652999999999999</v>
      </c>
      <c r="S78" s="341">
        <f t="shared" si="261"/>
        <v>6.129700000000037</v>
      </c>
      <c r="T78" s="343">
        <f t="shared" si="261"/>
        <v>7.4499999999999993</v>
      </c>
      <c r="U78" s="341">
        <f t="shared" si="261"/>
        <v>10.544000000000016</v>
      </c>
      <c r="V78" s="341">
        <f t="shared" si="261"/>
        <v>-3.5139999999999958</v>
      </c>
      <c r="W78" s="341">
        <f t="shared" si="261"/>
        <v>13.964999999999911</v>
      </c>
      <c r="X78" s="343">
        <f t="shared" si="261"/>
        <v>30.583999999999996</v>
      </c>
      <c r="Y78" s="341">
        <f t="shared" si="261"/>
        <v>17.222999999999992</v>
      </c>
      <c r="Z78" s="341">
        <f t="shared" si="261"/>
        <v>5.6599999999999913</v>
      </c>
      <c r="AA78" s="341">
        <f t="shared" si="261"/>
        <v>32.16700000000008</v>
      </c>
      <c r="AB78" s="343">
        <f t="shared" si="261"/>
        <v>58.166000000000011</v>
      </c>
      <c r="AC78" s="341">
        <f t="shared" si="261"/>
        <v>11.961000000000023</v>
      </c>
      <c r="AD78" s="341">
        <f t="shared" si="261"/>
        <v>32.554999999999978</v>
      </c>
      <c r="AE78" s="341">
        <f t="shared" si="261"/>
        <v>46.523999999999958</v>
      </c>
      <c r="AF78" s="343">
        <f t="shared" si="261"/>
        <v>30.248999999999999</v>
      </c>
      <c r="AG78" s="341">
        <f t="shared" si="261"/>
        <v>31.863999999999997</v>
      </c>
      <c r="AH78" s="341">
        <f t="shared" si="261"/>
        <v>1.7159999999999869</v>
      </c>
      <c r="AI78" s="342">
        <f t="shared" si="261"/>
        <v>29.463000000000026</v>
      </c>
      <c r="AJ78" s="341">
        <f t="shared" ref="AJ78:BO78" si="262">AJ76-AJ10</f>
        <v>18.502000000000017</v>
      </c>
      <c r="AK78" s="341">
        <f t="shared" si="262"/>
        <v>45.117999999999988</v>
      </c>
      <c r="AL78" s="341">
        <f t="shared" si="262"/>
        <v>51.340000000000018</v>
      </c>
      <c r="AM78" s="342">
        <f t="shared" si="262"/>
        <v>91.859999999999985</v>
      </c>
      <c r="AN78" s="341">
        <f t="shared" si="262"/>
        <v>55.058000000000021</v>
      </c>
      <c r="AO78" s="341">
        <f t="shared" si="262"/>
        <v>71.848000000000013</v>
      </c>
      <c r="AP78" s="341">
        <f t="shared" si="262"/>
        <v>-9.0129999999999981</v>
      </c>
      <c r="AQ78" s="342">
        <f t="shared" si="262"/>
        <v>1.0450000000000372</v>
      </c>
      <c r="AR78" s="341">
        <f t="shared" si="262"/>
        <v>103.56099999999998</v>
      </c>
      <c r="AS78" s="341">
        <f t="shared" si="262"/>
        <v>86.331999999999965</v>
      </c>
      <c r="AT78" s="341">
        <f t="shared" si="262"/>
        <v>12.800000000000015</v>
      </c>
      <c r="AU78" s="342">
        <f t="shared" si="262"/>
        <v>101.50000000000001</v>
      </c>
      <c r="AV78" s="341">
        <f t="shared" si="262"/>
        <v>123.6</v>
      </c>
      <c r="AW78" s="341">
        <f t="shared" si="262"/>
        <v>151.59999999999997</v>
      </c>
      <c r="AX78" s="341">
        <f t="shared" si="262"/>
        <v>108.7</v>
      </c>
      <c r="AY78" s="342">
        <f t="shared" si="262"/>
        <v>93.900000000000034</v>
      </c>
      <c r="AZ78" s="341">
        <f t="shared" si="262"/>
        <v>274.3</v>
      </c>
      <c r="BA78" s="341">
        <f t="shared" si="262"/>
        <v>44.300000000000011</v>
      </c>
      <c r="BB78" s="341">
        <f t="shared" si="262"/>
        <v>87.800000000000026</v>
      </c>
      <c r="BC78" s="342">
        <f t="shared" si="262"/>
        <v>56.499999999999929</v>
      </c>
      <c r="BD78" s="341">
        <f t="shared" si="262"/>
        <v>242.5</v>
      </c>
      <c r="BE78" s="341">
        <f>BE76-BE10</f>
        <v>100.00000000000003</v>
      </c>
      <c r="BF78" s="341">
        <f>BF76-BF10</f>
        <v>65.800000000000097</v>
      </c>
      <c r="BG78" s="342">
        <f>BG76-BG10</f>
        <v>420.09999999999997</v>
      </c>
      <c r="BH78" s="341">
        <f>BH76-BH10</f>
        <v>424.19999999999993</v>
      </c>
      <c r="BI78" s="341">
        <f t="shared" si="262"/>
        <v>158.90000000000003</v>
      </c>
      <c r="BJ78" s="341">
        <f t="shared" si="262"/>
        <v>180.49999999999997</v>
      </c>
      <c r="BK78" s="342">
        <f t="shared" si="262"/>
        <v>315.90000000000003</v>
      </c>
      <c r="BL78" s="341">
        <f t="shared" si="262"/>
        <v>306.80000000000007</v>
      </c>
      <c r="BM78" s="341">
        <f t="shared" si="262"/>
        <v>341.07674268682331</v>
      </c>
      <c r="BN78" s="341">
        <f t="shared" si="262"/>
        <v>260.66573206862006</v>
      </c>
      <c r="BO78" s="342">
        <f t="shared" si="262"/>
        <v>162.01453279672413</v>
      </c>
      <c r="BP78" s="341">
        <f t="shared" ref="BP78:BW78" si="263">BP76-BP10</f>
        <v>360.43669939087533</v>
      </c>
      <c r="BQ78" s="341">
        <f t="shared" si="263"/>
        <v>370.52105638729813</v>
      </c>
      <c r="BR78" s="341">
        <f t="shared" si="263"/>
        <v>306.90447145847003</v>
      </c>
      <c r="BS78" s="342">
        <f t="shared" si="263"/>
        <v>280.38042707273536</v>
      </c>
      <c r="BT78" s="341">
        <f t="shared" si="263"/>
        <v>341.66673369535874</v>
      </c>
      <c r="BU78" s="341">
        <f t="shared" si="263"/>
        <v>371.87591016817663</v>
      </c>
      <c r="BV78" s="341">
        <f t="shared" si="263"/>
        <v>329.49679062100438</v>
      </c>
      <c r="BW78" s="342">
        <f t="shared" si="263"/>
        <v>307.72110484996108</v>
      </c>
      <c r="BX78" s="484"/>
      <c r="BY78" s="343">
        <f>BY76-BY10</f>
        <v>-112.34600000000002</v>
      </c>
      <c r="BZ78" s="341">
        <f>BZ76-BZ10</f>
        <v>31.914999999999971</v>
      </c>
      <c r="CA78" s="341">
        <f t="shared" ref="CA78:CN78" si="264">CA76-CA10</f>
        <v>16.062000000000005</v>
      </c>
      <c r="CB78" s="341">
        <f t="shared" si="264"/>
        <v>-36.352299999999978</v>
      </c>
      <c r="CC78" s="341">
        <f t="shared" si="264"/>
        <v>28.444999999999922</v>
      </c>
      <c r="CD78" s="341">
        <f t="shared" si="264"/>
        <v>85.634000000000057</v>
      </c>
      <c r="CE78" s="341">
        <f t="shared" si="264"/>
        <v>149.20599999999993</v>
      </c>
      <c r="CF78" s="341">
        <f t="shared" si="264"/>
        <v>93.291999999999987</v>
      </c>
      <c r="CG78" s="341">
        <f t="shared" si="264"/>
        <v>206.82000000000002</v>
      </c>
      <c r="CH78" s="341">
        <f t="shared" si="264"/>
        <v>118.93800000000002</v>
      </c>
      <c r="CI78" s="341">
        <f t="shared" si="264"/>
        <v>304.19300000000004</v>
      </c>
      <c r="CJ78" s="341">
        <f t="shared" si="264"/>
        <v>477.79999999999995</v>
      </c>
      <c r="CK78" s="341">
        <f t="shared" si="264"/>
        <v>462.90000000000003</v>
      </c>
      <c r="CL78" s="341">
        <f t="shared" si="264"/>
        <v>828.40000000000009</v>
      </c>
      <c r="CM78" s="341">
        <f t="shared" si="264"/>
        <v>1079.5000000000002</v>
      </c>
      <c r="CN78" s="341">
        <f t="shared" si="264"/>
        <v>1070.5570075521675</v>
      </c>
      <c r="CO78" s="341">
        <f>CO76-CO10</f>
        <v>1318.2426543093788</v>
      </c>
      <c r="CP78" s="342">
        <f>CP76-CP10</f>
        <v>1350.7605393345011</v>
      </c>
      <c r="CQ78" s="484"/>
      <c r="CR78" s="343">
        <f t="shared" ref="CR78:DD78" si="265">CR76-CR10</f>
        <v>24.311999999999991</v>
      </c>
      <c r="CS78" s="343">
        <f t="shared" si="265"/>
        <v>-34.238299999999946</v>
      </c>
      <c r="CT78" s="343">
        <f t="shared" si="265"/>
        <v>51.578999999999908</v>
      </c>
      <c r="CU78" s="343">
        <f t="shared" si="265"/>
        <v>113.21600000000009</v>
      </c>
      <c r="CV78" s="341">
        <f t="shared" si="265"/>
        <v>121.28899999999992</v>
      </c>
      <c r="CW78" s="341">
        <f t="shared" si="265"/>
        <v>81.544999999999987</v>
      </c>
      <c r="CX78" s="341">
        <f t="shared" si="265"/>
        <v>243.37599999999992</v>
      </c>
      <c r="CY78" s="341">
        <f t="shared" si="265"/>
        <v>167.441</v>
      </c>
      <c r="CZ78" s="342">
        <f t="shared" si="265"/>
        <v>324.23199999999997</v>
      </c>
      <c r="DA78" s="343">
        <f t="shared" si="265"/>
        <v>628.50000000000011</v>
      </c>
      <c r="DB78" s="341">
        <f t="shared" si="265"/>
        <v>431.10000000000014</v>
      </c>
      <c r="DC78" s="341">
        <f t="shared" si="265"/>
        <v>1010.1000000000001</v>
      </c>
      <c r="DD78" s="341">
        <f t="shared" si="265"/>
        <v>962.10000000000014</v>
      </c>
      <c r="DE78" s="341">
        <f>DE76-DE10</f>
        <v>1124.1937069430428</v>
      </c>
      <c r="DF78" s="342">
        <f>DF76-DF10</f>
        <v>1299.4726886138621</v>
      </c>
      <c r="DG78" s="110"/>
      <c r="DH78" s="110"/>
      <c r="DI78" s="110"/>
      <c r="DJ78" s="110"/>
      <c r="DK78"/>
      <c r="DL78"/>
      <c r="DM78"/>
      <c r="DN78"/>
      <c r="DO78"/>
      <c r="DP78"/>
    </row>
    <row r="79" spans="1:122" s="109" customFormat="1" ht="14.25">
      <c r="B79" s="301"/>
      <c r="C79" s="301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18"/>
      <c r="BE79" s="118"/>
      <c r="BF79" s="118"/>
      <c r="BG79" s="118"/>
      <c r="BH79" s="118"/>
      <c r="BI79" s="118"/>
      <c r="BJ79" s="118"/>
      <c r="BK79" s="118"/>
      <c r="BL79" s="118"/>
      <c r="BM79" s="118"/>
      <c r="BN79" s="118"/>
      <c r="BO79" s="118"/>
      <c r="BP79" s="118"/>
      <c r="BQ79" s="118"/>
      <c r="BR79" s="118"/>
      <c r="BS79" s="118"/>
      <c r="BT79" s="118"/>
      <c r="BU79" s="118"/>
      <c r="BV79" s="118"/>
      <c r="BW79" s="118"/>
      <c r="BX79" s="118"/>
      <c r="BY79" s="118"/>
      <c r="BZ79" s="118"/>
      <c r="CA79" s="118"/>
      <c r="CB79" s="118"/>
      <c r="CC79" s="118"/>
      <c r="CD79" s="118"/>
      <c r="CE79" s="118"/>
      <c r="CF79" s="118"/>
      <c r="CG79" s="118"/>
      <c r="CH79" s="118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/>
      <c r="DL79"/>
      <c r="DM79"/>
      <c r="DN79"/>
      <c r="DO79"/>
      <c r="DP79"/>
    </row>
    <row r="80" spans="1:122" s="109" customFormat="1" ht="14.25">
      <c r="B80" s="301"/>
      <c r="C80" s="301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18"/>
      <c r="BE80" s="118"/>
      <c r="BF80" s="118"/>
      <c r="BG80" s="118"/>
      <c r="BH80" s="118"/>
      <c r="BI80" s="118"/>
      <c r="BJ80" s="118"/>
      <c r="BK80" s="118"/>
      <c r="BL80" s="118"/>
      <c r="BM80" s="118"/>
      <c r="BN80" s="118"/>
      <c r="BO80" s="118"/>
      <c r="BP80" s="118"/>
      <c r="BQ80" s="118"/>
      <c r="BR80" s="118"/>
      <c r="BS80" s="118"/>
      <c r="BT80" s="118"/>
      <c r="BU80" s="118"/>
      <c r="BV80" s="118"/>
      <c r="BW80" s="118"/>
      <c r="BX80" s="118"/>
      <c r="BY80" s="118"/>
      <c r="BZ80" s="118"/>
      <c r="CA80" s="118"/>
      <c r="CB80" s="118"/>
      <c r="CC80" s="118"/>
      <c r="CD80" s="118"/>
      <c r="CE80" s="118"/>
      <c r="CF80" s="118"/>
      <c r="CG80" s="118"/>
      <c r="CH80" s="118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/>
      <c r="DL80"/>
      <c r="DM80"/>
      <c r="DN80"/>
      <c r="DO80"/>
      <c r="DP80"/>
    </row>
    <row r="81" spans="2:120" s="109" customFormat="1" ht="14.25">
      <c r="B81" s="301"/>
      <c r="C81" s="301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18"/>
      <c r="BE81" s="118"/>
      <c r="BF81" s="118"/>
      <c r="BG81" s="118"/>
      <c r="BH81" s="118"/>
      <c r="BI81" s="118"/>
      <c r="BJ81" s="118"/>
      <c r="BK81" s="118"/>
      <c r="BL81" s="118"/>
      <c r="BM81" s="118"/>
      <c r="BN81" s="118"/>
      <c r="BO81" s="118"/>
      <c r="BP81" s="118"/>
      <c r="BQ81" s="118"/>
      <c r="BR81" s="118"/>
      <c r="BS81" s="118"/>
      <c r="BT81" s="118"/>
      <c r="BU81" s="118"/>
      <c r="BV81" s="118"/>
      <c r="BW81" s="118"/>
      <c r="BX81" s="118"/>
      <c r="BY81" s="118"/>
      <c r="BZ81" s="118"/>
      <c r="CA81" s="118"/>
      <c r="CB81" s="118"/>
      <c r="CC81" s="118"/>
      <c r="CD81" s="118"/>
      <c r="CE81" s="118"/>
      <c r="CF81" s="118"/>
      <c r="CG81" s="118"/>
      <c r="CH81" s="118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/>
      <c r="DL81"/>
      <c r="DM81"/>
      <c r="DN81"/>
      <c r="DO81"/>
      <c r="DP81"/>
    </row>
    <row r="82" spans="2:120" s="109" customFormat="1" ht="14.25">
      <c r="B82" s="301"/>
      <c r="C82" s="301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18"/>
      <c r="BE82" s="118"/>
      <c r="BF82" s="118"/>
      <c r="BG82" s="118"/>
      <c r="BH82" s="118"/>
      <c r="BI82" s="118"/>
      <c r="BJ82" s="118"/>
      <c r="BK82" s="118"/>
      <c r="BL82" s="118"/>
      <c r="BM82" s="118"/>
      <c r="BN82" s="118"/>
      <c r="BO82" s="118"/>
      <c r="BP82" s="118"/>
      <c r="BQ82" s="118"/>
      <c r="BR82" s="118"/>
      <c r="BS82" s="118"/>
      <c r="BT82" s="118"/>
      <c r="BU82" s="118"/>
      <c r="BV82" s="118"/>
      <c r="BW82" s="118"/>
      <c r="BX82" s="118"/>
      <c r="BY82" s="118"/>
      <c r="BZ82" s="118"/>
      <c r="CA82" s="118"/>
      <c r="CB82" s="118"/>
      <c r="CC82" s="118"/>
      <c r="CD82" s="118"/>
      <c r="CE82" s="118"/>
      <c r="CF82" s="118"/>
      <c r="CG82" s="118"/>
      <c r="CH82" s="118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/>
      <c r="DL82"/>
      <c r="DM82"/>
      <c r="DN82"/>
      <c r="DO82"/>
      <c r="DP82"/>
    </row>
    <row r="83" spans="2:120" s="109" customFormat="1" ht="14.25">
      <c r="B83" s="301"/>
      <c r="C83" s="301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  <c r="BD83" s="118"/>
      <c r="BE83" s="118"/>
      <c r="BF83" s="118"/>
      <c r="BG83" s="118"/>
      <c r="BH83" s="118"/>
      <c r="BI83" s="11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118"/>
      <c r="CE83" s="118"/>
      <c r="CF83" s="118"/>
      <c r="CG83" s="118"/>
      <c r="CH83" s="118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/>
      <c r="DL83"/>
      <c r="DM83"/>
      <c r="DN83"/>
      <c r="DO83"/>
      <c r="DP83"/>
    </row>
    <row r="84" spans="2:120" s="109" customFormat="1" ht="14.25">
      <c r="B84" s="301"/>
      <c r="C84" s="301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18"/>
      <c r="BE84" s="118"/>
      <c r="BF84" s="118"/>
      <c r="BG84" s="118"/>
      <c r="BH84" s="118"/>
      <c r="BI84" s="118"/>
      <c r="BJ84" s="118"/>
      <c r="BK84" s="118"/>
      <c r="BL84" s="118"/>
      <c r="BM84" s="118"/>
      <c r="BN84" s="118"/>
      <c r="BO84" s="118"/>
      <c r="BP84" s="118"/>
      <c r="BQ84" s="118"/>
      <c r="BR84" s="118"/>
      <c r="BS84" s="118"/>
      <c r="BT84" s="118"/>
      <c r="BU84" s="118"/>
      <c r="BV84" s="118"/>
      <c r="BW84" s="118"/>
      <c r="BX84" s="118"/>
      <c r="BY84" s="118"/>
      <c r="BZ84" s="118"/>
      <c r="CA84" s="118"/>
      <c r="CB84" s="118"/>
      <c r="CC84" s="118"/>
      <c r="CD84" s="118"/>
      <c r="CE84" s="118"/>
      <c r="CF84" s="118"/>
      <c r="CG84" s="118"/>
      <c r="CH84" s="118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/>
      <c r="DL84"/>
      <c r="DM84"/>
      <c r="DN84"/>
      <c r="DO84"/>
      <c r="DP84"/>
    </row>
    <row r="85" spans="2:120" s="109" customFormat="1" ht="14.25">
      <c r="B85" s="301"/>
      <c r="C85" s="301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  <c r="BD85" s="118"/>
      <c r="BE85" s="118"/>
      <c r="BF85" s="118"/>
      <c r="BG85" s="118"/>
      <c r="BH85" s="118"/>
      <c r="BI85" s="118"/>
      <c r="BJ85" s="118"/>
      <c r="BK85" s="118"/>
      <c r="BL85" s="118"/>
      <c r="BM85" s="118"/>
      <c r="BN85" s="118"/>
      <c r="BO85" s="118"/>
      <c r="BP85" s="118"/>
      <c r="BQ85" s="118"/>
      <c r="BR85" s="118"/>
      <c r="BS85" s="118"/>
      <c r="BT85" s="118"/>
      <c r="BU85" s="118"/>
      <c r="BV85" s="118"/>
      <c r="BW85" s="118"/>
      <c r="BX85" s="118"/>
      <c r="BY85" s="118"/>
      <c r="BZ85" s="118"/>
      <c r="CA85" s="118"/>
      <c r="CB85" s="118"/>
      <c r="CC85" s="118"/>
      <c r="CD85" s="118"/>
      <c r="CE85" s="118"/>
      <c r="CF85" s="118"/>
      <c r="CG85" s="118"/>
      <c r="CH85" s="118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/>
      <c r="DL85"/>
      <c r="DM85"/>
      <c r="DN85"/>
      <c r="DO85"/>
      <c r="DP85"/>
    </row>
    <row r="86" spans="2:120" s="109" customFormat="1" ht="14.25">
      <c r="B86" s="301"/>
      <c r="C86" s="301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  <c r="BD86" s="118"/>
      <c r="BE86" s="118"/>
      <c r="BF86" s="118"/>
      <c r="BG86" s="118"/>
      <c r="BH86" s="118"/>
      <c r="BI86" s="118"/>
      <c r="BJ86" s="118"/>
      <c r="BK86" s="118"/>
      <c r="BL86" s="118"/>
      <c r="BM86" s="118"/>
      <c r="BN86" s="118"/>
      <c r="BO86" s="118"/>
      <c r="BP86" s="118"/>
      <c r="BQ86" s="118"/>
      <c r="BR86" s="118"/>
      <c r="BS86" s="118"/>
      <c r="BT86" s="118"/>
      <c r="BU86" s="118"/>
      <c r="BV86" s="118"/>
      <c r="BW86" s="118"/>
      <c r="BX86" s="118"/>
      <c r="BY86" s="118"/>
      <c r="BZ86" s="118"/>
      <c r="CA86" s="118"/>
      <c r="CB86" s="118"/>
      <c r="CC86" s="118"/>
      <c r="CD86" s="118"/>
      <c r="CE86" s="118"/>
      <c r="CF86" s="118"/>
      <c r="CG86" s="118"/>
      <c r="CH86" s="118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/>
      <c r="DL86"/>
      <c r="DM86"/>
      <c r="DN86"/>
      <c r="DO86"/>
      <c r="DP86"/>
    </row>
    <row r="87" spans="2:120" s="109" customFormat="1" ht="14.25">
      <c r="B87" s="301"/>
      <c r="C87" s="301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  <c r="AZ87" s="118"/>
      <c r="BA87" s="118"/>
      <c r="BB87" s="118"/>
      <c r="BC87" s="118"/>
      <c r="BD87" s="118"/>
      <c r="BE87" s="118"/>
      <c r="BF87" s="118"/>
      <c r="BG87" s="118"/>
      <c r="BH87" s="118"/>
      <c r="BI87" s="118"/>
      <c r="BJ87" s="118"/>
      <c r="BK87" s="118"/>
      <c r="BL87" s="118"/>
      <c r="BM87" s="118"/>
      <c r="BN87" s="118"/>
      <c r="BO87" s="118"/>
      <c r="BP87" s="118"/>
      <c r="BQ87" s="118"/>
      <c r="BR87" s="118"/>
      <c r="BS87" s="118"/>
      <c r="BT87" s="118"/>
      <c r="BU87" s="118"/>
      <c r="BV87" s="118"/>
      <c r="BW87" s="118"/>
      <c r="BX87" s="118"/>
      <c r="BY87" s="118"/>
      <c r="BZ87" s="118"/>
      <c r="CA87" s="118"/>
      <c r="CB87" s="118"/>
      <c r="CC87" s="118"/>
      <c r="CD87" s="118"/>
      <c r="CE87" s="118"/>
      <c r="CF87" s="118"/>
      <c r="CG87" s="118"/>
      <c r="CH87" s="118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/>
      <c r="DL87"/>
      <c r="DM87"/>
      <c r="DN87"/>
      <c r="DO87"/>
      <c r="DP87"/>
    </row>
    <row r="88" spans="2:120" s="109" customFormat="1" ht="14.25">
      <c r="B88" s="301"/>
      <c r="C88" s="301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  <c r="AZ88" s="118"/>
      <c r="BA88" s="118"/>
      <c r="BB88" s="118"/>
      <c r="BC88" s="118"/>
      <c r="BD88" s="118"/>
      <c r="BE88" s="118"/>
      <c r="BF88" s="118"/>
      <c r="BG88" s="118"/>
      <c r="BH88" s="118"/>
      <c r="BI88" s="118"/>
      <c r="BJ88" s="118"/>
      <c r="BK88" s="118"/>
      <c r="BL88" s="118"/>
      <c r="BM88" s="118"/>
      <c r="BN88" s="118"/>
      <c r="BO88" s="118"/>
      <c r="BP88" s="118"/>
      <c r="BQ88" s="118"/>
      <c r="BR88" s="118"/>
      <c r="BS88" s="118"/>
      <c r="BT88" s="118"/>
      <c r="BU88" s="118"/>
      <c r="BV88" s="118"/>
      <c r="BW88" s="118"/>
      <c r="BX88" s="118"/>
      <c r="BY88" s="118"/>
      <c r="BZ88" s="118"/>
      <c r="CA88" s="118"/>
      <c r="CB88" s="118"/>
      <c r="CC88" s="118"/>
      <c r="CD88" s="118"/>
      <c r="CE88" s="118"/>
      <c r="CF88" s="118"/>
      <c r="CG88" s="118"/>
      <c r="CH88" s="118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/>
      <c r="DL88"/>
      <c r="DM88"/>
      <c r="DN88"/>
      <c r="DO88"/>
      <c r="DP88"/>
    </row>
    <row r="89" spans="2:120" s="109" customFormat="1" ht="14.25">
      <c r="B89" s="301"/>
      <c r="C89" s="301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  <c r="AZ89" s="118"/>
      <c r="BA89" s="118"/>
      <c r="BB89" s="118"/>
      <c r="BC89" s="118"/>
      <c r="BD89" s="118"/>
      <c r="BE89" s="118"/>
      <c r="BF89" s="118"/>
      <c r="BG89" s="118"/>
      <c r="BH89" s="118"/>
      <c r="BI89" s="118"/>
      <c r="BJ89" s="118"/>
      <c r="BK89" s="118"/>
      <c r="BL89" s="118"/>
      <c r="BM89" s="118"/>
      <c r="BN89" s="118"/>
      <c r="BO89" s="118"/>
      <c r="BP89" s="118"/>
      <c r="BQ89" s="118"/>
      <c r="BR89" s="118"/>
      <c r="BS89" s="118"/>
      <c r="BT89" s="118"/>
      <c r="BU89" s="118"/>
      <c r="BV89" s="118"/>
      <c r="BW89" s="118"/>
      <c r="BX89" s="118"/>
      <c r="BY89" s="118"/>
      <c r="BZ89" s="118"/>
      <c r="CA89" s="118"/>
      <c r="CB89" s="118"/>
      <c r="CC89" s="118"/>
      <c r="CD89" s="118"/>
      <c r="CE89" s="118"/>
      <c r="CF89" s="118"/>
      <c r="CG89" s="118"/>
      <c r="CH89" s="118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/>
      <c r="DL89"/>
      <c r="DM89"/>
      <c r="DN89"/>
      <c r="DO89"/>
      <c r="DP89"/>
    </row>
    <row r="90" spans="2:120" s="109" customFormat="1" ht="14.25">
      <c r="B90" s="301"/>
      <c r="C90" s="301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  <c r="BC90" s="118"/>
      <c r="BD90" s="118"/>
      <c r="BE90" s="118"/>
      <c r="BF90" s="118"/>
      <c r="BG90" s="118"/>
      <c r="BH90" s="118"/>
      <c r="BI90" s="118"/>
      <c r="BJ90" s="118"/>
      <c r="BK90" s="118"/>
      <c r="BL90" s="118"/>
      <c r="BM90" s="118"/>
      <c r="BN90" s="118"/>
      <c r="BO90" s="118"/>
      <c r="BP90" s="118"/>
      <c r="BQ90" s="118"/>
      <c r="BR90" s="118"/>
      <c r="BS90" s="118"/>
      <c r="BT90" s="118"/>
      <c r="BU90" s="118"/>
      <c r="BV90" s="118"/>
      <c r="BW90" s="118"/>
      <c r="BX90" s="118"/>
      <c r="BY90" s="118"/>
      <c r="BZ90" s="118"/>
      <c r="CA90" s="118"/>
      <c r="CB90" s="118"/>
      <c r="CC90" s="118"/>
      <c r="CD90" s="118"/>
      <c r="CE90" s="118"/>
      <c r="CF90" s="118"/>
      <c r="CG90" s="118"/>
      <c r="CH90" s="118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/>
      <c r="DL90"/>
      <c r="DM90"/>
      <c r="DN90"/>
      <c r="DO90"/>
      <c r="DP90"/>
    </row>
    <row r="91" spans="2:120" s="109" customFormat="1" ht="14.25">
      <c r="B91" s="301"/>
      <c r="C91" s="301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  <c r="AZ91" s="118"/>
      <c r="BA91" s="118"/>
      <c r="BB91" s="118"/>
      <c r="BC91" s="118"/>
      <c r="BD91" s="118"/>
      <c r="BE91" s="118"/>
      <c r="BF91" s="118"/>
      <c r="BG91" s="118"/>
      <c r="BH91" s="118"/>
      <c r="BI91" s="118"/>
      <c r="BJ91" s="118"/>
      <c r="BK91" s="118"/>
      <c r="BL91" s="118"/>
      <c r="BM91" s="118"/>
      <c r="BN91" s="118"/>
      <c r="BO91" s="118"/>
      <c r="BP91" s="118"/>
      <c r="BQ91" s="118"/>
      <c r="BR91" s="118"/>
      <c r="BS91" s="118"/>
      <c r="BT91" s="118"/>
      <c r="BU91" s="118"/>
      <c r="BV91" s="118"/>
      <c r="BW91" s="118"/>
      <c r="BX91" s="118"/>
      <c r="BY91" s="118"/>
      <c r="BZ91" s="118"/>
      <c r="CA91" s="118"/>
      <c r="CB91" s="118"/>
      <c r="CC91" s="118"/>
      <c r="CD91" s="118"/>
      <c r="CE91" s="118"/>
      <c r="CF91" s="118"/>
      <c r="CG91" s="118"/>
      <c r="CH91" s="118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/>
      <c r="DL91"/>
      <c r="DM91"/>
      <c r="DN91"/>
      <c r="DO91"/>
      <c r="DP91"/>
    </row>
    <row r="92" spans="2:120" s="109" customFormat="1" ht="14.25">
      <c r="B92" s="301"/>
      <c r="C92" s="301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118"/>
      <c r="BC92" s="118"/>
      <c r="BD92" s="118"/>
      <c r="BE92" s="118"/>
      <c r="BF92" s="118"/>
      <c r="BG92" s="118"/>
      <c r="BH92" s="118"/>
      <c r="BI92" s="118"/>
      <c r="BJ92" s="118"/>
      <c r="BK92" s="118"/>
      <c r="BL92" s="118"/>
      <c r="BM92" s="118"/>
      <c r="BN92" s="118"/>
      <c r="BO92" s="118"/>
      <c r="BP92" s="118"/>
      <c r="BQ92" s="118"/>
      <c r="BR92" s="118"/>
      <c r="BS92" s="118"/>
      <c r="BT92" s="118"/>
      <c r="BU92" s="118"/>
      <c r="BV92" s="118"/>
      <c r="BW92" s="118"/>
      <c r="BX92" s="118"/>
      <c r="BY92" s="118"/>
      <c r="BZ92" s="118"/>
      <c r="CA92" s="118"/>
      <c r="CB92" s="118"/>
      <c r="CC92" s="118"/>
      <c r="CD92" s="118"/>
      <c r="CE92" s="118"/>
      <c r="CF92" s="118"/>
      <c r="CG92" s="118"/>
      <c r="CH92" s="118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/>
      <c r="DL92"/>
      <c r="DM92"/>
      <c r="DN92"/>
      <c r="DO92"/>
      <c r="DP92"/>
    </row>
    <row r="93" spans="2:120" s="109" customFormat="1" ht="14.25">
      <c r="B93" s="301"/>
      <c r="C93" s="301"/>
      <c r="D93" s="118"/>
      <c r="E93" s="118"/>
      <c r="F93" s="118"/>
      <c r="G93" s="118"/>
      <c r="H93" s="118"/>
      <c r="I93" s="118"/>
      <c r="J93" s="118"/>
      <c r="K93" s="118"/>
      <c r="L93" s="118"/>
      <c r="M93" s="118"/>
      <c r="N93" s="118"/>
      <c r="O93" s="118"/>
      <c r="P93" s="118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118"/>
      <c r="BC93" s="118"/>
      <c r="BD93" s="118"/>
      <c r="BE93" s="118"/>
      <c r="BF93" s="118"/>
      <c r="BG93" s="118"/>
      <c r="BH93" s="118"/>
      <c r="BI93" s="118"/>
      <c r="BJ93" s="118"/>
      <c r="BK93" s="118"/>
      <c r="BL93" s="118"/>
      <c r="BM93" s="118"/>
      <c r="BN93" s="118"/>
      <c r="BO93" s="118"/>
      <c r="BP93" s="118"/>
      <c r="BQ93" s="118"/>
      <c r="BR93" s="118"/>
      <c r="BS93" s="118"/>
      <c r="BT93" s="118"/>
      <c r="BU93" s="118"/>
      <c r="BV93" s="118"/>
      <c r="BW93" s="118"/>
      <c r="BX93" s="118"/>
      <c r="BY93" s="118"/>
      <c r="BZ93" s="118"/>
      <c r="CA93" s="118"/>
      <c r="CB93" s="118"/>
      <c r="CC93" s="118"/>
      <c r="CD93" s="118"/>
      <c r="CE93" s="118"/>
      <c r="CF93" s="118"/>
      <c r="CG93" s="118"/>
      <c r="CH93" s="118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/>
      <c r="DL93"/>
      <c r="DM93"/>
      <c r="DN93"/>
      <c r="DO93"/>
      <c r="DP93"/>
    </row>
    <row r="94" spans="2:120" s="109" customFormat="1" ht="14.25">
      <c r="B94" s="301"/>
      <c r="C94" s="301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118"/>
      <c r="BC94" s="118"/>
      <c r="BD94" s="118"/>
      <c r="BE94" s="118"/>
      <c r="BF94" s="118"/>
      <c r="BG94" s="118"/>
      <c r="BH94" s="118"/>
      <c r="BI94" s="118"/>
      <c r="BJ94" s="118"/>
      <c r="BK94" s="118"/>
      <c r="BL94" s="118"/>
      <c r="BM94" s="118"/>
      <c r="BN94" s="118"/>
      <c r="BO94" s="118"/>
      <c r="BP94" s="118"/>
      <c r="BQ94" s="118"/>
      <c r="BR94" s="118"/>
      <c r="BS94" s="118"/>
      <c r="BT94" s="118"/>
      <c r="BU94" s="118"/>
      <c r="BV94" s="118"/>
      <c r="BW94" s="118"/>
      <c r="BX94" s="118"/>
      <c r="BY94" s="118"/>
      <c r="BZ94" s="118"/>
      <c r="CA94" s="118"/>
      <c r="CB94" s="118"/>
      <c r="CC94" s="118"/>
      <c r="CD94" s="118"/>
      <c r="CE94" s="118"/>
      <c r="CF94" s="118"/>
      <c r="CG94" s="118"/>
      <c r="CH94" s="118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/>
      <c r="DL94"/>
      <c r="DM94"/>
      <c r="DN94"/>
      <c r="DO94"/>
      <c r="DP94"/>
    </row>
    <row r="95" spans="2:120" s="109" customFormat="1" ht="14.25">
      <c r="B95" s="301"/>
      <c r="C95" s="301"/>
      <c r="D95" s="118"/>
      <c r="E95" s="118"/>
      <c r="F95" s="118"/>
      <c r="G95" s="118"/>
      <c r="H95" s="118"/>
      <c r="I95" s="118"/>
      <c r="J95" s="118"/>
      <c r="K95" s="118"/>
      <c r="L95" s="118"/>
      <c r="M95" s="118"/>
      <c r="N95" s="118"/>
      <c r="O95" s="118"/>
      <c r="P95" s="118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  <c r="AV95" s="118"/>
      <c r="AW95" s="118"/>
      <c r="AX95" s="118"/>
      <c r="AY95" s="118"/>
      <c r="AZ95" s="118"/>
      <c r="BA95" s="118"/>
      <c r="BB95" s="118"/>
      <c r="BC95" s="118"/>
      <c r="BD95" s="118"/>
      <c r="BE95" s="118"/>
      <c r="BF95" s="118"/>
      <c r="BG95" s="118"/>
      <c r="BH95" s="118"/>
      <c r="BI95" s="118"/>
      <c r="BJ95" s="118"/>
      <c r="BK95" s="118"/>
      <c r="BL95" s="118"/>
      <c r="BM95" s="118"/>
      <c r="BN95" s="118"/>
      <c r="BO95" s="118"/>
      <c r="BP95" s="118"/>
      <c r="BQ95" s="118"/>
      <c r="BR95" s="118"/>
      <c r="BS95" s="118"/>
      <c r="BT95" s="118"/>
      <c r="BU95" s="118"/>
      <c r="BV95" s="118"/>
      <c r="BW95" s="118"/>
      <c r="BX95" s="118"/>
      <c r="BY95" s="118"/>
      <c r="BZ95" s="118"/>
      <c r="CA95" s="118"/>
      <c r="CB95" s="118"/>
      <c r="CC95" s="118"/>
      <c r="CD95" s="118"/>
      <c r="CE95" s="118"/>
      <c r="CF95" s="118"/>
      <c r="CG95" s="118"/>
      <c r="CH95" s="118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/>
      <c r="DL95"/>
      <c r="DM95"/>
      <c r="DN95"/>
      <c r="DO95"/>
      <c r="DP95"/>
    </row>
    <row r="96" spans="2:120" s="109" customFormat="1" ht="14.25">
      <c r="B96" s="301"/>
      <c r="C96" s="301"/>
      <c r="D96" s="118"/>
      <c r="E96" s="118"/>
      <c r="F96" s="118"/>
      <c r="G96" s="118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  <c r="AV96" s="118"/>
      <c r="AW96" s="118"/>
      <c r="AX96" s="118"/>
      <c r="AY96" s="118"/>
      <c r="AZ96" s="118"/>
      <c r="BA96" s="118"/>
      <c r="BB96" s="118"/>
      <c r="BC96" s="118"/>
      <c r="BD96" s="118"/>
      <c r="BE96" s="118"/>
      <c r="BF96" s="118"/>
      <c r="BG96" s="118"/>
      <c r="BH96" s="118"/>
      <c r="BI96" s="118"/>
      <c r="BJ96" s="118"/>
      <c r="BK96" s="118"/>
      <c r="BL96" s="118"/>
      <c r="BM96" s="118"/>
      <c r="BN96" s="118"/>
      <c r="BO96" s="118"/>
      <c r="BP96" s="118"/>
      <c r="BQ96" s="118"/>
      <c r="BR96" s="118"/>
      <c r="BS96" s="118"/>
      <c r="BT96" s="118"/>
      <c r="BU96" s="118"/>
      <c r="BV96" s="118"/>
      <c r="BW96" s="118"/>
      <c r="BX96" s="118"/>
      <c r="BY96" s="118"/>
      <c r="BZ96" s="118"/>
      <c r="CA96" s="118"/>
      <c r="CB96" s="118"/>
      <c r="CC96" s="118"/>
      <c r="CD96" s="118"/>
      <c r="CE96" s="118"/>
      <c r="CF96" s="118"/>
      <c r="CG96" s="118"/>
      <c r="CH96" s="118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/>
      <c r="DL96"/>
      <c r="DM96"/>
      <c r="DN96"/>
      <c r="DO96"/>
      <c r="DP96"/>
    </row>
    <row r="97" spans="2:120" s="109" customFormat="1" ht="14.25">
      <c r="B97" s="301"/>
      <c r="C97" s="301"/>
      <c r="D97" s="118"/>
      <c r="E97" s="118"/>
      <c r="F97" s="118"/>
      <c r="G97" s="118"/>
      <c r="H97" s="118"/>
      <c r="I97" s="118"/>
      <c r="J97" s="118"/>
      <c r="K97" s="118"/>
      <c r="L97" s="118"/>
      <c r="M97" s="118"/>
      <c r="N97" s="118"/>
      <c r="O97" s="118"/>
      <c r="P97" s="118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  <c r="AV97" s="118"/>
      <c r="AW97" s="118"/>
      <c r="AX97" s="118"/>
      <c r="AY97" s="118"/>
      <c r="AZ97" s="118"/>
      <c r="BA97" s="118"/>
      <c r="BB97" s="118"/>
      <c r="BC97" s="118"/>
      <c r="BD97" s="118"/>
      <c r="BE97" s="118"/>
      <c r="BF97" s="118"/>
      <c r="BG97" s="118"/>
      <c r="BH97" s="118"/>
      <c r="BI97" s="118"/>
      <c r="BJ97" s="118"/>
      <c r="BK97" s="118"/>
      <c r="BL97" s="118"/>
      <c r="BM97" s="118"/>
      <c r="BN97" s="118"/>
      <c r="BO97" s="118"/>
      <c r="BP97" s="118"/>
      <c r="BQ97" s="118"/>
      <c r="BR97" s="118"/>
      <c r="BS97" s="118"/>
      <c r="BT97" s="118"/>
      <c r="BU97" s="118"/>
      <c r="BV97" s="118"/>
      <c r="BW97" s="118"/>
      <c r="BX97" s="118"/>
      <c r="BY97" s="118"/>
      <c r="BZ97" s="118"/>
      <c r="CA97" s="118"/>
      <c r="CB97" s="118"/>
      <c r="CC97" s="118"/>
      <c r="CD97" s="118"/>
      <c r="CE97" s="118"/>
      <c r="CF97" s="118"/>
      <c r="CG97" s="118"/>
      <c r="CH97" s="118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/>
      <c r="DL97"/>
      <c r="DM97"/>
      <c r="DN97"/>
      <c r="DO97"/>
      <c r="DP97"/>
    </row>
    <row r="98" spans="2:120" s="109" customFormat="1" ht="14.25">
      <c r="B98" s="301"/>
      <c r="C98" s="301"/>
      <c r="D98" s="118"/>
      <c r="E98" s="118"/>
      <c r="F98" s="118"/>
      <c r="G98" s="118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  <c r="AV98" s="118"/>
      <c r="AW98" s="118"/>
      <c r="AX98" s="118"/>
      <c r="AY98" s="118"/>
      <c r="AZ98" s="118"/>
      <c r="BA98" s="118"/>
      <c r="BB98" s="118"/>
      <c r="BC98" s="118"/>
      <c r="BD98" s="118"/>
      <c r="BE98" s="118"/>
      <c r="BF98" s="118"/>
      <c r="BG98" s="118"/>
      <c r="BH98" s="118"/>
      <c r="BI98" s="118"/>
      <c r="BJ98" s="118"/>
      <c r="BK98" s="118"/>
      <c r="BL98" s="118"/>
      <c r="BM98" s="118"/>
      <c r="BN98" s="118"/>
      <c r="BO98" s="118"/>
      <c r="BP98" s="118"/>
      <c r="BQ98" s="118"/>
      <c r="BR98" s="118"/>
      <c r="BS98" s="118"/>
      <c r="BT98" s="118"/>
      <c r="BU98" s="118"/>
      <c r="BV98" s="118"/>
      <c r="BW98" s="118"/>
      <c r="BX98" s="118"/>
      <c r="BY98" s="118"/>
      <c r="BZ98" s="118"/>
      <c r="CA98" s="118"/>
      <c r="CB98" s="118"/>
      <c r="CC98" s="118"/>
      <c r="CD98" s="118"/>
      <c r="CE98" s="118"/>
      <c r="CF98" s="118"/>
      <c r="CG98" s="118"/>
      <c r="CH98" s="118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/>
      <c r="DL98"/>
      <c r="DM98"/>
      <c r="DN98"/>
      <c r="DO98"/>
      <c r="DP98"/>
    </row>
    <row r="99" spans="2:120" s="109" customFormat="1" ht="14.25">
      <c r="B99" s="301"/>
      <c r="C99" s="301"/>
      <c r="D99" s="118"/>
      <c r="E99" s="118"/>
      <c r="F99" s="118"/>
      <c r="G99" s="118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  <c r="AV99" s="118"/>
      <c r="AW99" s="118"/>
      <c r="AX99" s="118"/>
      <c r="AY99" s="118"/>
      <c r="AZ99" s="118"/>
      <c r="BA99" s="118"/>
      <c r="BB99" s="118"/>
      <c r="BC99" s="118"/>
      <c r="BD99" s="118"/>
      <c r="BE99" s="118"/>
      <c r="BF99" s="118"/>
      <c r="BG99" s="118"/>
      <c r="BH99" s="118"/>
      <c r="BI99" s="118"/>
      <c r="BJ99" s="118"/>
      <c r="BK99" s="118"/>
      <c r="BL99" s="118"/>
      <c r="BM99" s="118"/>
      <c r="BN99" s="118"/>
      <c r="BO99" s="118"/>
      <c r="BP99" s="118"/>
      <c r="BQ99" s="118"/>
      <c r="BR99" s="118"/>
      <c r="BS99" s="118"/>
      <c r="BT99" s="118"/>
      <c r="BU99" s="118"/>
      <c r="BV99" s="118"/>
      <c r="BW99" s="118"/>
      <c r="BX99" s="118"/>
      <c r="BY99" s="118"/>
      <c r="BZ99" s="118"/>
      <c r="CA99" s="118"/>
      <c r="CB99" s="118"/>
      <c r="CC99" s="118"/>
      <c r="CD99" s="118"/>
      <c r="CE99" s="118"/>
      <c r="CF99" s="118"/>
      <c r="CG99" s="118"/>
      <c r="CH99" s="118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/>
      <c r="DL99"/>
      <c r="DM99"/>
      <c r="DN99"/>
      <c r="DO99"/>
      <c r="DP99"/>
    </row>
    <row r="100" spans="2:120" s="109" customFormat="1" ht="14.25">
      <c r="B100" s="301"/>
      <c r="C100" s="301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  <c r="AV100" s="118"/>
      <c r="AW100" s="118"/>
      <c r="AX100" s="118"/>
      <c r="AY100" s="118"/>
      <c r="AZ100" s="118"/>
      <c r="BA100" s="118"/>
      <c r="BB100" s="118"/>
      <c r="BC100" s="118"/>
      <c r="BD100" s="118"/>
      <c r="BE100" s="118"/>
      <c r="BF100" s="118"/>
      <c r="BG100" s="118"/>
      <c r="BH100" s="118"/>
      <c r="BI100" s="118"/>
      <c r="BJ100" s="118"/>
      <c r="BK100" s="118"/>
      <c r="BL100" s="118"/>
      <c r="BM100" s="118"/>
      <c r="BN100" s="118"/>
      <c r="BO100" s="118"/>
      <c r="BP100" s="118"/>
      <c r="BQ100" s="118"/>
      <c r="BR100" s="118"/>
      <c r="BS100" s="118"/>
      <c r="BT100" s="118"/>
      <c r="BU100" s="118"/>
      <c r="BV100" s="118"/>
      <c r="BW100" s="118"/>
      <c r="BX100" s="118"/>
      <c r="BY100" s="118"/>
      <c r="BZ100" s="118"/>
      <c r="CA100" s="118"/>
      <c r="CB100" s="118"/>
      <c r="CC100" s="118"/>
      <c r="CD100" s="118"/>
      <c r="CE100" s="118"/>
      <c r="CF100" s="118"/>
      <c r="CG100" s="118"/>
      <c r="CH100" s="118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/>
      <c r="DL100"/>
      <c r="DM100"/>
      <c r="DN100"/>
      <c r="DO100"/>
      <c r="DP100"/>
    </row>
    <row r="101" spans="2:120" s="109" customFormat="1" ht="14.25">
      <c r="B101" s="301"/>
      <c r="C101" s="301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  <c r="AV101" s="118"/>
      <c r="AW101" s="118"/>
      <c r="AX101" s="118"/>
      <c r="AY101" s="118"/>
      <c r="AZ101" s="118"/>
      <c r="BA101" s="118"/>
      <c r="BB101" s="118"/>
      <c r="BC101" s="118"/>
      <c r="BD101" s="118"/>
      <c r="BE101" s="118"/>
      <c r="BF101" s="118"/>
      <c r="BG101" s="118"/>
      <c r="BH101" s="118"/>
      <c r="BI101" s="118"/>
      <c r="BJ101" s="118"/>
      <c r="BK101" s="118"/>
      <c r="BL101" s="118"/>
      <c r="BM101" s="118"/>
      <c r="BN101" s="118"/>
      <c r="BO101" s="118"/>
      <c r="BP101" s="118"/>
      <c r="BQ101" s="118"/>
      <c r="BR101" s="118"/>
      <c r="BS101" s="118"/>
      <c r="BT101" s="118"/>
      <c r="BU101" s="118"/>
      <c r="BV101" s="118"/>
      <c r="BW101" s="118"/>
      <c r="BX101" s="118"/>
      <c r="BY101" s="118"/>
      <c r="BZ101" s="118"/>
      <c r="CA101" s="118"/>
      <c r="CB101" s="118"/>
      <c r="CC101" s="118"/>
      <c r="CD101" s="118"/>
      <c r="CE101" s="118"/>
      <c r="CF101" s="118"/>
      <c r="CG101" s="118"/>
      <c r="CH101" s="118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/>
      <c r="DL101"/>
      <c r="DM101"/>
      <c r="DN101"/>
      <c r="DO101"/>
      <c r="DP101"/>
    </row>
    <row r="102" spans="2:120" s="109" customFormat="1" ht="14.25">
      <c r="B102" s="301"/>
      <c r="C102" s="301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  <c r="AV102" s="118"/>
      <c r="AW102" s="118"/>
      <c r="AX102" s="118"/>
      <c r="AY102" s="118"/>
      <c r="AZ102" s="118"/>
      <c r="BA102" s="118"/>
      <c r="BB102" s="118"/>
      <c r="BC102" s="118"/>
      <c r="BD102" s="118"/>
      <c r="BE102" s="118"/>
      <c r="BF102" s="118"/>
      <c r="BG102" s="118"/>
      <c r="BH102" s="118"/>
      <c r="BI102" s="118"/>
      <c r="BJ102" s="118"/>
      <c r="BK102" s="118"/>
      <c r="BL102" s="118"/>
      <c r="BM102" s="118"/>
      <c r="BN102" s="118"/>
      <c r="BO102" s="118"/>
      <c r="BP102" s="118"/>
      <c r="BQ102" s="118"/>
      <c r="BR102" s="118"/>
      <c r="BS102" s="118"/>
      <c r="BT102" s="118"/>
      <c r="BU102" s="118"/>
      <c r="BV102" s="118"/>
      <c r="BW102" s="118"/>
      <c r="BX102" s="118"/>
      <c r="BY102" s="118"/>
      <c r="BZ102" s="118"/>
      <c r="CA102" s="118"/>
      <c r="CB102" s="118"/>
      <c r="CC102" s="118"/>
      <c r="CD102" s="118"/>
      <c r="CE102" s="118"/>
      <c r="CF102" s="118"/>
      <c r="CG102" s="118"/>
      <c r="CH102" s="118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/>
      <c r="DL102"/>
      <c r="DM102"/>
      <c r="DN102"/>
      <c r="DO102"/>
      <c r="DP102"/>
    </row>
    <row r="103" spans="2:120" s="109" customFormat="1" ht="14.25">
      <c r="B103" s="301"/>
      <c r="C103" s="301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  <c r="N103" s="118"/>
      <c r="O103" s="118"/>
      <c r="P103" s="118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  <c r="AV103" s="118"/>
      <c r="AW103" s="118"/>
      <c r="AX103" s="118"/>
      <c r="AY103" s="118"/>
      <c r="AZ103" s="118"/>
      <c r="BA103" s="118"/>
      <c r="BB103" s="118"/>
      <c r="BC103" s="118"/>
      <c r="BD103" s="118"/>
      <c r="BE103" s="118"/>
      <c r="BF103" s="118"/>
      <c r="BG103" s="118"/>
      <c r="BH103" s="118"/>
      <c r="BI103" s="118"/>
      <c r="BJ103" s="118"/>
      <c r="BK103" s="118"/>
      <c r="BL103" s="118"/>
      <c r="BM103" s="118"/>
      <c r="BN103" s="118"/>
      <c r="BO103" s="118"/>
      <c r="BP103" s="118"/>
      <c r="BQ103" s="118"/>
      <c r="BR103" s="118"/>
      <c r="BS103" s="118"/>
      <c r="BT103" s="118"/>
      <c r="BU103" s="118"/>
      <c r="BV103" s="118"/>
      <c r="BW103" s="118"/>
      <c r="BX103" s="118"/>
      <c r="BY103" s="118"/>
      <c r="BZ103" s="118"/>
      <c r="CA103" s="118"/>
      <c r="CB103" s="118"/>
      <c r="CC103" s="118"/>
      <c r="CD103" s="118"/>
      <c r="CE103" s="118"/>
      <c r="CF103" s="118"/>
      <c r="CG103" s="118"/>
      <c r="CH103" s="118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/>
      <c r="DL103"/>
      <c r="DM103"/>
      <c r="DN103"/>
      <c r="DO103"/>
      <c r="DP103"/>
    </row>
    <row r="104" spans="2:120" s="109" customFormat="1" ht="14.25">
      <c r="B104" s="301"/>
      <c r="C104" s="301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  <c r="AV104" s="118"/>
      <c r="AW104" s="118"/>
      <c r="AX104" s="118"/>
      <c r="AY104" s="118"/>
      <c r="AZ104" s="118"/>
      <c r="BA104" s="118"/>
      <c r="BB104" s="118"/>
      <c r="BC104" s="118"/>
      <c r="BD104" s="118"/>
      <c r="BE104" s="118"/>
      <c r="BF104" s="118"/>
      <c r="BG104" s="118"/>
      <c r="BH104" s="118"/>
      <c r="BI104" s="118"/>
      <c r="BJ104" s="118"/>
      <c r="BK104" s="118"/>
      <c r="BL104" s="118"/>
      <c r="BM104" s="118"/>
      <c r="BN104" s="118"/>
      <c r="BO104" s="118"/>
      <c r="BP104" s="118"/>
      <c r="BQ104" s="118"/>
      <c r="BR104" s="118"/>
      <c r="BS104" s="118"/>
      <c r="BT104" s="118"/>
      <c r="BU104" s="118"/>
      <c r="BV104" s="118"/>
      <c r="BW104" s="118"/>
      <c r="BX104" s="118"/>
      <c r="BY104" s="118"/>
      <c r="BZ104" s="118"/>
      <c r="CA104" s="118"/>
      <c r="CB104" s="118"/>
      <c r="CC104" s="118"/>
      <c r="CD104" s="118"/>
      <c r="CE104" s="118"/>
      <c r="CF104" s="118"/>
      <c r="CG104" s="118"/>
      <c r="CH104" s="118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/>
      <c r="DL104"/>
      <c r="DM104"/>
      <c r="DN104"/>
      <c r="DO104"/>
      <c r="DP104"/>
    </row>
    <row r="105" spans="2:120" s="109" customFormat="1" ht="14.25">
      <c r="B105" s="301"/>
      <c r="C105" s="301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  <c r="AV105" s="118"/>
      <c r="AW105" s="118"/>
      <c r="AX105" s="118"/>
      <c r="AY105" s="118"/>
      <c r="AZ105" s="118"/>
      <c r="BA105" s="118"/>
      <c r="BB105" s="118"/>
      <c r="BC105" s="118"/>
      <c r="BD105" s="118"/>
      <c r="BE105" s="118"/>
      <c r="BF105" s="118"/>
      <c r="BG105" s="118"/>
      <c r="BH105" s="118"/>
      <c r="BI105" s="118"/>
      <c r="BJ105" s="118"/>
      <c r="BK105" s="118"/>
      <c r="BL105" s="118"/>
      <c r="BM105" s="118"/>
      <c r="BN105" s="118"/>
      <c r="BO105" s="118"/>
      <c r="BP105" s="118"/>
      <c r="BQ105" s="118"/>
      <c r="BR105" s="118"/>
      <c r="BS105" s="118"/>
      <c r="BT105" s="118"/>
      <c r="BU105" s="118"/>
      <c r="BV105" s="118"/>
      <c r="BW105" s="118"/>
      <c r="BX105" s="118"/>
      <c r="BY105" s="118"/>
      <c r="BZ105" s="118"/>
      <c r="CA105" s="118"/>
      <c r="CB105" s="118"/>
      <c r="CC105" s="118"/>
      <c r="CD105" s="118"/>
      <c r="CE105" s="118"/>
      <c r="CF105" s="118"/>
      <c r="CG105" s="118"/>
      <c r="CH105" s="118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/>
      <c r="DL105"/>
      <c r="DM105"/>
      <c r="DN105"/>
      <c r="DO105"/>
      <c r="DP105"/>
    </row>
    <row r="106" spans="2:120" s="109" customFormat="1" ht="14.25">
      <c r="B106" s="301"/>
      <c r="C106" s="301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  <c r="AV106" s="118"/>
      <c r="AW106" s="118"/>
      <c r="AX106" s="118"/>
      <c r="AY106" s="118"/>
      <c r="AZ106" s="118"/>
      <c r="BA106" s="118"/>
      <c r="BB106" s="118"/>
      <c r="BC106" s="118"/>
      <c r="BD106" s="118"/>
      <c r="BE106" s="118"/>
      <c r="BF106" s="118"/>
      <c r="BG106" s="118"/>
      <c r="BH106" s="118"/>
      <c r="BI106" s="118"/>
      <c r="BJ106" s="118"/>
      <c r="BK106" s="118"/>
      <c r="BL106" s="118"/>
      <c r="BM106" s="118"/>
      <c r="BN106" s="118"/>
      <c r="BO106" s="118"/>
      <c r="BP106" s="118"/>
      <c r="BQ106" s="118"/>
      <c r="BR106" s="118"/>
      <c r="BS106" s="118"/>
      <c r="BT106" s="118"/>
      <c r="BU106" s="118"/>
      <c r="BV106" s="118"/>
      <c r="BW106" s="118"/>
      <c r="BX106" s="118"/>
      <c r="BY106" s="118"/>
      <c r="BZ106" s="118"/>
      <c r="CA106" s="118"/>
      <c r="CB106" s="118"/>
      <c r="CC106" s="118"/>
      <c r="CD106" s="118"/>
      <c r="CE106" s="118"/>
      <c r="CF106" s="118"/>
      <c r="CG106" s="118"/>
      <c r="CH106" s="118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/>
      <c r="DL106"/>
      <c r="DM106"/>
      <c r="DN106"/>
      <c r="DO106"/>
      <c r="DP106"/>
    </row>
    <row r="107" spans="2:120" s="109" customFormat="1" ht="14.25">
      <c r="B107" s="301"/>
      <c r="C107" s="301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  <c r="AV107" s="118"/>
      <c r="AW107" s="118"/>
      <c r="AX107" s="118"/>
      <c r="AY107" s="118"/>
      <c r="AZ107" s="118"/>
      <c r="BA107" s="118"/>
      <c r="BB107" s="118"/>
      <c r="BC107" s="118"/>
      <c r="BD107" s="118"/>
      <c r="BE107" s="118"/>
      <c r="BF107" s="118"/>
      <c r="BG107" s="118"/>
      <c r="BH107" s="118"/>
      <c r="BI107" s="118"/>
      <c r="BJ107" s="118"/>
      <c r="BK107" s="118"/>
      <c r="BL107" s="118"/>
      <c r="BM107" s="118"/>
      <c r="BN107" s="118"/>
      <c r="BO107" s="118"/>
      <c r="BP107" s="118"/>
      <c r="BQ107" s="118"/>
      <c r="BR107" s="118"/>
      <c r="BS107" s="118"/>
      <c r="BT107" s="118"/>
      <c r="BU107" s="118"/>
      <c r="BV107" s="118"/>
      <c r="BW107" s="118"/>
      <c r="BX107" s="118"/>
      <c r="BY107" s="118"/>
      <c r="BZ107" s="118"/>
      <c r="CA107" s="118"/>
      <c r="CB107" s="118"/>
      <c r="CC107" s="118"/>
      <c r="CD107" s="118"/>
      <c r="CE107" s="118"/>
      <c r="CF107" s="118"/>
      <c r="CG107" s="118"/>
      <c r="CH107" s="118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/>
      <c r="DL107"/>
      <c r="DM107"/>
      <c r="DN107"/>
      <c r="DO107"/>
      <c r="DP107"/>
    </row>
    <row r="108" spans="2:120" s="109" customFormat="1" ht="14.25">
      <c r="B108" s="301"/>
      <c r="C108" s="301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  <c r="AV108" s="118"/>
      <c r="AW108" s="118"/>
      <c r="AX108" s="118"/>
      <c r="AY108" s="118"/>
      <c r="AZ108" s="118"/>
      <c r="BA108" s="118"/>
      <c r="BB108" s="118"/>
      <c r="BC108" s="118"/>
      <c r="BD108" s="118"/>
      <c r="BE108" s="118"/>
      <c r="BF108" s="118"/>
      <c r="BG108" s="118"/>
      <c r="BH108" s="118"/>
      <c r="BI108" s="118"/>
      <c r="BJ108" s="118"/>
      <c r="BK108" s="118"/>
      <c r="BL108" s="118"/>
      <c r="BM108" s="118"/>
      <c r="BN108" s="118"/>
      <c r="BO108" s="118"/>
      <c r="BP108" s="118"/>
      <c r="BQ108" s="118"/>
      <c r="BR108" s="118"/>
      <c r="BS108" s="118"/>
      <c r="BT108" s="118"/>
      <c r="BU108" s="118"/>
      <c r="BV108" s="118"/>
      <c r="BW108" s="118"/>
      <c r="BX108" s="118"/>
      <c r="BY108" s="118"/>
      <c r="BZ108" s="118"/>
      <c r="CA108" s="118"/>
      <c r="CB108" s="118"/>
      <c r="CC108" s="118"/>
      <c r="CD108" s="118"/>
      <c r="CE108" s="118"/>
      <c r="CF108" s="118"/>
      <c r="CG108" s="118"/>
      <c r="CH108" s="118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/>
      <c r="DL108"/>
      <c r="DM108"/>
      <c r="DN108"/>
      <c r="DO108"/>
      <c r="DP108"/>
    </row>
    <row r="109" spans="2:120" s="109" customFormat="1" ht="14.25">
      <c r="B109" s="301"/>
      <c r="C109" s="301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  <c r="AV109" s="118"/>
      <c r="AW109" s="118"/>
      <c r="AX109" s="118"/>
      <c r="AY109" s="118"/>
      <c r="AZ109" s="118"/>
      <c r="BA109" s="118"/>
      <c r="BB109" s="118"/>
      <c r="BC109" s="118"/>
      <c r="BD109" s="118"/>
      <c r="BE109" s="118"/>
      <c r="BF109" s="118"/>
      <c r="BG109" s="118"/>
      <c r="BH109" s="118"/>
      <c r="BI109" s="118"/>
      <c r="BJ109" s="118"/>
      <c r="BK109" s="118"/>
      <c r="BL109" s="118"/>
      <c r="BM109" s="118"/>
      <c r="BN109" s="118"/>
      <c r="BO109" s="118"/>
      <c r="BP109" s="118"/>
      <c r="BQ109" s="118"/>
      <c r="BR109" s="118"/>
      <c r="BS109" s="118"/>
      <c r="BT109" s="118"/>
      <c r="BU109" s="118"/>
      <c r="BV109" s="118"/>
      <c r="BW109" s="118"/>
      <c r="BX109" s="118"/>
      <c r="BY109" s="118"/>
      <c r="BZ109" s="118"/>
      <c r="CA109" s="118"/>
      <c r="CB109" s="118"/>
      <c r="CC109" s="118"/>
      <c r="CD109" s="118"/>
      <c r="CE109" s="118"/>
      <c r="CF109" s="118"/>
      <c r="CG109" s="118"/>
      <c r="CH109" s="118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/>
      <c r="DL109"/>
      <c r="DM109"/>
      <c r="DN109"/>
      <c r="DO109"/>
      <c r="DP109"/>
    </row>
    <row r="110" spans="2:120" s="109" customFormat="1" ht="14.25">
      <c r="B110" s="301"/>
      <c r="C110" s="301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  <c r="AV110" s="118"/>
      <c r="AW110" s="118"/>
      <c r="AX110" s="118"/>
      <c r="AY110" s="118"/>
      <c r="AZ110" s="118"/>
      <c r="BA110" s="118"/>
      <c r="BB110" s="118"/>
      <c r="BC110" s="118"/>
      <c r="BD110" s="118"/>
      <c r="BE110" s="118"/>
      <c r="BF110" s="118"/>
      <c r="BG110" s="118"/>
      <c r="BH110" s="118"/>
      <c r="BI110" s="118"/>
      <c r="BJ110" s="118"/>
      <c r="BK110" s="118"/>
      <c r="BL110" s="118"/>
      <c r="BM110" s="118"/>
      <c r="BN110" s="118"/>
      <c r="BO110" s="118"/>
      <c r="BP110" s="118"/>
      <c r="BQ110" s="118"/>
      <c r="BR110" s="118"/>
      <c r="BS110" s="118"/>
      <c r="BT110" s="118"/>
      <c r="BU110" s="118"/>
      <c r="BV110" s="118"/>
      <c r="BW110" s="118"/>
      <c r="BX110" s="118"/>
      <c r="BY110" s="118"/>
      <c r="BZ110" s="118"/>
      <c r="CA110" s="118"/>
      <c r="CB110" s="118"/>
      <c r="CC110" s="118"/>
      <c r="CD110" s="118"/>
      <c r="CE110" s="118"/>
      <c r="CF110" s="118"/>
      <c r="CG110" s="118"/>
      <c r="CH110" s="118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/>
      <c r="DL110"/>
      <c r="DM110"/>
      <c r="DN110"/>
      <c r="DO110"/>
      <c r="DP110"/>
    </row>
    <row r="111" spans="2:120" s="109" customFormat="1" ht="14.25">
      <c r="B111" s="301"/>
      <c r="C111" s="301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8"/>
      <c r="BI111" s="118"/>
      <c r="BJ111" s="118"/>
      <c r="BK111" s="118"/>
      <c r="BL111" s="118"/>
      <c r="BM111" s="118"/>
      <c r="BN111" s="118"/>
      <c r="BO111" s="118"/>
      <c r="BP111" s="118"/>
      <c r="BQ111" s="118"/>
      <c r="BR111" s="118"/>
      <c r="BS111" s="118"/>
      <c r="BT111" s="118"/>
      <c r="BU111" s="118"/>
      <c r="BV111" s="118"/>
      <c r="BW111" s="118"/>
      <c r="BX111" s="118"/>
      <c r="BY111" s="118"/>
      <c r="BZ111" s="118"/>
      <c r="CA111" s="118"/>
      <c r="CB111" s="118"/>
      <c r="CC111" s="118"/>
      <c r="CD111" s="118"/>
      <c r="CE111" s="118"/>
      <c r="CF111" s="118"/>
      <c r="CG111" s="118"/>
      <c r="CH111" s="118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/>
      <c r="DL111"/>
      <c r="DM111"/>
      <c r="DN111"/>
      <c r="DO111"/>
      <c r="DP111"/>
    </row>
    <row r="112" spans="2:120" s="109" customFormat="1" ht="14.25">
      <c r="B112" s="301"/>
      <c r="C112" s="301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  <c r="AZ112" s="118"/>
      <c r="BA112" s="118"/>
      <c r="BB112" s="118"/>
      <c r="BC112" s="118"/>
      <c r="BD112" s="118"/>
      <c r="BE112" s="118"/>
      <c r="BF112" s="118"/>
      <c r="BG112" s="118"/>
      <c r="BH112" s="118"/>
      <c r="BI112" s="118"/>
      <c r="BJ112" s="118"/>
      <c r="BK112" s="118"/>
      <c r="BL112" s="118"/>
      <c r="BM112" s="118"/>
      <c r="BN112" s="118"/>
      <c r="BO112" s="118"/>
      <c r="BP112" s="118"/>
      <c r="BQ112" s="118"/>
      <c r="BR112" s="118"/>
      <c r="BS112" s="118"/>
      <c r="BT112" s="118"/>
      <c r="BU112" s="118"/>
      <c r="BV112" s="118"/>
      <c r="BW112" s="118"/>
      <c r="BX112" s="118"/>
      <c r="BY112" s="118"/>
      <c r="BZ112" s="118"/>
      <c r="CA112" s="118"/>
      <c r="CB112" s="118"/>
      <c r="CC112" s="118"/>
      <c r="CD112" s="118"/>
      <c r="CE112" s="118"/>
      <c r="CF112" s="118"/>
      <c r="CG112" s="118"/>
      <c r="CH112" s="118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/>
      <c r="DL112"/>
      <c r="DM112"/>
      <c r="DN112"/>
      <c r="DO112"/>
      <c r="DP112"/>
    </row>
    <row r="113" spans="2:120" s="109" customFormat="1" ht="14.25">
      <c r="B113" s="301"/>
      <c r="C113" s="301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18"/>
      <c r="AW113" s="118"/>
      <c r="AX113" s="118"/>
      <c r="AY113" s="118"/>
      <c r="AZ113" s="118"/>
      <c r="BA113" s="118"/>
      <c r="BB113" s="118"/>
      <c r="BC113" s="118"/>
      <c r="BD113" s="118"/>
      <c r="BE113" s="118"/>
      <c r="BF113" s="118"/>
      <c r="BG113" s="118"/>
      <c r="BH113" s="118"/>
      <c r="BI113" s="118"/>
      <c r="BJ113" s="118"/>
      <c r="BK113" s="118"/>
      <c r="BL113" s="118"/>
      <c r="BM113" s="118"/>
      <c r="BN113" s="118"/>
      <c r="BO113" s="118"/>
      <c r="BP113" s="118"/>
      <c r="BQ113" s="118"/>
      <c r="BR113" s="118"/>
      <c r="BS113" s="118"/>
      <c r="BT113" s="118"/>
      <c r="BU113" s="118"/>
      <c r="BV113" s="118"/>
      <c r="BW113" s="118"/>
      <c r="BX113" s="118"/>
      <c r="BY113" s="118"/>
      <c r="BZ113" s="118"/>
      <c r="CA113" s="118"/>
      <c r="CB113" s="118"/>
      <c r="CC113" s="118"/>
      <c r="CD113" s="118"/>
      <c r="CE113" s="118"/>
      <c r="CF113" s="118"/>
      <c r="CG113" s="118"/>
      <c r="CH113" s="118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/>
      <c r="DL113"/>
      <c r="DM113"/>
      <c r="DN113"/>
      <c r="DO113"/>
      <c r="DP113"/>
    </row>
    <row r="114" spans="2:120" s="109" customFormat="1" ht="14.25">
      <c r="B114" s="301"/>
      <c r="C114" s="301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  <c r="AZ114" s="118"/>
      <c r="BA114" s="118"/>
      <c r="BB114" s="118"/>
      <c r="BC114" s="118"/>
      <c r="BD114" s="118"/>
      <c r="BE114" s="118"/>
      <c r="BF114" s="118"/>
      <c r="BG114" s="118"/>
      <c r="BH114" s="118"/>
      <c r="BI114" s="118"/>
      <c r="BJ114" s="118"/>
      <c r="BK114" s="118"/>
      <c r="BL114" s="118"/>
      <c r="BM114" s="118"/>
      <c r="BN114" s="118"/>
      <c r="BO114" s="118"/>
      <c r="BP114" s="118"/>
      <c r="BQ114" s="118"/>
      <c r="BR114" s="118"/>
      <c r="BS114" s="118"/>
      <c r="BT114" s="118"/>
      <c r="BU114" s="118"/>
      <c r="BV114" s="118"/>
      <c r="BW114" s="118"/>
      <c r="BX114" s="118"/>
      <c r="BY114" s="118"/>
      <c r="BZ114" s="118"/>
      <c r="CA114" s="118"/>
      <c r="CB114" s="118"/>
      <c r="CC114" s="118"/>
      <c r="CD114" s="118"/>
      <c r="CE114" s="118"/>
      <c r="CF114" s="118"/>
      <c r="CG114" s="118"/>
      <c r="CH114" s="118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/>
      <c r="DL114"/>
      <c r="DM114"/>
      <c r="DN114"/>
      <c r="DO114"/>
      <c r="DP114"/>
    </row>
    <row r="115" spans="2:120" s="109" customFormat="1" ht="14.25">
      <c r="B115" s="301"/>
      <c r="C115" s="301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  <c r="AV115" s="118"/>
      <c r="AW115" s="118"/>
      <c r="AX115" s="118"/>
      <c r="AY115" s="118"/>
      <c r="AZ115" s="118"/>
      <c r="BA115" s="118"/>
      <c r="BB115" s="118"/>
      <c r="BC115" s="118"/>
      <c r="BD115" s="118"/>
      <c r="BE115" s="118"/>
      <c r="BF115" s="118"/>
      <c r="BG115" s="118"/>
      <c r="BH115" s="118"/>
      <c r="BI115" s="118"/>
      <c r="BJ115" s="118"/>
      <c r="BK115" s="118"/>
      <c r="BL115" s="118"/>
      <c r="BM115" s="118"/>
      <c r="BN115" s="118"/>
      <c r="BO115" s="118"/>
      <c r="BP115" s="118"/>
      <c r="BQ115" s="118"/>
      <c r="BR115" s="118"/>
      <c r="BS115" s="118"/>
      <c r="BT115" s="118"/>
      <c r="BU115" s="118"/>
      <c r="BV115" s="118"/>
      <c r="BW115" s="118"/>
      <c r="BX115" s="118"/>
      <c r="BY115" s="118"/>
      <c r="BZ115" s="118"/>
      <c r="CA115" s="118"/>
      <c r="CB115" s="118"/>
      <c r="CC115" s="118"/>
      <c r="CD115" s="118"/>
      <c r="CE115" s="118"/>
      <c r="CF115" s="118"/>
      <c r="CG115" s="118"/>
      <c r="CH115" s="118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/>
      <c r="DL115"/>
      <c r="DM115"/>
      <c r="DN115"/>
      <c r="DO115"/>
      <c r="DP115"/>
    </row>
    <row r="116" spans="2:120" s="109" customFormat="1" ht="14.25">
      <c r="B116" s="301"/>
      <c r="C116" s="301"/>
      <c r="D116" s="118"/>
      <c r="E116" s="118"/>
      <c r="F116" s="118"/>
      <c r="G116" s="118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  <c r="AV116" s="118"/>
      <c r="AW116" s="118"/>
      <c r="AX116" s="118"/>
      <c r="AY116" s="118"/>
      <c r="AZ116" s="118"/>
      <c r="BA116" s="118"/>
      <c r="BB116" s="118"/>
      <c r="BC116" s="118"/>
      <c r="BD116" s="118"/>
      <c r="BE116" s="118"/>
      <c r="BF116" s="118"/>
      <c r="BG116" s="118"/>
      <c r="BH116" s="118"/>
      <c r="BI116" s="118"/>
      <c r="BJ116" s="118"/>
      <c r="BK116" s="118"/>
      <c r="BL116" s="118"/>
      <c r="BM116" s="118"/>
      <c r="BN116" s="118"/>
      <c r="BO116" s="118"/>
      <c r="BP116" s="118"/>
      <c r="BQ116" s="118"/>
      <c r="BR116" s="118"/>
      <c r="BS116" s="118"/>
      <c r="BT116" s="118"/>
      <c r="BU116" s="118"/>
      <c r="BV116" s="118"/>
      <c r="BW116" s="118"/>
      <c r="BX116" s="118"/>
      <c r="BY116" s="118"/>
      <c r="BZ116" s="118"/>
      <c r="CA116" s="118"/>
      <c r="CB116" s="118"/>
      <c r="CC116" s="118"/>
      <c r="CD116" s="118"/>
      <c r="CE116" s="118"/>
      <c r="CF116" s="118"/>
      <c r="CG116" s="118"/>
      <c r="CH116" s="118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/>
      <c r="DL116"/>
      <c r="DM116"/>
      <c r="DN116"/>
      <c r="DO116"/>
      <c r="DP116"/>
    </row>
    <row r="117" spans="2:120" s="109" customFormat="1" ht="14.25">
      <c r="B117" s="301"/>
      <c r="C117" s="301"/>
      <c r="D117" s="118"/>
      <c r="E117" s="118"/>
      <c r="F117" s="118"/>
      <c r="G117" s="118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  <c r="AV117" s="118"/>
      <c r="AW117" s="118"/>
      <c r="AX117" s="118"/>
      <c r="AY117" s="118"/>
      <c r="AZ117" s="118"/>
      <c r="BA117" s="118"/>
      <c r="BB117" s="118"/>
      <c r="BC117" s="118"/>
      <c r="BD117" s="118"/>
      <c r="BE117" s="118"/>
      <c r="BF117" s="118"/>
      <c r="BG117" s="118"/>
      <c r="BH117" s="118"/>
      <c r="BI117" s="118"/>
      <c r="BJ117" s="118"/>
      <c r="BK117" s="118"/>
      <c r="BL117" s="118"/>
      <c r="BM117" s="118"/>
      <c r="BN117" s="118"/>
      <c r="BO117" s="118"/>
      <c r="BP117" s="118"/>
      <c r="BQ117" s="118"/>
      <c r="BR117" s="118"/>
      <c r="BS117" s="118"/>
      <c r="BT117" s="118"/>
      <c r="BU117" s="118"/>
      <c r="BV117" s="118"/>
      <c r="BW117" s="118"/>
      <c r="BX117" s="118"/>
      <c r="BY117" s="118"/>
      <c r="BZ117" s="118"/>
      <c r="CA117" s="118"/>
      <c r="CB117" s="118"/>
      <c r="CC117" s="118"/>
      <c r="CD117" s="118"/>
      <c r="CE117" s="118"/>
      <c r="CF117" s="118"/>
      <c r="CG117" s="118"/>
      <c r="CH117" s="118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/>
      <c r="DL117"/>
      <c r="DM117"/>
      <c r="DN117"/>
      <c r="DO117"/>
      <c r="DP117"/>
    </row>
    <row r="118" spans="2:120" s="109" customFormat="1" ht="14.25">
      <c r="B118" s="301"/>
      <c r="C118" s="301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  <c r="AV118" s="118"/>
      <c r="AW118" s="118"/>
      <c r="AX118" s="118"/>
      <c r="AY118" s="118"/>
      <c r="AZ118" s="118"/>
      <c r="BA118" s="118"/>
      <c r="BB118" s="118"/>
      <c r="BC118" s="118"/>
      <c r="BD118" s="118"/>
      <c r="BE118" s="118"/>
      <c r="BF118" s="118"/>
      <c r="BG118" s="118"/>
      <c r="BH118" s="118"/>
      <c r="BI118" s="118"/>
      <c r="BJ118" s="118"/>
      <c r="BK118" s="118"/>
      <c r="BL118" s="118"/>
      <c r="BM118" s="118"/>
      <c r="BN118" s="118"/>
      <c r="BO118" s="118"/>
      <c r="BP118" s="118"/>
      <c r="BQ118" s="118"/>
      <c r="BR118" s="118"/>
      <c r="BS118" s="118"/>
      <c r="BT118" s="118"/>
      <c r="BU118" s="118"/>
      <c r="BV118" s="118"/>
      <c r="BW118" s="118"/>
      <c r="BX118" s="118"/>
      <c r="BY118" s="118"/>
      <c r="BZ118" s="118"/>
      <c r="CA118" s="118"/>
      <c r="CB118" s="118"/>
      <c r="CC118" s="118"/>
      <c r="CD118" s="118"/>
      <c r="CE118" s="118"/>
      <c r="CF118" s="118"/>
      <c r="CG118" s="118"/>
      <c r="CH118" s="118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/>
      <c r="DL118"/>
      <c r="DM118"/>
      <c r="DN118"/>
      <c r="DO118"/>
      <c r="DP118"/>
    </row>
    <row r="119" spans="2:120" s="109" customFormat="1" ht="14.25">
      <c r="B119" s="301"/>
      <c r="C119" s="301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  <c r="AV119" s="118"/>
      <c r="AW119" s="118"/>
      <c r="AX119" s="118"/>
      <c r="AY119" s="118"/>
      <c r="AZ119" s="118"/>
      <c r="BA119" s="118"/>
      <c r="BB119" s="118"/>
      <c r="BC119" s="118"/>
      <c r="BD119" s="118"/>
      <c r="BE119" s="118"/>
      <c r="BF119" s="118"/>
      <c r="BG119" s="118"/>
      <c r="BH119" s="118"/>
      <c r="BI119" s="118"/>
      <c r="BJ119" s="118"/>
      <c r="BK119" s="118"/>
      <c r="BL119" s="118"/>
      <c r="BM119" s="118"/>
      <c r="BN119" s="118"/>
      <c r="BO119" s="118"/>
      <c r="BP119" s="118"/>
      <c r="BQ119" s="118"/>
      <c r="BR119" s="118"/>
      <c r="BS119" s="118"/>
      <c r="BT119" s="118"/>
      <c r="BU119" s="118"/>
      <c r="BV119" s="118"/>
      <c r="BW119" s="118"/>
      <c r="BX119" s="118"/>
      <c r="BY119" s="118"/>
      <c r="BZ119" s="118"/>
      <c r="CA119" s="118"/>
      <c r="CB119" s="118"/>
      <c r="CC119" s="118"/>
      <c r="CD119" s="118"/>
      <c r="CE119" s="118"/>
      <c r="CF119" s="118"/>
      <c r="CG119" s="118"/>
      <c r="CH119" s="118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/>
      <c r="DL119"/>
      <c r="DM119"/>
      <c r="DN119"/>
      <c r="DO119"/>
      <c r="DP119"/>
    </row>
    <row r="120" spans="2:120" s="109" customFormat="1" ht="14.25">
      <c r="B120" s="301"/>
      <c r="C120" s="301"/>
      <c r="D120" s="118"/>
      <c r="E120" s="118"/>
      <c r="F120" s="118"/>
      <c r="G120" s="118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  <c r="AV120" s="118"/>
      <c r="AW120" s="118"/>
      <c r="AX120" s="118"/>
      <c r="AY120" s="118"/>
      <c r="AZ120" s="118"/>
      <c r="BA120" s="118"/>
      <c r="BB120" s="118"/>
      <c r="BC120" s="118"/>
      <c r="BD120" s="118"/>
      <c r="BE120" s="118"/>
      <c r="BF120" s="118"/>
      <c r="BG120" s="118"/>
      <c r="BH120" s="118"/>
      <c r="BI120" s="118"/>
      <c r="BJ120" s="118"/>
      <c r="BK120" s="118"/>
      <c r="BL120" s="118"/>
      <c r="BM120" s="118"/>
      <c r="BN120" s="118"/>
      <c r="BO120" s="118"/>
      <c r="BP120" s="118"/>
      <c r="BQ120" s="118"/>
      <c r="BR120" s="118"/>
      <c r="BS120" s="118"/>
      <c r="BT120" s="118"/>
      <c r="BU120" s="118"/>
      <c r="BV120" s="118"/>
      <c r="BW120" s="118"/>
      <c r="BX120" s="118"/>
      <c r="BY120" s="118"/>
      <c r="BZ120" s="118"/>
      <c r="CA120" s="118"/>
      <c r="CB120" s="118"/>
      <c r="CC120" s="118"/>
      <c r="CD120" s="118"/>
      <c r="CE120" s="118"/>
      <c r="CF120" s="118"/>
      <c r="CG120" s="118"/>
      <c r="CH120" s="118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/>
      <c r="DL120"/>
      <c r="DM120"/>
      <c r="DN120"/>
      <c r="DO120"/>
      <c r="DP120"/>
    </row>
    <row r="121" spans="2:120" s="109" customFormat="1" ht="14.25">
      <c r="B121" s="301"/>
      <c r="C121" s="301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  <c r="AV121" s="118"/>
      <c r="AW121" s="118"/>
      <c r="AX121" s="118"/>
      <c r="AY121" s="118"/>
      <c r="AZ121" s="118"/>
      <c r="BA121" s="118"/>
      <c r="BB121" s="118"/>
      <c r="BC121" s="118"/>
      <c r="BD121" s="118"/>
      <c r="BE121" s="118"/>
      <c r="BF121" s="118"/>
      <c r="BG121" s="118"/>
      <c r="BH121" s="118"/>
      <c r="BI121" s="118"/>
      <c r="BJ121" s="118"/>
      <c r="BK121" s="118"/>
      <c r="BL121" s="118"/>
      <c r="BM121" s="118"/>
      <c r="BN121" s="118"/>
      <c r="BO121" s="118"/>
      <c r="BP121" s="118"/>
      <c r="BQ121" s="118"/>
      <c r="BR121" s="118"/>
      <c r="BS121" s="118"/>
      <c r="BT121" s="118"/>
      <c r="BU121" s="118"/>
      <c r="BV121" s="118"/>
      <c r="BW121" s="118"/>
      <c r="BX121" s="118"/>
      <c r="BY121" s="118"/>
      <c r="BZ121" s="118"/>
      <c r="CA121" s="118"/>
      <c r="CB121" s="118"/>
      <c r="CC121" s="118"/>
      <c r="CD121" s="118"/>
      <c r="CE121" s="118"/>
      <c r="CF121" s="118"/>
      <c r="CG121" s="118"/>
      <c r="CH121" s="118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/>
      <c r="DL121"/>
      <c r="DM121"/>
      <c r="DN121"/>
      <c r="DO121"/>
      <c r="DP121"/>
    </row>
    <row r="122" spans="2:120" s="109" customFormat="1" ht="14.25">
      <c r="B122" s="301"/>
      <c r="C122" s="301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  <c r="AV122" s="118"/>
      <c r="AW122" s="118"/>
      <c r="AX122" s="118"/>
      <c r="AY122" s="118"/>
      <c r="AZ122" s="118"/>
      <c r="BA122" s="118"/>
      <c r="BB122" s="118"/>
      <c r="BC122" s="118"/>
      <c r="BD122" s="118"/>
      <c r="BE122" s="118"/>
      <c r="BF122" s="118"/>
      <c r="BG122" s="118"/>
      <c r="BH122" s="118"/>
      <c r="BI122" s="118"/>
      <c r="BJ122" s="118"/>
      <c r="BK122" s="118"/>
      <c r="BL122" s="118"/>
      <c r="BM122" s="118"/>
      <c r="BN122" s="118"/>
      <c r="BO122" s="118"/>
      <c r="BP122" s="118"/>
      <c r="BQ122" s="118"/>
      <c r="BR122" s="118"/>
      <c r="BS122" s="118"/>
      <c r="BT122" s="118"/>
      <c r="BU122" s="118"/>
      <c r="BV122" s="118"/>
      <c r="BW122" s="118"/>
      <c r="BX122" s="118"/>
      <c r="BY122" s="118"/>
      <c r="BZ122" s="118"/>
      <c r="CA122" s="118"/>
      <c r="CB122" s="118"/>
      <c r="CC122" s="118"/>
      <c r="CD122" s="118"/>
      <c r="CE122" s="118"/>
      <c r="CF122" s="118"/>
      <c r="CG122" s="118"/>
      <c r="CH122" s="118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/>
      <c r="DL122"/>
      <c r="DM122"/>
      <c r="DN122"/>
      <c r="DO122"/>
      <c r="DP122"/>
    </row>
    <row r="123" spans="2:120" s="109" customFormat="1" ht="14.25">
      <c r="B123" s="301"/>
      <c r="C123" s="301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  <c r="AV123" s="118"/>
      <c r="AW123" s="118"/>
      <c r="AX123" s="118"/>
      <c r="AY123" s="118"/>
      <c r="AZ123" s="118"/>
      <c r="BA123" s="118"/>
      <c r="BB123" s="118"/>
      <c r="BC123" s="118"/>
      <c r="BD123" s="118"/>
      <c r="BE123" s="118"/>
      <c r="BF123" s="118"/>
      <c r="BG123" s="118"/>
      <c r="BH123" s="118"/>
      <c r="BI123" s="118"/>
      <c r="BJ123" s="118"/>
      <c r="BK123" s="118"/>
      <c r="BL123" s="118"/>
      <c r="BM123" s="118"/>
      <c r="BN123" s="118"/>
      <c r="BO123" s="118"/>
      <c r="BP123" s="118"/>
      <c r="BQ123" s="118"/>
      <c r="BR123" s="118"/>
      <c r="BS123" s="118"/>
      <c r="BT123" s="118"/>
      <c r="BU123" s="118"/>
      <c r="BV123" s="118"/>
      <c r="BW123" s="118"/>
      <c r="BX123" s="118"/>
      <c r="BY123" s="118"/>
      <c r="BZ123" s="118"/>
      <c r="CA123" s="118"/>
      <c r="CB123" s="118"/>
      <c r="CC123" s="118"/>
      <c r="CD123" s="118"/>
      <c r="CE123" s="118"/>
      <c r="CF123" s="118"/>
      <c r="CG123" s="118"/>
      <c r="CH123" s="118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/>
      <c r="DL123"/>
      <c r="DM123"/>
      <c r="DN123"/>
      <c r="DO123"/>
      <c r="DP123"/>
    </row>
    <row r="124" spans="2:120" s="109" customFormat="1" ht="14.25">
      <c r="B124" s="301"/>
      <c r="C124" s="301"/>
      <c r="D124" s="118"/>
      <c r="E124" s="118"/>
      <c r="F124" s="118"/>
      <c r="G124" s="118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  <c r="AV124" s="118"/>
      <c r="AW124" s="118"/>
      <c r="AX124" s="118"/>
      <c r="AY124" s="118"/>
      <c r="AZ124" s="118"/>
      <c r="BA124" s="118"/>
      <c r="BB124" s="118"/>
      <c r="BC124" s="118"/>
      <c r="BD124" s="118"/>
      <c r="BE124" s="118"/>
      <c r="BF124" s="118"/>
      <c r="BG124" s="118"/>
      <c r="BH124" s="118"/>
      <c r="BI124" s="118"/>
      <c r="BJ124" s="118"/>
      <c r="BK124" s="118"/>
      <c r="BL124" s="118"/>
      <c r="BM124" s="118"/>
      <c r="BN124" s="118"/>
      <c r="BO124" s="118"/>
      <c r="BP124" s="118"/>
      <c r="BQ124" s="118"/>
      <c r="BR124" s="118"/>
      <c r="BS124" s="118"/>
      <c r="BT124" s="118"/>
      <c r="BU124" s="118"/>
      <c r="BV124" s="118"/>
      <c r="BW124" s="118"/>
      <c r="BX124" s="118"/>
      <c r="BY124" s="118"/>
      <c r="BZ124" s="118"/>
      <c r="CA124" s="118"/>
      <c r="CB124" s="118"/>
      <c r="CC124" s="118"/>
      <c r="CD124" s="118"/>
      <c r="CE124" s="118"/>
      <c r="CF124" s="118"/>
      <c r="CG124" s="118"/>
      <c r="CH124" s="118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/>
      <c r="DL124"/>
      <c r="DM124"/>
      <c r="DN124"/>
      <c r="DO124"/>
      <c r="DP124"/>
    </row>
    <row r="125" spans="2:120" s="109" customFormat="1" ht="14.25">
      <c r="B125" s="301"/>
      <c r="C125" s="301"/>
      <c r="D125" s="118"/>
      <c r="E125" s="118"/>
      <c r="F125" s="118"/>
      <c r="G125" s="118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/>
      <c r="AC125" s="118"/>
      <c r="AD125" s="118"/>
      <c r="AE125" s="118"/>
      <c r="AF125" s="118"/>
      <c r="AG125" s="118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  <c r="AV125" s="118"/>
      <c r="AW125" s="118"/>
      <c r="AX125" s="118"/>
      <c r="AY125" s="118"/>
      <c r="AZ125" s="118"/>
      <c r="BA125" s="118"/>
      <c r="BB125" s="118"/>
      <c r="BC125" s="118"/>
      <c r="BD125" s="118"/>
      <c r="BE125" s="118"/>
      <c r="BF125" s="118"/>
      <c r="BG125" s="118"/>
      <c r="BH125" s="118"/>
      <c r="BI125" s="118"/>
      <c r="BJ125" s="118"/>
      <c r="BK125" s="118"/>
      <c r="BL125" s="118"/>
      <c r="BM125" s="118"/>
      <c r="BN125" s="118"/>
      <c r="BO125" s="118"/>
      <c r="BP125" s="118"/>
      <c r="BQ125" s="118"/>
      <c r="BR125" s="118"/>
      <c r="BS125" s="118"/>
      <c r="BT125" s="118"/>
      <c r="BU125" s="118"/>
      <c r="BV125" s="118"/>
      <c r="BW125" s="118"/>
      <c r="BX125" s="118"/>
      <c r="BY125" s="118"/>
      <c r="BZ125" s="118"/>
      <c r="CA125" s="118"/>
      <c r="CB125" s="118"/>
      <c r="CC125" s="118"/>
      <c r="CD125" s="118"/>
      <c r="CE125" s="118"/>
      <c r="CF125" s="118"/>
      <c r="CG125" s="118"/>
      <c r="CH125" s="118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/>
      <c r="DL125"/>
      <c r="DM125"/>
      <c r="DN125"/>
      <c r="DO125"/>
      <c r="DP125"/>
    </row>
    <row r="126" spans="2:120" s="109" customFormat="1" ht="14.25">
      <c r="B126" s="301"/>
      <c r="C126" s="301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  <c r="AV126" s="118"/>
      <c r="AW126" s="118"/>
      <c r="AX126" s="118"/>
      <c r="AY126" s="118"/>
      <c r="AZ126" s="118"/>
      <c r="BA126" s="118"/>
      <c r="BB126" s="118"/>
      <c r="BC126" s="118"/>
      <c r="BD126" s="118"/>
      <c r="BE126" s="118"/>
      <c r="BF126" s="118"/>
      <c r="BG126" s="118"/>
      <c r="BH126" s="118"/>
      <c r="BI126" s="118"/>
      <c r="BJ126" s="118"/>
      <c r="BK126" s="118"/>
      <c r="BL126" s="118"/>
      <c r="BM126" s="118"/>
      <c r="BN126" s="118"/>
      <c r="BO126" s="118"/>
      <c r="BP126" s="118"/>
      <c r="BQ126" s="118"/>
      <c r="BR126" s="118"/>
      <c r="BS126" s="118"/>
      <c r="BT126" s="118"/>
      <c r="BU126" s="118"/>
      <c r="BV126" s="118"/>
      <c r="BW126" s="118"/>
      <c r="BX126" s="118"/>
      <c r="BY126" s="118"/>
      <c r="BZ126" s="118"/>
      <c r="CA126" s="118"/>
      <c r="CB126" s="118"/>
      <c r="CC126" s="118"/>
      <c r="CD126" s="118"/>
      <c r="CE126" s="118"/>
      <c r="CF126" s="118"/>
      <c r="CG126" s="118"/>
      <c r="CH126" s="118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/>
      <c r="DL126"/>
      <c r="DM126"/>
      <c r="DN126"/>
      <c r="DO126"/>
      <c r="DP126"/>
    </row>
    <row r="127" spans="2:120" s="109" customFormat="1" ht="14.25">
      <c r="B127" s="301"/>
      <c r="C127" s="301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  <c r="W127" s="118"/>
      <c r="X127" s="118"/>
      <c r="Y127" s="118"/>
      <c r="Z127" s="118"/>
      <c r="AA127" s="118"/>
      <c r="AB127" s="118"/>
      <c r="AC127" s="118"/>
      <c r="AD127" s="118"/>
      <c r="AE127" s="118"/>
      <c r="AF127" s="118"/>
      <c r="AG127" s="118"/>
      <c r="AH127" s="118"/>
      <c r="AI127" s="118"/>
      <c r="AJ127" s="118"/>
      <c r="AK127" s="118"/>
      <c r="AL127" s="118"/>
      <c r="AM127" s="118"/>
      <c r="AN127" s="118"/>
      <c r="AO127" s="118"/>
      <c r="AP127" s="118"/>
      <c r="AQ127" s="118"/>
      <c r="AR127" s="118"/>
      <c r="AS127" s="118"/>
      <c r="AT127" s="118"/>
      <c r="AU127" s="118"/>
      <c r="AV127" s="118"/>
      <c r="AW127" s="118"/>
      <c r="AX127" s="118"/>
      <c r="AY127" s="118"/>
      <c r="AZ127" s="118"/>
      <c r="BA127" s="118"/>
      <c r="BB127" s="118"/>
      <c r="BC127" s="118"/>
      <c r="BD127" s="118"/>
      <c r="BE127" s="118"/>
      <c r="BF127" s="118"/>
      <c r="BG127" s="118"/>
      <c r="BH127" s="118"/>
      <c r="BI127" s="118"/>
      <c r="BJ127" s="118"/>
      <c r="BK127" s="118"/>
      <c r="BL127" s="118"/>
      <c r="BM127" s="118"/>
      <c r="BN127" s="118"/>
      <c r="BO127" s="118"/>
      <c r="BP127" s="118"/>
      <c r="BQ127" s="118"/>
      <c r="BR127" s="118"/>
      <c r="BS127" s="118"/>
      <c r="BT127" s="118"/>
      <c r="BU127" s="118"/>
      <c r="BV127" s="118"/>
      <c r="BW127" s="118"/>
      <c r="BX127" s="118"/>
      <c r="BY127" s="118"/>
      <c r="BZ127" s="118"/>
      <c r="CA127" s="118"/>
      <c r="CB127" s="118"/>
      <c r="CC127" s="118"/>
      <c r="CD127" s="118"/>
      <c r="CE127" s="118"/>
      <c r="CF127" s="118"/>
      <c r="CG127" s="118"/>
      <c r="CH127" s="118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/>
      <c r="DL127"/>
      <c r="DM127"/>
      <c r="DN127"/>
      <c r="DO127"/>
      <c r="DP127"/>
    </row>
    <row r="128" spans="2:120" s="109" customFormat="1" ht="14.25">
      <c r="B128" s="301"/>
      <c r="C128" s="301"/>
      <c r="D128" s="118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118"/>
      <c r="AI128" s="118"/>
      <c r="AJ128" s="118"/>
      <c r="AK128" s="118"/>
      <c r="AL128" s="118"/>
      <c r="AM128" s="118"/>
      <c r="AN128" s="118"/>
      <c r="AO128" s="118"/>
      <c r="AP128" s="118"/>
      <c r="AQ128" s="118"/>
      <c r="AR128" s="118"/>
      <c r="AS128" s="118"/>
      <c r="AT128" s="118"/>
      <c r="AU128" s="118"/>
      <c r="AV128" s="118"/>
      <c r="AW128" s="118"/>
      <c r="AX128" s="118"/>
      <c r="AY128" s="118"/>
      <c r="AZ128" s="118"/>
      <c r="BA128" s="118"/>
      <c r="BB128" s="118"/>
      <c r="BC128" s="118"/>
      <c r="BD128" s="118"/>
      <c r="BE128" s="118"/>
      <c r="BF128" s="118"/>
      <c r="BG128" s="118"/>
      <c r="BH128" s="118"/>
      <c r="BI128" s="118"/>
      <c r="BJ128" s="118"/>
      <c r="BK128" s="118"/>
      <c r="BL128" s="118"/>
      <c r="BM128" s="118"/>
      <c r="BN128" s="118"/>
      <c r="BO128" s="118"/>
      <c r="BP128" s="118"/>
      <c r="BQ128" s="118"/>
      <c r="BR128" s="118"/>
      <c r="BS128" s="118"/>
      <c r="BT128" s="118"/>
      <c r="BU128" s="118"/>
      <c r="BV128" s="118"/>
      <c r="BW128" s="118"/>
      <c r="BX128" s="118"/>
      <c r="BY128" s="118"/>
      <c r="BZ128" s="118"/>
      <c r="CA128" s="118"/>
      <c r="CB128" s="118"/>
      <c r="CC128" s="118"/>
      <c r="CD128" s="118"/>
      <c r="CE128" s="118"/>
      <c r="CF128" s="118"/>
      <c r="CG128" s="118"/>
      <c r="CH128" s="118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/>
      <c r="DL128"/>
      <c r="DM128"/>
      <c r="DN128"/>
      <c r="DO128"/>
      <c r="DP128"/>
    </row>
    <row r="129" spans="2:120" s="109" customFormat="1" ht="14.25">
      <c r="B129" s="301"/>
      <c r="C129" s="301"/>
      <c r="D129" s="118"/>
      <c r="E129" s="118"/>
      <c r="F129" s="118"/>
      <c r="G129" s="118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18"/>
      <c r="AC129" s="118"/>
      <c r="AD129" s="118"/>
      <c r="AE129" s="118"/>
      <c r="AF129" s="118"/>
      <c r="AG129" s="118"/>
      <c r="AH129" s="118"/>
      <c r="AI129" s="118"/>
      <c r="AJ129" s="118"/>
      <c r="AK129" s="118"/>
      <c r="AL129" s="118"/>
      <c r="AM129" s="118"/>
      <c r="AN129" s="118"/>
      <c r="AO129" s="118"/>
      <c r="AP129" s="118"/>
      <c r="AQ129" s="118"/>
      <c r="AR129" s="118"/>
      <c r="AS129" s="118"/>
      <c r="AT129" s="118"/>
      <c r="AU129" s="118"/>
      <c r="AV129" s="118"/>
      <c r="AW129" s="118"/>
      <c r="AX129" s="118"/>
      <c r="AY129" s="118"/>
      <c r="AZ129" s="118"/>
      <c r="BA129" s="118"/>
      <c r="BB129" s="118"/>
      <c r="BC129" s="118"/>
      <c r="BD129" s="118"/>
      <c r="BE129" s="118"/>
      <c r="BF129" s="118"/>
      <c r="BG129" s="118"/>
      <c r="BH129" s="118"/>
      <c r="BI129" s="118"/>
      <c r="BJ129" s="118"/>
      <c r="BK129" s="118"/>
      <c r="BL129" s="118"/>
      <c r="BM129" s="118"/>
      <c r="BN129" s="118"/>
      <c r="BO129" s="118"/>
      <c r="BP129" s="118"/>
      <c r="BQ129" s="118"/>
      <c r="BR129" s="118"/>
      <c r="BS129" s="118"/>
      <c r="BT129" s="118"/>
      <c r="BU129" s="118"/>
      <c r="BV129" s="118"/>
      <c r="BW129" s="118"/>
      <c r="BX129" s="118"/>
      <c r="BY129" s="118"/>
      <c r="BZ129" s="118"/>
      <c r="CA129" s="118"/>
      <c r="CB129" s="118"/>
      <c r="CC129" s="118"/>
      <c r="CD129" s="118"/>
      <c r="CE129" s="118"/>
      <c r="CF129" s="118"/>
      <c r="CG129" s="118"/>
      <c r="CH129" s="118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/>
      <c r="DL129"/>
      <c r="DM129"/>
      <c r="DN129"/>
      <c r="DO129"/>
      <c r="DP129"/>
    </row>
    <row r="130" spans="2:120" s="109" customFormat="1" ht="14.25">
      <c r="B130" s="301"/>
      <c r="C130" s="301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  <c r="W130" s="118"/>
      <c r="X130" s="118"/>
      <c r="Y130" s="118"/>
      <c r="Z130" s="118"/>
      <c r="AA130" s="118"/>
      <c r="AB130" s="118"/>
      <c r="AC130" s="118"/>
      <c r="AD130" s="118"/>
      <c r="AE130" s="118"/>
      <c r="AF130" s="118"/>
      <c r="AG130" s="118"/>
      <c r="AH130" s="118"/>
      <c r="AI130" s="118"/>
      <c r="AJ130" s="118"/>
      <c r="AK130" s="118"/>
      <c r="AL130" s="118"/>
      <c r="AM130" s="118"/>
      <c r="AN130" s="118"/>
      <c r="AO130" s="118"/>
      <c r="AP130" s="118"/>
      <c r="AQ130" s="118"/>
      <c r="AR130" s="118"/>
      <c r="AS130" s="118"/>
      <c r="AT130" s="118"/>
      <c r="AU130" s="118"/>
      <c r="AV130" s="118"/>
      <c r="AW130" s="118"/>
      <c r="AX130" s="118"/>
      <c r="AY130" s="118"/>
      <c r="AZ130" s="118"/>
      <c r="BA130" s="118"/>
      <c r="BB130" s="118"/>
      <c r="BC130" s="118"/>
      <c r="BD130" s="118"/>
      <c r="BE130" s="118"/>
      <c r="BF130" s="118"/>
      <c r="BG130" s="118"/>
      <c r="BH130" s="118"/>
      <c r="BI130" s="118"/>
      <c r="BJ130" s="118"/>
      <c r="BK130" s="118"/>
      <c r="BL130" s="118"/>
      <c r="BM130" s="118"/>
      <c r="BN130" s="118"/>
      <c r="BO130" s="118"/>
      <c r="BP130" s="118"/>
      <c r="BQ130" s="118"/>
      <c r="BR130" s="118"/>
      <c r="BS130" s="118"/>
      <c r="BT130" s="118"/>
      <c r="BU130" s="118"/>
      <c r="BV130" s="118"/>
      <c r="BW130" s="118"/>
      <c r="BX130" s="118"/>
      <c r="BY130" s="118"/>
      <c r="BZ130" s="118"/>
      <c r="CA130" s="118"/>
      <c r="CB130" s="118"/>
      <c r="CC130" s="118"/>
      <c r="CD130" s="118"/>
      <c r="CE130" s="118"/>
      <c r="CF130" s="118"/>
      <c r="CG130" s="118"/>
      <c r="CH130" s="118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/>
      <c r="DL130"/>
      <c r="DM130"/>
      <c r="DN130"/>
      <c r="DO130"/>
      <c r="DP130"/>
    </row>
    <row r="131" spans="2:120" s="109" customFormat="1" ht="14.25">
      <c r="B131" s="301"/>
      <c r="C131" s="301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118"/>
      <c r="AI131" s="118"/>
      <c r="AJ131" s="118"/>
      <c r="AK131" s="118"/>
      <c r="AL131" s="118"/>
      <c r="AM131" s="118"/>
      <c r="AN131" s="118"/>
      <c r="AO131" s="118"/>
      <c r="AP131" s="118"/>
      <c r="AQ131" s="118"/>
      <c r="AR131" s="118"/>
      <c r="AS131" s="118"/>
      <c r="AT131" s="118"/>
      <c r="AU131" s="118"/>
      <c r="AV131" s="118"/>
      <c r="AW131" s="118"/>
      <c r="AX131" s="118"/>
      <c r="AY131" s="118"/>
      <c r="AZ131" s="118"/>
      <c r="BA131" s="118"/>
      <c r="BB131" s="118"/>
      <c r="BC131" s="118"/>
      <c r="BD131" s="118"/>
      <c r="BE131" s="118"/>
      <c r="BF131" s="118"/>
      <c r="BG131" s="118"/>
      <c r="BH131" s="118"/>
      <c r="BI131" s="118"/>
      <c r="BJ131" s="118"/>
      <c r="BK131" s="118"/>
      <c r="BL131" s="118"/>
      <c r="BM131" s="118"/>
      <c r="BN131" s="118"/>
      <c r="BO131" s="118"/>
      <c r="BP131" s="118"/>
      <c r="BQ131" s="118"/>
      <c r="BR131" s="118"/>
      <c r="BS131" s="118"/>
      <c r="BT131" s="118"/>
      <c r="BU131" s="118"/>
      <c r="BV131" s="118"/>
      <c r="BW131" s="118"/>
      <c r="BX131" s="118"/>
      <c r="BY131" s="118"/>
      <c r="BZ131" s="118"/>
      <c r="CA131" s="118"/>
      <c r="CB131" s="118"/>
      <c r="CC131" s="118"/>
      <c r="CD131" s="118"/>
      <c r="CE131" s="118"/>
      <c r="CF131" s="118"/>
      <c r="CG131" s="118"/>
      <c r="CH131" s="118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/>
      <c r="DL131"/>
      <c r="DM131"/>
      <c r="DN131"/>
      <c r="DO131"/>
      <c r="DP131"/>
    </row>
    <row r="132" spans="2:120" s="109" customFormat="1" ht="14.25">
      <c r="B132" s="301"/>
      <c r="C132" s="301"/>
      <c r="D132" s="118"/>
      <c r="E132" s="118"/>
      <c r="F132" s="118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  <c r="AX132" s="118"/>
      <c r="AY132" s="118"/>
      <c r="AZ132" s="118"/>
      <c r="BA132" s="118"/>
      <c r="BB132" s="118"/>
      <c r="BC132" s="118"/>
      <c r="BD132" s="118"/>
      <c r="BE132" s="118"/>
      <c r="BF132" s="118"/>
      <c r="BG132" s="118"/>
      <c r="BH132" s="118"/>
      <c r="BI132" s="118"/>
      <c r="BJ132" s="118"/>
      <c r="BK132" s="118"/>
      <c r="BL132" s="118"/>
      <c r="BM132" s="118"/>
      <c r="BN132" s="118"/>
      <c r="BO132" s="118"/>
      <c r="BP132" s="118"/>
      <c r="BQ132" s="118"/>
      <c r="BR132" s="118"/>
      <c r="BS132" s="118"/>
      <c r="BT132" s="118"/>
      <c r="BU132" s="118"/>
      <c r="BV132" s="118"/>
      <c r="BW132" s="118"/>
      <c r="BX132" s="118"/>
      <c r="BY132" s="118"/>
      <c r="BZ132" s="118"/>
      <c r="CA132" s="118"/>
      <c r="CB132" s="118"/>
      <c r="CC132" s="118"/>
      <c r="CD132" s="118"/>
      <c r="CE132" s="118"/>
      <c r="CF132" s="118"/>
      <c r="CG132" s="118"/>
      <c r="CH132" s="118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/>
      <c r="DL132"/>
      <c r="DM132"/>
      <c r="DN132"/>
      <c r="DO132"/>
      <c r="DP132"/>
    </row>
    <row r="133" spans="2:120" s="109" customFormat="1" ht="14.25">
      <c r="B133" s="301"/>
      <c r="C133" s="301"/>
      <c r="D133" s="118"/>
      <c r="E133" s="118"/>
      <c r="F133" s="118"/>
      <c r="G133" s="118"/>
      <c r="H133" s="118"/>
      <c r="I133" s="118"/>
      <c r="J133" s="118"/>
      <c r="K133" s="118"/>
      <c r="L133" s="118"/>
      <c r="M133" s="118"/>
      <c r="N133" s="118"/>
      <c r="O133" s="118"/>
      <c r="P133" s="118"/>
      <c r="Q133" s="118"/>
      <c r="R133" s="118"/>
      <c r="S133" s="118"/>
      <c r="T133" s="118"/>
      <c r="U133" s="118"/>
      <c r="V133" s="118"/>
      <c r="W133" s="118"/>
      <c r="X133" s="118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118"/>
      <c r="AI133" s="118"/>
      <c r="AJ133" s="118"/>
      <c r="AK133" s="118"/>
      <c r="AL133" s="118"/>
      <c r="AM133" s="118"/>
      <c r="AN133" s="118"/>
      <c r="AO133" s="118"/>
      <c r="AP133" s="118"/>
      <c r="AQ133" s="118"/>
      <c r="AR133" s="118"/>
      <c r="AS133" s="118"/>
      <c r="AT133" s="118"/>
      <c r="AU133" s="118"/>
      <c r="AV133" s="118"/>
      <c r="AW133" s="118"/>
      <c r="AX133" s="118"/>
      <c r="AY133" s="118"/>
      <c r="AZ133" s="118"/>
      <c r="BA133" s="118"/>
      <c r="BB133" s="118"/>
      <c r="BC133" s="118"/>
      <c r="BD133" s="118"/>
      <c r="BE133" s="118"/>
      <c r="BF133" s="118"/>
      <c r="BG133" s="118"/>
      <c r="BH133" s="118"/>
      <c r="BI133" s="118"/>
      <c r="BJ133" s="118"/>
      <c r="BK133" s="118"/>
      <c r="BL133" s="118"/>
      <c r="BM133" s="118"/>
      <c r="BN133" s="118"/>
      <c r="BO133" s="118"/>
      <c r="BP133" s="118"/>
      <c r="BQ133" s="118"/>
      <c r="BR133" s="118"/>
      <c r="BS133" s="118"/>
      <c r="BT133" s="118"/>
      <c r="BU133" s="118"/>
      <c r="BV133" s="118"/>
      <c r="BW133" s="118"/>
      <c r="BX133" s="118"/>
      <c r="BY133" s="118"/>
      <c r="BZ133" s="118"/>
      <c r="CA133" s="118"/>
      <c r="CB133" s="118"/>
      <c r="CC133" s="118"/>
      <c r="CD133" s="118"/>
      <c r="CE133" s="118"/>
      <c r="CF133" s="118"/>
      <c r="CG133" s="118"/>
      <c r="CH133" s="118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/>
      <c r="DL133"/>
      <c r="DM133"/>
      <c r="DN133"/>
      <c r="DO133"/>
      <c r="DP133"/>
    </row>
    <row r="134" spans="2:120" s="109" customFormat="1" ht="14.25">
      <c r="B134" s="301"/>
      <c r="C134" s="301"/>
      <c r="D134" s="118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118"/>
      <c r="AI134" s="118"/>
      <c r="AJ134" s="118"/>
      <c r="AK134" s="118"/>
      <c r="AL134" s="118"/>
      <c r="AM134" s="118"/>
      <c r="AN134" s="118"/>
      <c r="AO134" s="118"/>
      <c r="AP134" s="118"/>
      <c r="AQ134" s="118"/>
      <c r="AR134" s="118"/>
      <c r="AS134" s="118"/>
      <c r="AT134" s="118"/>
      <c r="AU134" s="118"/>
      <c r="AV134" s="118"/>
      <c r="AW134" s="118"/>
      <c r="AX134" s="118"/>
      <c r="AY134" s="118"/>
      <c r="AZ134" s="118"/>
      <c r="BA134" s="118"/>
      <c r="BB134" s="118"/>
      <c r="BC134" s="118"/>
      <c r="BD134" s="118"/>
      <c r="BE134" s="118"/>
      <c r="BF134" s="118"/>
      <c r="BG134" s="118"/>
      <c r="BH134" s="118"/>
      <c r="BI134" s="118"/>
      <c r="BJ134" s="118"/>
      <c r="BK134" s="118"/>
      <c r="BL134" s="118"/>
      <c r="BM134" s="118"/>
      <c r="BN134" s="118"/>
      <c r="BO134" s="118"/>
      <c r="BP134" s="118"/>
      <c r="BQ134" s="118"/>
      <c r="BR134" s="118"/>
      <c r="BS134" s="118"/>
      <c r="BT134" s="118"/>
      <c r="BU134" s="118"/>
      <c r="BV134" s="118"/>
      <c r="BW134" s="118"/>
      <c r="BX134" s="118"/>
      <c r="BY134" s="118"/>
      <c r="BZ134" s="118"/>
      <c r="CA134" s="118"/>
      <c r="CB134" s="118"/>
      <c r="CC134" s="118"/>
      <c r="CD134" s="118"/>
      <c r="CE134" s="118"/>
      <c r="CF134" s="118"/>
      <c r="CG134" s="118"/>
      <c r="CH134" s="118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/>
      <c r="DL134"/>
      <c r="DM134"/>
      <c r="DN134"/>
      <c r="DO134"/>
      <c r="DP134"/>
    </row>
    <row r="135" spans="2:120" s="109" customFormat="1" ht="14.25">
      <c r="B135" s="301"/>
      <c r="C135" s="301"/>
      <c r="D135" s="118"/>
      <c r="E135" s="118"/>
      <c r="F135" s="118"/>
      <c r="G135" s="118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8"/>
      <c r="T135" s="118"/>
      <c r="U135" s="118"/>
      <c r="V135" s="118"/>
      <c r="W135" s="118"/>
      <c r="X135" s="118"/>
      <c r="Y135" s="118"/>
      <c r="Z135" s="118"/>
      <c r="AA135" s="118"/>
      <c r="AB135" s="118"/>
      <c r="AC135" s="118"/>
      <c r="AD135" s="118"/>
      <c r="AE135" s="118"/>
      <c r="AF135" s="118"/>
      <c r="AG135" s="118"/>
      <c r="AH135" s="118"/>
      <c r="AI135" s="118"/>
      <c r="AJ135" s="118"/>
      <c r="AK135" s="118"/>
      <c r="AL135" s="118"/>
      <c r="AM135" s="118"/>
      <c r="AN135" s="118"/>
      <c r="AO135" s="118"/>
      <c r="AP135" s="118"/>
      <c r="AQ135" s="118"/>
      <c r="AR135" s="118"/>
      <c r="AS135" s="118"/>
      <c r="AT135" s="118"/>
      <c r="AU135" s="118"/>
      <c r="AV135" s="118"/>
      <c r="AW135" s="118"/>
      <c r="AX135" s="118"/>
      <c r="AY135" s="118"/>
      <c r="AZ135" s="118"/>
      <c r="BA135" s="118"/>
      <c r="BB135" s="118"/>
      <c r="BC135" s="118"/>
      <c r="BD135" s="118"/>
      <c r="BE135" s="118"/>
      <c r="BF135" s="118"/>
      <c r="BG135" s="118"/>
      <c r="BH135" s="118"/>
      <c r="BI135" s="118"/>
      <c r="BJ135" s="118"/>
      <c r="BK135" s="118"/>
      <c r="BL135" s="118"/>
      <c r="BM135" s="118"/>
      <c r="BN135" s="118"/>
      <c r="BO135" s="118"/>
      <c r="BP135" s="118"/>
      <c r="BQ135" s="118"/>
      <c r="BR135" s="118"/>
      <c r="BS135" s="118"/>
      <c r="BT135" s="118"/>
      <c r="BU135" s="118"/>
      <c r="BV135" s="118"/>
      <c r="BW135" s="118"/>
      <c r="BX135" s="118"/>
      <c r="BY135" s="118"/>
      <c r="BZ135" s="118"/>
      <c r="CA135" s="118"/>
      <c r="CB135" s="118"/>
      <c r="CC135" s="118"/>
      <c r="CD135" s="118"/>
      <c r="CE135" s="118"/>
      <c r="CF135" s="118"/>
      <c r="CG135" s="118"/>
      <c r="CH135" s="118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/>
      <c r="DL135"/>
      <c r="DM135"/>
      <c r="DN135"/>
      <c r="DO135"/>
      <c r="DP135"/>
    </row>
    <row r="136" spans="2:120" s="109" customFormat="1" ht="14.25">
      <c r="B136" s="301"/>
      <c r="C136" s="301"/>
      <c r="D136" s="118"/>
      <c r="E136" s="118"/>
      <c r="F136" s="118"/>
      <c r="G136" s="118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18"/>
      <c r="U136" s="118"/>
      <c r="V136" s="118"/>
      <c r="W136" s="118"/>
      <c r="X136" s="118"/>
      <c r="Y136" s="118"/>
      <c r="Z136" s="118"/>
      <c r="AA136" s="118"/>
      <c r="AB136" s="118"/>
      <c r="AC136" s="118"/>
      <c r="AD136" s="118"/>
      <c r="AE136" s="118"/>
      <c r="AF136" s="118"/>
      <c r="AG136" s="118"/>
      <c r="AH136" s="118"/>
      <c r="AI136" s="118"/>
      <c r="AJ136" s="118"/>
      <c r="AK136" s="118"/>
      <c r="AL136" s="118"/>
      <c r="AM136" s="118"/>
      <c r="AN136" s="118"/>
      <c r="AO136" s="118"/>
      <c r="AP136" s="118"/>
      <c r="AQ136" s="118"/>
      <c r="AR136" s="118"/>
      <c r="AS136" s="118"/>
      <c r="AT136" s="118"/>
      <c r="AU136" s="118"/>
      <c r="AV136" s="118"/>
      <c r="AW136" s="118"/>
      <c r="AX136" s="118"/>
      <c r="AY136" s="118"/>
      <c r="AZ136" s="118"/>
      <c r="BA136" s="118"/>
      <c r="BB136" s="118"/>
      <c r="BC136" s="118"/>
      <c r="BD136" s="118"/>
      <c r="BE136" s="118"/>
      <c r="BF136" s="118"/>
      <c r="BG136" s="118"/>
      <c r="BH136" s="118"/>
      <c r="BI136" s="118"/>
      <c r="BJ136" s="118"/>
      <c r="BK136" s="118"/>
      <c r="BL136" s="118"/>
      <c r="BM136" s="118"/>
      <c r="BN136" s="118"/>
      <c r="BO136" s="118"/>
      <c r="BP136" s="118"/>
      <c r="BQ136" s="118"/>
      <c r="BR136" s="118"/>
      <c r="BS136" s="118"/>
      <c r="BT136" s="118"/>
      <c r="BU136" s="118"/>
      <c r="BV136" s="118"/>
      <c r="BW136" s="118"/>
      <c r="BX136" s="118"/>
      <c r="BY136" s="118"/>
      <c r="BZ136" s="118"/>
      <c r="CA136" s="118"/>
      <c r="CB136" s="118"/>
      <c r="CC136" s="118"/>
      <c r="CD136" s="118"/>
      <c r="CE136" s="118"/>
      <c r="CF136" s="118"/>
      <c r="CG136" s="118"/>
      <c r="CH136" s="118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/>
      <c r="DL136"/>
      <c r="DM136"/>
      <c r="DN136"/>
      <c r="DO136"/>
      <c r="DP136"/>
    </row>
    <row r="137" spans="2:120" s="109" customFormat="1" ht="14.25">
      <c r="B137" s="301"/>
      <c r="C137" s="301"/>
      <c r="D137" s="118"/>
      <c r="E137" s="118"/>
      <c r="F137" s="118"/>
      <c r="G137" s="118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8"/>
      <c r="T137" s="118"/>
      <c r="U137" s="118"/>
      <c r="V137" s="118"/>
      <c r="W137" s="118"/>
      <c r="X137" s="118"/>
      <c r="Y137" s="118"/>
      <c r="Z137" s="118"/>
      <c r="AA137" s="118"/>
      <c r="AB137" s="118"/>
      <c r="AC137" s="118"/>
      <c r="AD137" s="118"/>
      <c r="AE137" s="118"/>
      <c r="AF137" s="118"/>
      <c r="AG137" s="118"/>
      <c r="AH137" s="118"/>
      <c r="AI137" s="118"/>
      <c r="AJ137" s="118"/>
      <c r="AK137" s="118"/>
      <c r="AL137" s="118"/>
      <c r="AM137" s="118"/>
      <c r="AN137" s="118"/>
      <c r="AO137" s="118"/>
      <c r="AP137" s="118"/>
      <c r="AQ137" s="118"/>
      <c r="AR137" s="118"/>
      <c r="AS137" s="118"/>
      <c r="AT137" s="118"/>
      <c r="AU137" s="118"/>
      <c r="AV137" s="118"/>
      <c r="AW137" s="118"/>
      <c r="AX137" s="118"/>
      <c r="AY137" s="118"/>
      <c r="AZ137" s="118"/>
      <c r="BA137" s="118"/>
      <c r="BB137" s="118"/>
      <c r="BC137" s="118"/>
      <c r="BD137" s="118"/>
      <c r="BE137" s="118"/>
      <c r="BF137" s="118"/>
      <c r="BG137" s="118"/>
      <c r="BH137" s="118"/>
      <c r="BI137" s="118"/>
      <c r="BJ137" s="118"/>
      <c r="BK137" s="118"/>
      <c r="BL137" s="118"/>
      <c r="BM137" s="118"/>
      <c r="BN137" s="118"/>
      <c r="BO137" s="118"/>
      <c r="BP137" s="118"/>
      <c r="BQ137" s="118"/>
      <c r="BR137" s="118"/>
      <c r="BS137" s="118"/>
      <c r="BT137" s="118"/>
      <c r="BU137" s="118"/>
      <c r="BV137" s="118"/>
      <c r="BW137" s="118"/>
      <c r="BX137" s="118"/>
      <c r="BY137" s="118"/>
      <c r="BZ137" s="118"/>
      <c r="CA137" s="118"/>
      <c r="CB137" s="118"/>
      <c r="CC137" s="118"/>
      <c r="CD137" s="118"/>
      <c r="CE137" s="118"/>
      <c r="CF137" s="118"/>
      <c r="CG137" s="118"/>
      <c r="CH137" s="118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/>
      <c r="DL137"/>
      <c r="DM137"/>
      <c r="DN137"/>
      <c r="DO137"/>
      <c r="DP137"/>
    </row>
    <row r="138" spans="2:120" s="109" customFormat="1" ht="14.25">
      <c r="B138" s="301"/>
      <c r="C138" s="301"/>
      <c r="D138" s="118"/>
      <c r="E138" s="118"/>
      <c r="F138" s="118"/>
      <c r="G138" s="118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18"/>
      <c r="AC138" s="118"/>
      <c r="AD138" s="118"/>
      <c r="AE138" s="118"/>
      <c r="AF138" s="118"/>
      <c r="AG138" s="118"/>
      <c r="AH138" s="118"/>
      <c r="AI138" s="118"/>
      <c r="AJ138" s="118"/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  <c r="AV138" s="118"/>
      <c r="AW138" s="118"/>
      <c r="AX138" s="118"/>
      <c r="AY138" s="118"/>
      <c r="AZ138" s="118"/>
      <c r="BA138" s="118"/>
      <c r="BB138" s="118"/>
      <c r="BC138" s="118"/>
      <c r="BD138" s="118"/>
      <c r="BE138" s="118"/>
      <c r="BF138" s="118"/>
      <c r="BG138" s="118"/>
      <c r="BH138" s="118"/>
      <c r="BI138" s="118"/>
      <c r="BJ138" s="118"/>
      <c r="BK138" s="118"/>
      <c r="BL138" s="118"/>
      <c r="BM138" s="118"/>
      <c r="BN138" s="118"/>
      <c r="BO138" s="118"/>
      <c r="BP138" s="118"/>
      <c r="BQ138" s="118"/>
      <c r="BR138" s="118"/>
      <c r="BS138" s="118"/>
      <c r="BT138" s="118"/>
      <c r="BU138" s="118"/>
      <c r="BV138" s="118"/>
      <c r="BW138" s="118"/>
      <c r="BX138" s="118"/>
      <c r="BY138" s="118"/>
      <c r="BZ138" s="118"/>
      <c r="CA138" s="118"/>
      <c r="CB138" s="118"/>
      <c r="CC138" s="118"/>
      <c r="CD138" s="118"/>
      <c r="CE138" s="118"/>
      <c r="CF138" s="118"/>
      <c r="CG138" s="118"/>
      <c r="CH138" s="118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/>
      <c r="DL138"/>
      <c r="DM138"/>
      <c r="DN138"/>
      <c r="DO138"/>
      <c r="DP138"/>
    </row>
    <row r="139" spans="2:120" s="109" customFormat="1" ht="14.25">
      <c r="B139" s="301"/>
      <c r="C139" s="301"/>
      <c r="D139" s="118"/>
      <c r="E139" s="118"/>
      <c r="F139" s="118"/>
      <c r="G139" s="118"/>
      <c r="H139" s="118"/>
      <c r="I139" s="118"/>
      <c r="J139" s="118"/>
      <c r="K139" s="118"/>
      <c r="L139" s="118"/>
      <c r="M139" s="118"/>
      <c r="N139" s="118"/>
      <c r="O139" s="118"/>
      <c r="P139" s="118"/>
      <c r="Q139" s="118"/>
      <c r="R139" s="118"/>
      <c r="S139" s="118"/>
      <c r="T139" s="118"/>
      <c r="U139" s="118"/>
      <c r="V139" s="118"/>
      <c r="W139" s="118"/>
      <c r="X139" s="118"/>
      <c r="Y139" s="118"/>
      <c r="Z139" s="118"/>
      <c r="AA139" s="118"/>
      <c r="AB139" s="118"/>
      <c r="AC139" s="118"/>
      <c r="AD139" s="118"/>
      <c r="AE139" s="118"/>
      <c r="AF139" s="118"/>
      <c r="AG139" s="118"/>
      <c r="AH139" s="118"/>
      <c r="AI139" s="118"/>
      <c r="AJ139" s="118"/>
      <c r="AK139" s="118"/>
      <c r="AL139" s="118"/>
      <c r="AM139" s="118"/>
      <c r="AN139" s="118"/>
      <c r="AO139" s="118"/>
      <c r="AP139" s="118"/>
      <c r="AQ139" s="118"/>
      <c r="AR139" s="118"/>
      <c r="AS139" s="118"/>
      <c r="AT139" s="118"/>
      <c r="AU139" s="118"/>
      <c r="AV139" s="118"/>
      <c r="AW139" s="118"/>
      <c r="AX139" s="118"/>
      <c r="AY139" s="118"/>
      <c r="AZ139" s="118"/>
      <c r="BA139" s="118"/>
      <c r="BB139" s="118"/>
      <c r="BC139" s="118"/>
      <c r="BD139" s="118"/>
      <c r="BE139" s="118"/>
      <c r="BF139" s="118"/>
      <c r="BG139" s="118"/>
      <c r="BH139" s="118"/>
      <c r="BI139" s="118"/>
      <c r="BJ139" s="118"/>
      <c r="BK139" s="118"/>
      <c r="BL139" s="118"/>
      <c r="BM139" s="118"/>
      <c r="BN139" s="118"/>
      <c r="BO139" s="118"/>
      <c r="BP139" s="118"/>
      <c r="BQ139" s="118"/>
      <c r="BR139" s="118"/>
      <c r="BS139" s="118"/>
      <c r="BT139" s="118"/>
      <c r="BU139" s="118"/>
      <c r="BV139" s="118"/>
      <c r="BW139" s="118"/>
      <c r="BX139" s="118"/>
      <c r="BY139" s="118"/>
      <c r="BZ139" s="118"/>
      <c r="CA139" s="118"/>
      <c r="CB139" s="118"/>
      <c r="CC139" s="118"/>
      <c r="CD139" s="118"/>
      <c r="CE139" s="118"/>
      <c r="CF139" s="118"/>
      <c r="CG139" s="118"/>
      <c r="CH139" s="118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/>
      <c r="DL139"/>
      <c r="DM139"/>
      <c r="DN139"/>
      <c r="DO139"/>
      <c r="DP139"/>
    </row>
    <row r="140" spans="2:120" s="109" customFormat="1" ht="14.25">
      <c r="B140" s="301"/>
      <c r="C140" s="301"/>
      <c r="D140" s="118"/>
      <c r="E140" s="118"/>
      <c r="F140" s="118"/>
      <c r="G140" s="118"/>
      <c r="H140" s="118"/>
      <c r="I140" s="118"/>
      <c r="J140" s="118"/>
      <c r="K140" s="118"/>
      <c r="L140" s="118"/>
      <c r="M140" s="118"/>
      <c r="N140" s="118"/>
      <c r="O140" s="118"/>
      <c r="P140" s="118"/>
      <c r="Q140" s="118"/>
      <c r="R140" s="118"/>
      <c r="S140" s="118"/>
      <c r="T140" s="118"/>
      <c r="U140" s="118"/>
      <c r="V140" s="118"/>
      <c r="W140" s="118"/>
      <c r="X140" s="118"/>
      <c r="Y140" s="118"/>
      <c r="Z140" s="118"/>
      <c r="AA140" s="118"/>
      <c r="AB140" s="118"/>
      <c r="AC140" s="118"/>
      <c r="AD140" s="118"/>
      <c r="AE140" s="118"/>
      <c r="AF140" s="118"/>
      <c r="AG140" s="118"/>
      <c r="AH140" s="118"/>
      <c r="AI140" s="118"/>
      <c r="AJ140" s="118"/>
      <c r="AK140" s="118"/>
      <c r="AL140" s="118"/>
      <c r="AM140" s="118"/>
      <c r="AN140" s="118"/>
      <c r="AO140" s="118"/>
      <c r="AP140" s="118"/>
      <c r="AQ140" s="118"/>
      <c r="AR140" s="118"/>
      <c r="AS140" s="118"/>
      <c r="AT140" s="118"/>
      <c r="AU140" s="118"/>
      <c r="AV140" s="118"/>
      <c r="AW140" s="118"/>
      <c r="AX140" s="118"/>
      <c r="AY140" s="118"/>
      <c r="AZ140" s="118"/>
      <c r="BA140" s="118"/>
      <c r="BB140" s="118"/>
      <c r="BC140" s="118"/>
      <c r="BD140" s="118"/>
      <c r="BE140" s="118"/>
      <c r="BF140" s="118"/>
      <c r="BG140" s="118"/>
      <c r="BH140" s="118"/>
      <c r="BI140" s="118"/>
      <c r="BJ140" s="118"/>
      <c r="BK140" s="118"/>
      <c r="BL140" s="118"/>
      <c r="BM140" s="118"/>
      <c r="BN140" s="118"/>
      <c r="BO140" s="118"/>
      <c r="BP140" s="118"/>
      <c r="BQ140" s="118"/>
      <c r="BR140" s="118"/>
      <c r="BS140" s="118"/>
      <c r="BT140" s="118"/>
      <c r="BU140" s="118"/>
      <c r="BV140" s="118"/>
      <c r="BW140" s="118"/>
      <c r="BX140" s="118"/>
      <c r="BY140" s="118"/>
      <c r="BZ140" s="118"/>
      <c r="CA140" s="118"/>
      <c r="CB140" s="118"/>
      <c r="CC140" s="118"/>
      <c r="CD140" s="118"/>
      <c r="CE140" s="118"/>
      <c r="CF140" s="118"/>
      <c r="CG140" s="118"/>
      <c r="CH140" s="118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/>
      <c r="DL140"/>
      <c r="DM140"/>
      <c r="DN140"/>
      <c r="DO140"/>
      <c r="DP140"/>
    </row>
    <row r="141" spans="2:120" s="109" customFormat="1" ht="14.25">
      <c r="B141" s="301"/>
      <c r="C141" s="301"/>
      <c r="D141" s="118"/>
      <c r="E141" s="118"/>
      <c r="F141" s="118"/>
      <c r="G141" s="118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  <c r="AV141" s="118"/>
      <c r="AW141" s="118"/>
      <c r="AX141" s="118"/>
      <c r="AY141" s="118"/>
      <c r="AZ141" s="118"/>
      <c r="BA141" s="118"/>
      <c r="BB141" s="118"/>
      <c r="BC141" s="118"/>
      <c r="BD141" s="118"/>
      <c r="BE141" s="118"/>
      <c r="BF141" s="118"/>
      <c r="BG141" s="118"/>
      <c r="BH141" s="118"/>
      <c r="BI141" s="118"/>
      <c r="BJ141" s="118"/>
      <c r="BK141" s="118"/>
      <c r="BL141" s="118"/>
      <c r="BM141" s="118"/>
      <c r="BN141" s="118"/>
      <c r="BO141" s="118"/>
      <c r="BP141" s="118"/>
      <c r="BQ141" s="118"/>
      <c r="BR141" s="118"/>
      <c r="BS141" s="118"/>
      <c r="BT141" s="118"/>
      <c r="BU141" s="118"/>
      <c r="BV141" s="118"/>
      <c r="BW141" s="118"/>
      <c r="BX141" s="118"/>
      <c r="BY141" s="118"/>
      <c r="BZ141" s="118"/>
      <c r="CA141" s="118"/>
      <c r="CB141" s="118"/>
      <c r="CC141" s="118"/>
      <c r="CD141" s="118"/>
      <c r="CE141" s="118"/>
      <c r="CF141" s="118"/>
      <c r="CG141" s="118"/>
      <c r="CH141" s="118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/>
      <c r="DL141"/>
      <c r="DM141"/>
      <c r="DN141"/>
      <c r="DO141"/>
      <c r="DP141"/>
    </row>
    <row r="142" spans="2:120" s="109" customFormat="1" ht="14.25">
      <c r="B142" s="301"/>
      <c r="C142" s="301"/>
      <c r="D142" s="118"/>
      <c r="E142" s="118"/>
      <c r="F142" s="118"/>
      <c r="G142" s="118"/>
      <c r="H142" s="118"/>
      <c r="I142" s="118"/>
      <c r="J142" s="118"/>
      <c r="K142" s="118"/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8"/>
      <c r="AA142" s="118"/>
      <c r="AB142" s="118"/>
      <c r="AC142" s="118"/>
      <c r="AD142" s="118"/>
      <c r="AE142" s="118"/>
      <c r="AF142" s="118"/>
      <c r="AG142" s="118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8"/>
      <c r="AS142" s="118"/>
      <c r="AT142" s="118"/>
      <c r="AU142" s="118"/>
      <c r="AV142" s="118"/>
      <c r="AW142" s="118"/>
      <c r="AX142" s="118"/>
      <c r="AY142" s="118"/>
      <c r="AZ142" s="118"/>
      <c r="BA142" s="118"/>
      <c r="BB142" s="118"/>
      <c r="BC142" s="118"/>
      <c r="BD142" s="118"/>
      <c r="BE142" s="118"/>
      <c r="BF142" s="118"/>
      <c r="BG142" s="118"/>
      <c r="BH142" s="118"/>
      <c r="BI142" s="118"/>
      <c r="BJ142" s="118"/>
      <c r="BK142" s="118"/>
      <c r="BL142" s="118"/>
      <c r="BM142" s="118"/>
      <c r="BN142" s="118"/>
      <c r="BO142" s="118"/>
      <c r="BP142" s="118"/>
      <c r="BQ142" s="118"/>
      <c r="BR142" s="118"/>
      <c r="BS142" s="118"/>
      <c r="BT142" s="118"/>
      <c r="BU142" s="118"/>
      <c r="BV142" s="118"/>
      <c r="BW142" s="118"/>
      <c r="BX142" s="118"/>
      <c r="BY142" s="118"/>
      <c r="BZ142" s="118"/>
      <c r="CA142" s="118"/>
      <c r="CB142" s="118"/>
      <c r="CC142" s="118"/>
      <c r="CD142" s="118"/>
      <c r="CE142" s="118"/>
      <c r="CF142" s="118"/>
      <c r="CG142" s="118"/>
      <c r="CH142" s="118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/>
      <c r="DL142"/>
      <c r="DM142"/>
      <c r="DN142"/>
      <c r="DO142"/>
      <c r="DP142"/>
    </row>
    <row r="143" spans="2:120" s="109" customFormat="1" ht="14.25">
      <c r="B143" s="301"/>
      <c r="C143" s="301"/>
      <c r="D143" s="118"/>
      <c r="E143" s="118"/>
      <c r="F143" s="118"/>
      <c r="G143" s="118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18"/>
      <c r="AC143" s="118"/>
      <c r="AD143" s="118"/>
      <c r="AE143" s="118"/>
      <c r="AF143" s="118"/>
      <c r="AG143" s="118"/>
      <c r="AH143" s="118"/>
      <c r="AI143" s="118"/>
      <c r="AJ143" s="118"/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  <c r="AV143" s="118"/>
      <c r="AW143" s="118"/>
      <c r="AX143" s="118"/>
      <c r="AY143" s="118"/>
      <c r="AZ143" s="118"/>
      <c r="BA143" s="118"/>
      <c r="BB143" s="118"/>
      <c r="BC143" s="118"/>
      <c r="BD143" s="118"/>
      <c r="BE143" s="118"/>
      <c r="BF143" s="118"/>
      <c r="BG143" s="118"/>
      <c r="BH143" s="118"/>
      <c r="BI143" s="118"/>
      <c r="BJ143" s="118"/>
      <c r="BK143" s="118"/>
      <c r="BL143" s="118"/>
      <c r="BM143" s="118"/>
      <c r="BN143" s="118"/>
      <c r="BO143" s="118"/>
      <c r="BP143" s="118"/>
      <c r="BQ143" s="118"/>
      <c r="BR143" s="118"/>
      <c r="BS143" s="118"/>
      <c r="BT143" s="118"/>
      <c r="BU143" s="118"/>
      <c r="BV143" s="118"/>
      <c r="BW143" s="118"/>
      <c r="BX143" s="118"/>
      <c r="BY143" s="118"/>
      <c r="BZ143" s="118"/>
      <c r="CA143" s="118"/>
      <c r="CB143" s="118"/>
      <c r="CC143" s="118"/>
      <c r="CD143" s="118"/>
      <c r="CE143" s="118"/>
      <c r="CF143" s="118"/>
      <c r="CG143" s="118"/>
      <c r="CH143" s="118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/>
      <c r="DL143"/>
      <c r="DM143"/>
      <c r="DN143"/>
      <c r="DO143"/>
      <c r="DP143"/>
    </row>
    <row r="144" spans="2:120" s="109" customFormat="1" ht="14.25">
      <c r="B144" s="301"/>
      <c r="C144" s="301"/>
      <c r="D144" s="118"/>
      <c r="E144" s="118"/>
      <c r="F144" s="118"/>
      <c r="G144" s="118"/>
      <c r="H144" s="118"/>
      <c r="I144" s="118"/>
      <c r="J144" s="118"/>
      <c r="K144" s="118"/>
      <c r="L144" s="118"/>
      <c r="M144" s="118"/>
      <c r="N144" s="118"/>
      <c r="O144" s="118"/>
      <c r="P144" s="118"/>
      <c r="Q144" s="118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/>
      <c r="AC144" s="118"/>
      <c r="AD144" s="118"/>
      <c r="AE144" s="118"/>
      <c r="AF144" s="118"/>
      <c r="AG144" s="118"/>
      <c r="AH144" s="118"/>
      <c r="AI144" s="118"/>
      <c r="AJ144" s="118"/>
      <c r="AK144" s="118"/>
      <c r="AL144" s="118"/>
      <c r="AM144" s="118"/>
      <c r="AN144" s="118"/>
      <c r="AO144" s="118"/>
      <c r="AP144" s="118"/>
      <c r="AQ144" s="118"/>
      <c r="AR144" s="118"/>
      <c r="AS144" s="118"/>
      <c r="AT144" s="118"/>
      <c r="AU144" s="118"/>
      <c r="AV144" s="118"/>
      <c r="AW144" s="118"/>
      <c r="AX144" s="118"/>
      <c r="AY144" s="118"/>
      <c r="AZ144" s="118"/>
      <c r="BA144" s="118"/>
      <c r="BB144" s="118"/>
      <c r="BC144" s="118"/>
      <c r="BD144" s="118"/>
      <c r="BE144" s="118"/>
      <c r="BF144" s="118"/>
      <c r="BG144" s="118"/>
      <c r="BH144" s="118"/>
      <c r="BI144" s="118"/>
      <c r="BJ144" s="118"/>
      <c r="BK144" s="118"/>
      <c r="BL144" s="118"/>
      <c r="BM144" s="118"/>
      <c r="BN144" s="118"/>
      <c r="BO144" s="118"/>
      <c r="BP144" s="118"/>
      <c r="BQ144" s="118"/>
      <c r="BR144" s="118"/>
      <c r="BS144" s="118"/>
      <c r="BT144" s="118"/>
      <c r="BU144" s="118"/>
      <c r="BV144" s="118"/>
      <c r="BW144" s="118"/>
      <c r="BX144" s="118"/>
      <c r="BY144" s="118"/>
      <c r="BZ144" s="118"/>
      <c r="CA144" s="118"/>
      <c r="CB144" s="118"/>
      <c r="CC144" s="118"/>
      <c r="CD144" s="118"/>
      <c r="CE144" s="118"/>
      <c r="CF144" s="118"/>
      <c r="CG144" s="118"/>
      <c r="CH144" s="118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/>
      <c r="DL144"/>
      <c r="DM144"/>
      <c r="DN144"/>
      <c r="DO144"/>
      <c r="DP144"/>
    </row>
    <row r="145" spans="2:120" s="109" customFormat="1" ht="14.25">
      <c r="B145" s="301"/>
      <c r="C145" s="301"/>
      <c r="D145" s="118"/>
      <c r="E145" s="118"/>
      <c r="F145" s="118"/>
      <c r="G145" s="118"/>
      <c r="H145" s="118"/>
      <c r="I145" s="118"/>
      <c r="J145" s="118"/>
      <c r="K145" s="118"/>
      <c r="L145" s="118"/>
      <c r="M145" s="118"/>
      <c r="N145" s="118"/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118"/>
      <c r="AR145" s="118"/>
      <c r="AS145" s="118"/>
      <c r="AT145" s="118"/>
      <c r="AU145" s="118"/>
      <c r="AV145" s="118"/>
      <c r="AW145" s="118"/>
      <c r="AX145" s="118"/>
      <c r="AY145" s="118"/>
      <c r="AZ145" s="118"/>
      <c r="BA145" s="118"/>
      <c r="BB145" s="118"/>
      <c r="BC145" s="118"/>
      <c r="BD145" s="118"/>
      <c r="BE145" s="118"/>
      <c r="BF145" s="118"/>
      <c r="BG145" s="118"/>
      <c r="BH145" s="118"/>
      <c r="BI145" s="118"/>
      <c r="BJ145" s="118"/>
      <c r="BK145" s="118"/>
      <c r="BL145" s="118"/>
      <c r="BM145" s="118"/>
      <c r="BN145" s="118"/>
      <c r="BO145" s="118"/>
      <c r="BP145" s="118"/>
      <c r="BQ145" s="118"/>
      <c r="BR145" s="118"/>
      <c r="BS145" s="118"/>
      <c r="BT145" s="118"/>
      <c r="BU145" s="118"/>
      <c r="BV145" s="118"/>
      <c r="BW145" s="118"/>
      <c r="BX145" s="118"/>
      <c r="BY145" s="118"/>
      <c r="BZ145" s="118"/>
      <c r="CA145" s="118"/>
      <c r="CB145" s="118"/>
      <c r="CC145" s="118"/>
      <c r="CD145" s="118"/>
      <c r="CE145" s="118"/>
      <c r="CF145" s="118"/>
      <c r="CG145" s="118"/>
      <c r="CH145" s="118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/>
      <c r="DL145"/>
      <c r="DM145"/>
      <c r="DN145"/>
      <c r="DO145"/>
      <c r="DP145"/>
    </row>
    <row r="146" spans="2:120" s="109" customFormat="1" ht="14.25">
      <c r="B146" s="301"/>
      <c r="C146" s="301"/>
      <c r="D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118"/>
      <c r="AI146" s="118"/>
      <c r="AJ146" s="118"/>
      <c r="AK146" s="118"/>
      <c r="AL146" s="118"/>
      <c r="AM146" s="118"/>
      <c r="AN146" s="118"/>
      <c r="AO146" s="118"/>
      <c r="AP146" s="118"/>
      <c r="AQ146" s="118"/>
      <c r="AR146" s="118"/>
      <c r="AS146" s="118"/>
      <c r="AT146" s="118"/>
      <c r="AU146" s="118"/>
      <c r="AV146" s="118"/>
      <c r="AW146" s="118"/>
      <c r="AX146" s="118"/>
      <c r="AY146" s="118"/>
      <c r="AZ146" s="118"/>
      <c r="BA146" s="118"/>
      <c r="BB146" s="118"/>
      <c r="BC146" s="118"/>
      <c r="BD146" s="118"/>
      <c r="BE146" s="118"/>
      <c r="BF146" s="118"/>
      <c r="BG146" s="118"/>
      <c r="BH146" s="118"/>
      <c r="BI146" s="118"/>
      <c r="BJ146" s="118"/>
      <c r="BK146" s="118"/>
      <c r="BL146" s="118"/>
      <c r="BM146" s="118"/>
      <c r="BN146" s="118"/>
      <c r="BO146" s="118"/>
      <c r="BP146" s="118"/>
      <c r="BQ146" s="118"/>
      <c r="BR146" s="118"/>
      <c r="BS146" s="118"/>
      <c r="BT146" s="118"/>
      <c r="BU146" s="118"/>
      <c r="BV146" s="118"/>
      <c r="BW146" s="118"/>
      <c r="BX146" s="118"/>
      <c r="BY146" s="118"/>
      <c r="BZ146" s="118"/>
      <c r="CA146" s="118"/>
      <c r="CB146" s="118"/>
      <c r="CC146" s="118"/>
      <c r="CD146" s="118"/>
      <c r="CE146" s="118"/>
      <c r="CF146" s="118"/>
      <c r="CG146" s="118"/>
      <c r="CH146" s="118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/>
      <c r="DL146"/>
      <c r="DM146"/>
      <c r="DN146"/>
      <c r="DO146"/>
      <c r="DP146"/>
    </row>
    <row r="147" spans="2:120" s="109" customFormat="1" ht="14.25">
      <c r="B147" s="301"/>
      <c r="C147" s="301"/>
      <c r="D147" s="118"/>
      <c r="E147" s="118"/>
      <c r="F147" s="118"/>
      <c r="G147" s="118"/>
      <c r="H147" s="118"/>
      <c r="I147" s="118"/>
      <c r="J147" s="118"/>
      <c r="K147" s="118"/>
      <c r="L147" s="118"/>
      <c r="M147" s="118"/>
      <c r="N147" s="118"/>
      <c r="O147" s="118"/>
      <c r="P147" s="118"/>
      <c r="Q147" s="118"/>
      <c r="R147" s="118"/>
      <c r="S147" s="118"/>
      <c r="T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118"/>
      <c r="AI147" s="118"/>
      <c r="AJ147" s="118"/>
      <c r="AK147" s="118"/>
      <c r="AL147" s="118"/>
      <c r="AM147" s="118"/>
      <c r="AN147" s="118"/>
      <c r="AO147" s="118"/>
      <c r="AP147" s="118"/>
      <c r="AQ147" s="118"/>
      <c r="AR147" s="118"/>
      <c r="AS147" s="118"/>
      <c r="AT147" s="118"/>
      <c r="AU147" s="118"/>
      <c r="AV147" s="118"/>
      <c r="AW147" s="118"/>
      <c r="AX147" s="118"/>
      <c r="AY147" s="118"/>
      <c r="AZ147" s="118"/>
      <c r="BA147" s="118"/>
      <c r="BB147" s="118"/>
      <c r="BC147" s="118"/>
      <c r="BD147" s="118"/>
      <c r="BE147" s="118"/>
      <c r="BF147" s="118"/>
      <c r="BG147" s="118"/>
      <c r="BH147" s="118"/>
      <c r="BI147" s="118"/>
      <c r="BJ147" s="118"/>
      <c r="BK147" s="118"/>
      <c r="BL147" s="118"/>
      <c r="BM147" s="118"/>
      <c r="BN147" s="118"/>
      <c r="BO147" s="118"/>
      <c r="BP147" s="118"/>
      <c r="BQ147" s="118"/>
      <c r="BR147" s="118"/>
      <c r="BS147" s="118"/>
      <c r="BT147" s="118"/>
      <c r="BU147" s="118"/>
      <c r="BV147" s="118"/>
      <c r="BW147" s="118"/>
      <c r="BX147" s="118"/>
      <c r="BY147" s="118"/>
      <c r="BZ147" s="118"/>
      <c r="CA147" s="118"/>
      <c r="CB147" s="118"/>
      <c r="CC147" s="118"/>
      <c r="CD147" s="118"/>
      <c r="CE147" s="118"/>
      <c r="CF147" s="118"/>
      <c r="CG147" s="118"/>
      <c r="CH147" s="118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/>
      <c r="DL147"/>
      <c r="DM147"/>
      <c r="DN147"/>
      <c r="DO147"/>
      <c r="DP147"/>
    </row>
    <row r="148" spans="2:120" s="109" customFormat="1" ht="14.25">
      <c r="B148" s="301"/>
      <c r="C148" s="301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8"/>
      <c r="P148" s="118"/>
      <c r="Q148" s="118"/>
      <c r="R148" s="118"/>
      <c r="S148" s="118"/>
      <c r="T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118"/>
      <c r="AI148" s="118"/>
      <c r="AJ148" s="118"/>
      <c r="AK148" s="118"/>
      <c r="AL148" s="118"/>
      <c r="AM148" s="118"/>
      <c r="AN148" s="118"/>
      <c r="AO148" s="118"/>
      <c r="AP148" s="118"/>
      <c r="AQ148" s="118"/>
      <c r="AR148" s="118"/>
      <c r="AS148" s="118"/>
      <c r="AT148" s="118"/>
      <c r="AU148" s="118"/>
      <c r="AV148" s="118"/>
      <c r="AW148" s="118"/>
      <c r="AX148" s="118"/>
      <c r="AY148" s="118"/>
      <c r="AZ148" s="118"/>
      <c r="BA148" s="118"/>
      <c r="BB148" s="118"/>
      <c r="BC148" s="118"/>
      <c r="BD148" s="118"/>
      <c r="BE148" s="118"/>
      <c r="BF148" s="118"/>
      <c r="BG148" s="118"/>
      <c r="BH148" s="118"/>
      <c r="BI148" s="118"/>
      <c r="BJ148" s="118"/>
      <c r="BK148" s="118"/>
      <c r="BL148" s="118"/>
      <c r="BM148" s="118"/>
      <c r="BN148" s="118"/>
      <c r="BO148" s="118"/>
      <c r="BP148" s="118"/>
      <c r="BQ148" s="118"/>
      <c r="BR148" s="118"/>
      <c r="BS148" s="118"/>
      <c r="BT148" s="118"/>
      <c r="BU148" s="118"/>
      <c r="BV148" s="118"/>
      <c r="BW148" s="118"/>
      <c r="BX148" s="118"/>
      <c r="BY148" s="118"/>
      <c r="BZ148" s="118"/>
      <c r="CA148" s="118"/>
      <c r="CB148" s="118"/>
      <c r="CC148" s="118"/>
      <c r="CD148" s="118"/>
      <c r="CE148" s="118"/>
      <c r="CF148" s="118"/>
      <c r="CG148" s="118"/>
      <c r="CH148" s="118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/>
      <c r="DL148"/>
      <c r="DM148"/>
      <c r="DN148"/>
      <c r="DO148"/>
      <c r="DP148"/>
    </row>
    <row r="149" spans="2:120" s="109" customFormat="1" ht="14.25">
      <c r="B149" s="301"/>
      <c r="C149" s="301"/>
      <c r="D149" s="118"/>
      <c r="E149" s="118"/>
      <c r="F149" s="118"/>
      <c r="G149" s="118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118"/>
      <c r="AI149" s="118"/>
      <c r="AJ149" s="118"/>
      <c r="AK149" s="118"/>
      <c r="AL149" s="118"/>
      <c r="AM149" s="118"/>
      <c r="AN149" s="118"/>
      <c r="AO149" s="118"/>
      <c r="AP149" s="118"/>
      <c r="AQ149" s="118"/>
      <c r="AR149" s="118"/>
      <c r="AS149" s="118"/>
      <c r="AT149" s="118"/>
      <c r="AU149" s="118"/>
      <c r="AV149" s="118"/>
      <c r="AW149" s="118"/>
      <c r="AX149" s="118"/>
      <c r="AY149" s="118"/>
      <c r="AZ149" s="118"/>
      <c r="BA149" s="118"/>
      <c r="BB149" s="118"/>
      <c r="BC149" s="118"/>
      <c r="BD149" s="118"/>
      <c r="BE149" s="118"/>
      <c r="BF149" s="118"/>
      <c r="BG149" s="118"/>
      <c r="BH149" s="118"/>
      <c r="BI149" s="118"/>
      <c r="BJ149" s="118"/>
      <c r="BK149" s="118"/>
      <c r="BL149" s="118"/>
      <c r="BM149" s="118"/>
      <c r="BN149" s="118"/>
      <c r="BO149" s="118"/>
      <c r="BP149" s="118"/>
      <c r="BQ149" s="118"/>
      <c r="BR149" s="118"/>
      <c r="BS149" s="118"/>
      <c r="BT149" s="118"/>
      <c r="BU149" s="118"/>
      <c r="BV149" s="118"/>
      <c r="BW149" s="118"/>
      <c r="BX149" s="118"/>
      <c r="BY149" s="118"/>
      <c r="BZ149" s="118"/>
      <c r="CA149" s="118"/>
      <c r="CB149" s="118"/>
      <c r="CC149" s="118"/>
      <c r="CD149" s="118"/>
      <c r="CE149" s="118"/>
      <c r="CF149" s="118"/>
      <c r="CG149" s="118"/>
      <c r="CH149" s="118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/>
      <c r="DL149"/>
      <c r="DM149"/>
      <c r="DN149"/>
      <c r="DO149"/>
      <c r="DP149"/>
    </row>
    <row r="150" spans="2:120" s="109" customFormat="1" ht="14.25">
      <c r="B150" s="301"/>
      <c r="C150" s="301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18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  <c r="AV150" s="118"/>
      <c r="AW150" s="118"/>
      <c r="AX150" s="118"/>
      <c r="AY150" s="118"/>
      <c r="AZ150" s="118"/>
      <c r="BA150" s="118"/>
      <c r="BB150" s="118"/>
      <c r="BC150" s="118"/>
      <c r="BD150" s="118"/>
      <c r="BE150" s="118"/>
      <c r="BF150" s="118"/>
      <c r="BG150" s="118"/>
      <c r="BH150" s="118"/>
      <c r="BI150" s="118"/>
      <c r="BJ150" s="118"/>
      <c r="BK150" s="118"/>
      <c r="BL150" s="118"/>
      <c r="BM150" s="118"/>
      <c r="BN150" s="118"/>
      <c r="BO150" s="118"/>
      <c r="BP150" s="118"/>
      <c r="BQ150" s="118"/>
      <c r="BR150" s="118"/>
      <c r="BS150" s="118"/>
      <c r="BT150" s="118"/>
      <c r="BU150" s="118"/>
      <c r="BV150" s="118"/>
      <c r="BW150" s="118"/>
      <c r="BX150" s="118"/>
      <c r="BY150" s="118"/>
      <c r="BZ150" s="118"/>
      <c r="CA150" s="118"/>
      <c r="CB150" s="118"/>
      <c r="CC150" s="118"/>
      <c r="CD150" s="118"/>
      <c r="CE150" s="118"/>
      <c r="CF150" s="118"/>
      <c r="CG150" s="118"/>
      <c r="CH150" s="118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/>
      <c r="DL150"/>
      <c r="DM150"/>
      <c r="DN150"/>
      <c r="DO150"/>
      <c r="DP150"/>
    </row>
    <row r="151" spans="2:120" s="109" customFormat="1" ht="14.25">
      <c r="B151" s="301"/>
      <c r="C151" s="301"/>
      <c r="D151" s="118"/>
      <c r="E151" s="118"/>
      <c r="F151" s="118"/>
      <c r="G151" s="118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18"/>
      <c r="AA151" s="118"/>
      <c r="AB151" s="118"/>
      <c r="AC151" s="118"/>
      <c r="AD151" s="118"/>
      <c r="AE151" s="118"/>
      <c r="AF151" s="118"/>
      <c r="AG151" s="118"/>
      <c r="AH151" s="118"/>
      <c r="AI151" s="118"/>
      <c r="AJ151" s="118"/>
      <c r="AK151" s="118"/>
      <c r="AL151" s="118"/>
      <c r="AM151" s="118"/>
      <c r="AN151" s="118"/>
      <c r="AO151" s="118"/>
      <c r="AP151" s="118"/>
      <c r="AQ151" s="118"/>
      <c r="AR151" s="118"/>
      <c r="AS151" s="118"/>
      <c r="AT151" s="118"/>
      <c r="AU151" s="118"/>
      <c r="AV151" s="118"/>
      <c r="AW151" s="118"/>
      <c r="AX151" s="118"/>
      <c r="AY151" s="118"/>
      <c r="AZ151" s="118"/>
      <c r="BA151" s="118"/>
      <c r="BB151" s="118"/>
      <c r="BC151" s="118"/>
      <c r="BD151" s="118"/>
      <c r="BE151" s="118"/>
      <c r="BF151" s="118"/>
      <c r="BG151" s="118"/>
      <c r="BH151" s="118"/>
      <c r="BI151" s="118"/>
      <c r="BJ151" s="118"/>
      <c r="BK151" s="118"/>
      <c r="BL151" s="118"/>
      <c r="BM151" s="118"/>
      <c r="BN151" s="118"/>
      <c r="BO151" s="118"/>
      <c r="BP151" s="118"/>
      <c r="BQ151" s="118"/>
      <c r="BR151" s="118"/>
      <c r="BS151" s="118"/>
      <c r="BT151" s="118"/>
      <c r="BU151" s="118"/>
      <c r="BV151" s="118"/>
      <c r="BW151" s="118"/>
      <c r="BX151" s="118"/>
      <c r="BY151" s="118"/>
      <c r="BZ151" s="118"/>
      <c r="CA151" s="118"/>
      <c r="CB151" s="118"/>
      <c r="CC151" s="118"/>
      <c r="CD151" s="118"/>
      <c r="CE151" s="118"/>
      <c r="CF151" s="118"/>
      <c r="CG151" s="118"/>
      <c r="CH151" s="118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/>
      <c r="DL151"/>
      <c r="DM151"/>
      <c r="DN151"/>
      <c r="DO151"/>
      <c r="DP151"/>
    </row>
    <row r="152" spans="2:120" s="109" customFormat="1" ht="14.25">
      <c r="B152" s="301"/>
      <c r="C152" s="301"/>
      <c r="D152" s="118"/>
      <c r="E152" s="118"/>
      <c r="F152" s="118"/>
      <c r="G152" s="118"/>
      <c r="H152" s="118"/>
      <c r="I152" s="118"/>
      <c r="J152" s="118"/>
      <c r="K152" s="118"/>
      <c r="L152" s="118"/>
      <c r="M152" s="118"/>
      <c r="N152" s="118"/>
      <c r="O152" s="118"/>
      <c r="P152" s="118"/>
      <c r="Q152" s="118"/>
      <c r="R152" s="118"/>
      <c r="S152" s="118"/>
      <c r="T152" s="118"/>
      <c r="U152" s="118"/>
      <c r="V152" s="118"/>
      <c r="W152" s="118"/>
      <c r="X152" s="118"/>
      <c r="Y152" s="118"/>
      <c r="Z152" s="118"/>
      <c r="AA152" s="118"/>
      <c r="AB152" s="118"/>
      <c r="AC152" s="118"/>
      <c r="AD152" s="118"/>
      <c r="AE152" s="118"/>
      <c r="AF152" s="118"/>
      <c r="AG152" s="118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/>
      <c r="AV152" s="118"/>
      <c r="AW152" s="118"/>
      <c r="AX152" s="118"/>
      <c r="AY152" s="118"/>
      <c r="AZ152" s="118"/>
      <c r="BA152" s="118"/>
      <c r="BB152" s="118"/>
      <c r="BC152" s="118"/>
      <c r="BD152" s="118"/>
      <c r="BE152" s="118"/>
      <c r="BF152" s="118"/>
      <c r="BG152" s="118"/>
      <c r="BH152" s="118"/>
      <c r="BI152" s="118"/>
      <c r="BJ152" s="118"/>
      <c r="BK152" s="118"/>
      <c r="BL152" s="118"/>
      <c r="BM152" s="118"/>
      <c r="BN152" s="118"/>
      <c r="BO152" s="118"/>
      <c r="BP152" s="118"/>
      <c r="BQ152" s="118"/>
      <c r="BR152" s="118"/>
      <c r="BS152" s="118"/>
      <c r="BT152" s="118"/>
      <c r="BU152" s="118"/>
      <c r="BV152" s="118"/>
      <c r="BW152" s="118"/>
      <c r="BX152" s="118"/>
      <c r="BY152" s="118"/>
      <c r="BZ152" s="118"/>
      <c r="CA152" s="118"/>
      <c r="CB152" s="118"/>
      <c r="CC152" s="118"/>
      <c r="CD152" s="118"/>
      <c r="CE152" s="118"/>
      <c r="CF152" s="118"/>
      <c r="CG152" s="118"/>
      <c r="CH152" s="118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/>
      <c r="DL152"/>
      <c r="DM152"/>
      <c r="DN152"/>
      <c r="DO152"/>
      <c r="DP152"/>
    </row>
    <row r="153" spans="2:120" s="109" customFormat="1" ht="14.25">
      <c r="B153" s="301"/>
      <c r="C153" s="301"/>
      <c r="D153" s="118"/>
      <c r="E153" s="118"/>
      <c r="F153" s="118"/>
      <c r="G153" s="118"/>
      <c r="H153" s="118"/>
      <c r="I153" s="118"/>
      <c r="J153" s="118"/>
      <c r="K153" s="118"/>
      <c r="L153" s="118"/>
      <c r="M153" s="118"/>
      <c r="N153" s="118"/>
      <c r="O153" s="118"/>
      <c r="P153" s="118"/>
      <c r="Q153" s="118"/>
      <c r="R153" s="118"/>
      <c r="S153" s="118"/>
      <c r="T153" s="118"/>
      <c r="U153" s="118"/>
      <c r="V153" s="118"/>
      <c r="W153" s="118"/>
      <c r="X153" s="118"/>
      <c r="Y153" s="118"/>
      <c r="Z153" s="118"/>
      <c r="AA153" s="118"/>
      <c r="AB153" s="118"/>
      <c r="AC153" s="118"/>
      <c r="AD153" s="118"/>
      <c r="AE153" s="118"/>
      <c r="AF153" s="118"/>
      <c r="AG153" s="118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  <c r="AV153" s="118"/>
      <c r="AW153" s="118"/>
      <c r="AX153" s="118"/>
      <c r="AY153" s="118"/>
      <c r="AZ153" s="118"/>
      <c r="BA153" s="118"/>
      <c r="BB153" s="118"/>
      <c r="BC153" s="118"/>
      <c r="BD153" s="118"/>
      <c r="BE153" s="118"/>
      <c r="BF153" s="118"/>
      <c r="BG153" s="118"/>
      <c r="BH153" s="118"/>
      <c r="BI153" s="118"/>
      <c r="BJ153" s="118"/>
      <c r="BK153" s="118"/>
      <c r="BL153" s="118"/>
      <c r="BM153" s="118"/>
      <c r="BN153" s="118"/>
      <c r="BO153" s="118"/>
      <c r="BP153" s="118"/>
      <c r="BQ153" s="118"/>
      <c r="BR153" s="118"/>
      <c r="BS153" s="118"/>
      <c r="BT153" s="118"/>
      <c r="BU153" s="118"/>
      <c r="BV153" s="118"/>
      <c r="BW153" s="118"/>
      <c r="BX153" s="118"/>
      <c r="BY153" s="118"/>
      <c r="BZ153" s="118"/>
      <c r="CA153" s="118"/>
      <c r="CB153" s="118"/>
      <c r="CC153" s="118"/>
      <c r="CD153" s="118"/>
      <c r="CE153" s="118"/>
      <c r="CF153" s="118"/>
      <c r="CG153" s="118"/>
      <c r="CH153" s="118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/>
      <c r="DL153"/>
      <c r="DM153"/>
      <c r="DN153"/>
      <c r="DO153"/>
      <c r="DP153"/>
    </row>
    <row r="154" spans="2:120" s="109" customFormat="1" ht="14.25">
      <c r="B154" s="301"/>
      <c r="C154" s="301"/>
      <c r="D154" s="118"/>
      <c r="E154" s="118"/>
      <c r="F154" s="118"/>
      <c r="G154" s="118"/>
      <c r="H154" s="118"/>
      <c r="I154" s="118"/>
      <c r="J154" s="118"/>
      <c r="K154" s="118"/>
      <c r="L154" s="118"/>
      <c r="M154" s="118"/>
      <c r="N154" s="118"/>
      <c r="O154" s="118"/>
      <c r="P154" s="118"/>
      <c r="Q154" s="118"/>
      <c r="R154" s="118"/>
      <c r="S154" s="118"/>
      <c r="T154" s="118"/>
      <c r="U154" s="118"/>
      <c r="V154" s="118"/>
      <c r="W154" s="118"/>
      <c r="X154" s="118"/>
      <c r="Y154" s="118"/>
      <c r="Z154" s="118"/>
      <c r="AA154" s="118"/>
      <c r="AB154" s="118"/>
      <c r="AC154" s="118"/>
      <c r="AD154" s="118"/>
      <c r="AE154" s="118"/>
      <c r="AF154" s="118"/>
      <c r="AG154" s="118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  <c r="AV154" s="118"/>
      <c r="AW154" s="118"/>
      <c r="AX154" s="118"/>
      <c r="AY154" s="118"/>
      <c r="AZ154" s="118"/>
      <c r="BA154" s="118"/>
      <c r="BB154" s="118"/>
      <c r="BC154" s="118"/>
      <c r="BD154" s="118"/>
      <c r="BE154" s="118"/>
      <c r="BF154" s="118"/>
      <c r="BG154" s="118"/>
      <c r="BH154" s="118"/>
      <c r="BI154" s="118"/>
      <c r="BJ154" s="118"/>
      <c r="BK154" s="118"/>
      <c r="BL154" s="118"/>
      <c r="BM154" s="118"/>
      <c r="BN154" s="118"/>
      <c r="BO154" s="118"/>
      <c r="BP154" s="118"/>
      <c r="BQ154" s="118"/>
      <c r="BR154" s="118"/>
      <c r="BS154" s="118"/>
      <c r="BT154" s="118"/>
      <c r="BU154" s="118"/>
      <c r="BV154" s="118"/>
      <c r="BW154" s="118"/>
      <c r="BX154" s="118"/>
      <c r="BY154" s="118"/>
      <c r="BZ154" s="118"/>
      <c r="CA154" s="118"/>
      <c r="CB154" s="118"/>
      <c r="CC154" s="118"/>
      <c r="CD154" s="118"/>
      <c r="CE154" s="118"/>
      <c r="CF154" s="118"/>
      <c r="CG154" s="118"/>
      <c r="CH154" s="118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/>
      <c r="DL154"/>
      <c r="DM154"/>
      <c r="DN154"/>
      <c r="DO154"/>
      <c r="DP154"/>
    </row>
    <row r="155" spans="2:120" s="109" customFormat="1" ht="14.25">
      <c r="B155" s="301"/>
      <c r="C155" s="301"/>
      <c r="D155" s="118"/>
      <c r="E155" s="118"/>
      <c r="F155" s="118"/>
      <c r="G155" s="118"/>
      <c r="H155" s="118"/>
      <c r="I155" s="118"/>
      <c r="J155" s="118"/>
      <c r="K155" s="118"/>
      <c r="L155" s="118"/>
      <c r="M155" s="118"/>
      <c r="N155" s="118"/>
      <c r="O155" s="118"/>
      <c r="P155" s="118"/>
      <c r="Q155" s="118"/>
      <c r="R155" s="118"/>
      <c r="S155" s="118"/>
      <c r="T155" s="118"/>
      <c r="U155" s="118"/>
      <c r="V155" s="118"/>
      <c r="W155" s="118"/>
      <c r="X155" s="118"/>
      <c r="Y155" s="118"/>
      <c r="Z155" s="118"/>
      <c r="AA155" s="118"/>
      <c r="AB155" s="118"/>
      <c r="AC155" s="118"/>
      <c r="AD155" s="118"/>
      <c r="AE155" s="118"/>
      <c r="AF155" s="118"/>
      <c r="AG155" s="118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  <c r="AV155" s="118"/>
      <c r="AW155" s="118"/>
      <c r="AX155" s="118"/>
      <c r="AY155" s="118"/>
      <c r="AZ155" s="118"/>
      <c r="BA155" s="118"/>
      <c r="BB155" s="118"/>
      <c r="BC155" s="118"/>
      <c r="BD155" s="118"/>
      <c r="BE155" s="118"/>
      <c r="BF155" s="118"/>
      <c r="BG155" s="118"/>
      <c r="BH155" s="118"/>
      <c r="BI155" s="118"/>
      <c r="BJ155" s="118"/>
      <c r="BK155" s="118"/>
      <c r="BL155" s="118"/>
      <c r="BM155" s="118"/>
      <c r="BN155" s="118"/>
      <c r="BO155" s="118"/>
      <c r="BP155" s="118"/>
      <c r="BQ155" s="118"/>
      <c r="BR155" s="118"/>
      <c r="BS155" s="118"/>
      <c r="BT155" s="118"/>
      <c r="BU155" s="118"/>
      <c r="BV155" s="118"/>
      <c r="BW155" s="118"/>
      <c r="BX155" s="118"/>
      <c r="BY155" s="118"/>
      <c r="BZ155" s="118"/>
      <c r="CA155" s="118"/>
      <c r="CB155" s="118"/>
      <c r="CC155" s="118"/>
      <c r="CD155" s="118"/>
      <c r="CE155" s="118"/>
      <c r="CF155" s="118"/>
      <c r="CG155" s="118"/>
      <c r="CH155" s="118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/>
      <c r="DL155"/>
      <c r="DM155"/>
      <c r="DN155"/>
      <c r="DO155"/>
      <c r="DP155"/>
    </row>
    <row r="156" spans="2:120" s="109" customFormat="1" ht="14.25">
      <c r="B156" s="301"/>
      <c r="C156" s="301"/>
      <c r="D156" s="118"/>
      <c r="E156" s="118"/>
      <c r="F156" s="118"/>
      <c r="G156" s="118"/>
      <c r="H156" s="118"/>
      <c r="I156" s="118"/>
      <c r="J156" s="118"/>
      <c r="K156" s="118"/>
      <c r="L156" s="118"/>
      <c r="M156" s="118"/>
      <c r="N156" s="118"/>
      <c r="O156" s="118"/>
      <c r="P156" s="118"/>
      <c r="Q156" s="118"/>
      <c r="R156" s="118"/>
      <c r="S156" s="118"/>
      <c r="T156" s="118"/>
      <c r="U156" s="118"/>
      <c r="V156" s="118"/>
      <c r="W156" s="118"/>
      <c r="X156" s="118"/>
      <c r="Y156" s="118"/>
      <c r="Z156" s="118"/>
      <c r="AA156" s="118"/>
      <c r="AB156" s="118"/>
      <c r="AC156" s="118"/>
      <c r="AD156" s="118"/>
      <c r="AE156" s="118"/>
      <c r="AF156" s="118"/>
      <c r="AG156" s="118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  <c r="AV156" s="118"/>
      <c r="AW156" s="118"/>
      <c r="AX156" s="118"/>
      <c r="AY156" s="118"/>
      <c r="AZ156" s="118"/>
      <c r="BA156" s="118"/>
      <c r="BB156" s="118"/>
      <c r="BC156" s="118"/>
      <c r="BD156" s="118"/>
      <c r="BE156" s="118"/>
      <c r="BF156" s="118"/>
      <c r="BG156" s="118"/>
      <c r="BH156" s="118"/>
      <c r="BI156" s="118"/>
      <c r="BJ156" s="118"/>
      <c r="BK156" s="118"/>
      <c r="BL156" s="118"/>
      <c r="BM156" s="118"/>
      <c r="BN156" s="118"/>
      <c r="BO156" s="118"/>
      <c r="BP156" s="118"/>
      <c r="BQ156" s="118"/>
      <c r="BR156" s="118"/>
      <c r="BS156" s="118"/>
      <c r="BT156" s="118"/>
      <c r="BU156" s="118"/>
      <c r="BV156" s="118"/>
      <c r="BW156" s="118"/>
      <c r="BX156" s="118"/>
      <c r="BY156" s="118"/>
      <c r="BZ156" s="118"/>
      <c r="CA156" s="118"/>
      <c r="CB156" s="118"/>
      <c r="CC156" s="118"/>
      <c r="CD156" s="118"/>
      <c r="CE156" s="118"/>
      <c r="CF156" s="118"/>
      <c r="CG156" s="118"/>
      <c r="CH156" s="118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/>
      <c r="DL156"/>
      <c r="DM156"/>
      <c r="DN156"/>
      <c r="DO156"/>
      <c r="DP156"/>
    </row>
    <row r="157" spans="2:120" s="109" customFormat="1" ht="14.25">
      <c r="B157" s="301"/>
      <c r="C157" s="301"/>
      <c r="D157" s="118"/>
      <c r="E157" s="118"/>
      <c r="F157" s="118"/>
      <c r="G157" s="118"/>
      <c r="H157" s="118"/>
      <c r="I157" s="118"/>
      <c r="J157" s="118"/>
      <c r="K157" s="118"/>
      <c r="L157" s="118"/>
      <c r="M157" s="118"/>
      <c r="N157" s="118"/>
      <c r="O157" s="118"/>
      <c r="P157" s="118"/>
      <c r="Q157" s="118"/>
      <c r="R157" s="118"/>
      <c r="S157" s="118"/>
      <c r="T157" s="118"/>
      <c r="U157" s="118"/>
      <c r="V157" s="118"/>
      <c r="W157" s="118"/>
      <c r="X157" s="118"/>
      <c r="Y157" s="118"/>
      <c r="Z157" s="118"/>
      <c r="AA157" s="118"/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  <c r="AV157" s="118"/>
      <c r="AW157" s="118"/>
      <c r="AX157" s="118"/>
      <c r="AY157" s="118"/>
      <c r="AZ157" s="118"/>
      <c r="BA157" s="118"/>
      <c r="BB157" s="118"/>
      <c r="BC157" s="118"/>
      <c r="BD157" s="118"/>
      <c r="BE157" s="118"/>
      <c r="BF157" s="118"/>
      <c r="BG157" s="118"/>
      <c r="BH157" s="118"/>
      <c r="BI157" s="118"/>
      <c r="BJ157" s="118"/>
      <c r="BK157" s="118"/>
      <c r="BL157" s="118"/>
      <c r="BM157" s="118"/>
      <c r="BN157" s="118"/>
      <c r="BO157" s="118"/>
      <c r="BP157" s="118"/>
      <c r="BQ157" s="118"/>
      <c r="BR157" s="118"/>
      <c r="BS157" s="118"/>
      <c r="BT157" s="118"/>
      <c r="BU157" s="118"/>
      <c r="BV157" s="118"/>
      <c r="BW157" s="118"/>
      <c r="BX157" s="118"/>
      <c r="BY157" s="118"/>
      <c r="BZ157" s="118"/>
      <c r="CA157" s="118"/>
      <c r="CB157" s="118"/>
      <c r="CC157" s="118"/>
      <c r="CD157" s="118"/>
      <c r="CE157" s="118"/>
      <c r="CF157" s="118"/>
      <c r="CG157" s="118"/>
      <c r="CH157" s="118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/>
      <c r="DL157"/>
      <c r="DM157"/>
      <c r="DN157"/>
      <c r="DO157"/>
      <c r="DP157"/>
    </row>
    <row r="158" spans="2:120" s="109" customFormat="1" ht="14.25">
      <c r="B158" s="301"/>
      <c r="C158" s="301"/>
      <c r="D158" s="118"/>
      <c r="E158" s="118"/>
      <c r="F158" s="118"/>
      <c r="G158" s="118"/>
      <c r="H158" s="118"/>
      <c r="I158" s="118"/>
      <c r="J158" s="118"/>
      <c r="K158" s="118"/>
      <c r="L158" s="118"/>
      <c r="M158" s="118"/>
      <c r="N158" s="118"/>
      <c r="O158" s="118"/>
      <c r="P158" s="118"/>
      <c r="Q158" s="118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/>
      <c r="AC158" s="118"/>
      <c r="AD158" s="118"/>
      <c r="AE158" s="118"/>
      <c r="AF158" s="118"/>
      <c r="AG158" s="118"/>
      <c r="AH158" s="118"/>
      <c r="AI158" s="118"/>
      <c r="AJ158" s="118"/>
      <c r="AK158" s="118"/>
      <c r="AL158" s="118"/>
      <c r="AM158" s="118"/>
      <c r="AN158" s="118"/>
      <c r="AO158" s="118"/>
      <c r="AP158" s="118"/>
      <c r="AQ158" s="118"/>
      <c r="AR158" s="118"/>
      <c r="AS158" s="118"/>
      <c r="AT158" s="118"/>
      <c r="AU158" s="118"/>
      <c r="AV158" s="118"/>
      <c r="AW158" s="118"/>
      <c r="AX158" s="118"/>
      <c r="AY158" s="118"/>
      <c r="AZ158" s="118"/>
      <c r="BA158" s="118"/>
      <c r="BB158" s="118"/>
      <c r="BC158" s="118"/>
      <c r="BD158" s="118"/>
      <c r="BE158" s="118"/>
      <c r="BF158" s="118"/>
      <c r="BG158" s="118"/>
      <c r="BH158" s="118"/>
      <c r="BI158" s="118"/>
      <c r="BJ158" s="118"/>
      <c r="BK158" s="118"/>
      <c r="BL158" s="118"/>
      <c r="BM158" s="118"/>
      <c r="BN158" s="118"/>
      <c r="BO158" s="118"/>
      <c r="BP158" s="118"/>
      <c r="BQ158" s="118"/>
      <c r="BR158" s="118"/>
      <c r="BS158" s="118"/>
      <c r="BT158" s="118"/>
      <c r="BU158" s="118"/>
      <c r="BV158" s="118"/>
      <c r="BW158" s="118"/>
      <c r="BX158" s="118"/>
      <c r="BY158" s="118"/>
      <c r="BZ158" s="118"/>
      <c r="CA158" s="118"/>
      <c r="CB158" s="118"/>
      <c r="CC158" s="118"/>
      <c r="CD158" s="118"/>
      <c r="CE158" s="118"/>
      <c r="CF158" s="118"/>
      <c r="CG158" s="118"/>
      <c r="CH158" s="118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/>
      <c r="DL158"/>
      <c r="DM158"/>
      <c r="DN158"/>
      <c r="DO158"/>
      <c r="DP158"/>
    </row>
    <row r="159" spans="2:120" s="109" customFormat="1" ht="14.25">
      <c r="B159" s="301"/>
      <c r="C159" s="301"/>
      <c r="D159" s="118"/>
      <c r="E159" s="118"/>
      <c r="F159" s="118"/>
      <c r="G159" s="118"/>
      <c r="H159" s="118"/>
      <c r="I159" s="118"/>
      <c r="J159" s="118"/>
      <c r="K159" s="118"/>
      <c r="L159" s="118"/>
      <c r="M159" s="118"/>
      <c r="N159" s="118"/>
      <c r="O159" s="118"/>
      <c r="P159" s="118"/>
      <c r="Q159" s="118"/>
      <c r="R159" s="118"/>
      <c r="S159" s="118"/>
      <c r="T159" s="118"/>
      <c r="U159" s="118"/>
      <c r="V159" s="118"/>
      <c r="W159" s="118"/>
      <c r="X159" s="118"/>
      <c r="Y159" s="118"/>
      <c r="Z159" s="118"/>
      <c r="AA159" s="118"/>
      <c r="AB159" s="118"/>
      <c r="AC159" s="118"/>
      <c r="AD159" s="118"/>
      <c r="AE159" s="118"/>
      <c r="AF159" s="118"/>
      <c r="AG159" s="118"/>
      <c r="AH159" s="118"/>
      <c r="AI159" s="118"/>
      <c r="AJ159" s="118"/>
      <c r="AK159" s="118"/>
      <c r="AL159" s="118"/>
      <c r="AM159" s="118"/>
      <c r="AN159" s="118"/>
      <c r="AO159" s="118"/>
      <c r="AP159" s="118"/>
      <c r="AQ159" s="118"/>
      <c r="AR159" s="118"/>
      <c r="AS159" s="118"/>
      <c r="AT159" s="118"/>
      <c r="AU159" s="118"/>
      <c r="AV159" s="118"/>
      <c r="AW159" s="118"/>
      <c r="AX159" s="118"/>
      <c r="AY159" s="118"/>
      <c r="AZ159" s="118"/>
      <c r="BA159" s="118"/>
      <c r="BB159" s="118"/>
      <c r="BC159" s="118"/>
      <c r="BD159" s="118"/>
      <c r="BE159" s="118"/>
      <c r="BF159" s="118"/>
      <c r="BG159" s="118"/>
      <c r="BH159" s="118"/>
      <c r="BI159" s="118"/>
      <c r="BJ159" s="118"/>
      <c r="BK159" s="118"/>
      <c r="BL159" s="118"/>
      <c r="BM159" s="118"/>
      <c r="BN159" s="118"/>
      <c r="BO159" s="118"/>
      <c r="BP159" s="118"/>
      <c r="BQ159" s="118"/>
      <c r="BR159" s="118"/>
      <c r="BS159" s="118"/>
      <c r="BT159" s="118"/>
      <c r="BU159" s="118"/>
      <c r="BV159" s="118"/>
      <c r="BW159" s="118"/>
      <c r="BX159" s="118"/>
      <c r="BY159" s="118"/>
      <c r="BZ159" s="118"/>
      <c r="CA159" s="118"/>
      <c r="CB159" s="118"/>
      <c r="CC159" s="118"/>
      <c r="CD159" s="118"/>
      <c r="CE159" s="118"/>
      <c r="CF159" s="118"/>
      <c r="CG159" s="118"/>
      <c r="CH159" s="118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/>
      <c r="DL159"/>
      <c r="DM159"/>
      <c r="DN159"/>
      <c r="DO159"/>
      <c r="DP159"/>
    </row>
    <row r="160" spans="2:120" s="109" customFormat="1" ht="14.25">
      <c r="B160" s="301"/>
      <c r="C160" s="301"/>
      <c r="D160" s="118"/>
      <c r="E160" s="118"/>
      <c r="F160" s="118"/>
      <c r="G160" s="118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18"/>
      <c r="AH160" s="118"/>
      <c r="AI160" s="118"/>
      <c r="AJ160" s="118"/>
      <c r="AK160" s="118"/>
      <c r="AL160" s="118"/>
      <c r="AM160" s="118"/>
      <c r="AN160" s="118"/>
      <c r="AO160" s="118"/>
      <c r="AP160" s="118"/>
      <c r="AQ160" s="118"/>
      <c r="AR160" s="118"/>
      <c r="AS160" s="118"/>
      <c r="AT160" s="118"/>
      <c r="AU160" s="118"/>
      <c r="AV160" s="118"/>
      <c r="AW160" s="118"/>
      <c r="AX160" s="118"/>
      <c r="AY160" s="118"/>
      <c r="AZ160" s="118"/>
      <c r="BA160" s="118"/>
      <c r="BB160" s="118"/>
      <c r="BC160" s="118"/>
      <c r="BD160" s="118"/>
      <c r="BE160" s="118"/>
      <c r="BF160" s="118"/>
      <c r="BG160" s="118"/>
      <c r="BH160" s="118"/>
      <c r="BI160" s="118"/>
      <c r="BJ160" s="118"/>
      <c r="BK160" s="118"/>
      <c r="BL160" s="118"/>
      <c r="BM160" s="118"/>
      <c r="BN160" s="118"/>
      <c r="BO160" s="118"/>
      <c r="BP160" s="118"/>
      <c r="BQ160" s="118"/>
      <c r="BR160" s="118"/>
      <c r="BS160" s="118"/>
      <c r="BT160" s="118"/>
      <c r="BU160" s="118"/>
      <c r="BV160" s="118"/>
      <c r="BW160" s="118"/>
      <c r="BX160" s="118"/>
      <c r="BY160" s="118"/>
      <c r="BZ160" s="118"/>
      <c r="CA160" s="118"/>
      <c r="CB160" s="118"/>
      <c r="CC160" s="118"/>
      <c r="CD160" s="118"/>
      <c r="CE160" s="118"/>
      <c r="CF160" s="118"/>
      <c r="CG160" s="118"/>
      <c r="CH160" s="118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/>
      <c r="DL160"/>
      <c r="DM160"/>
      <c r="DN160"/>
      <c r="DO160"/>
      <c r="DP160"/>
    </row>
    <row r="161" spans="2:120" s="109" customFormat="1" ht="14.25">
      <c r="B161" s="301"/>
      <c r="C161" s="301"/>
      <c r="D161" s="118"/>
      <c r="E161" s="118"/>
      <c r="F161" s="118"/>
      <c r="G161" s="118"/>
      <c r="H161" s="118"/>
      <c r="I161" s="118"/>
      <c r="J161" s="118"/>
      <c r="K161" s="118"/>
      <c r="L161" s="118"/>
      <c r="M161" s="118"/>
      <c r="N161" s="118"/>
      <c r="O161" s="118"/>
      <c r="P161" s="118"/>
      <c r="Q161" s="118"/>
      <c r="R161" s="118"/>
      <c r="S161" s="118"/>
      <c r="T161" s="118"/>
      <c r="U161" s="118"/>
      <c r="V161" s="118"/>
      <c r="W161" s="118"/>
      <c r="X161" s="118"/>
      <c r="Y161" s="118"/>
      <c r="Z161" s="118"/>
      <c r="AA161" s="118"/>
      <c r="AB161" s="118"/>
      <c r="AC161" s="118"/>
      <c r="AD161" s="118"/>
      <c r="AE161" s="118"/>
      <c r="AF161" s="118"/>
      <c r="AG161" s="118"/>
      <c r="AH161" s="118"/>
      <c r="AI161" s="118"/>
      <c r="AJ161" s="118"/>
      <c r="AK161" s="118"/>
      <c r="AL161" s="118"/>
      <c r="AM161" s="118"/>
      <c r="AN161" s="118"/>
      <c r="AO161" s="118"/>
      <c r="AP161" s="118"/>
      <c r="AQ161" s="118"/>
      <c r="AR161" s="118"/>
      <c r="AS161" s="118"/>
      <c r="AT161" s="118"/>
      <c r="AU161" s="118"/>
      <c r="AV161" s="118"/>
      <c r="AW161" s="118"/>
      <c r="AX161" s="118"/>
      <c r="AY161" s="118"/>
      <c r="AZ161" s="118"/>
      <c r="BA161" s="118"/>
      <c r="BB161" s="118"/>
      <c r="BC161" s="118"/>
      <c r="BD161" s="118"/>
      <c r="BE161" s="118"/>
      <c r="BF161" s="118"/>
      <c r="BG161" s="118"/>
      <c r="BH161" s="118"/>
      <c r="BI161" s="118"/>
      <c r="BJ161" s="118"/>
      <c r="BK161" s="118"/>
      <c r="BL161" s="118"/>
      <c r="BM161" s="118"/>
      <c r="BN161" s="118"/>
      <c r="BO161" s="118"/>
      <c r="BP161" s="118"/>
      <c r="BQ161" s="118"/>
      <c r="BR161" s="118"/>
      <c r="BS161" s="118"/>
      <c r="BT161" s="118"/>
      <c r="BU161" s="118"/>
      <c r="BV161" s="118"/>
      <c r="BW161" s="118"/>
      <c r="BX161" s="118"/>
      <c r="BY161" s="118"/>
      <c r="BZ161" s="118"/>
      <c r="CA161" s="118"/>
      <c r="CB161" s="118"/>
      <c r="CC161" s="118"/>
      <c r="CD161" s="118"/>
      <c r="CE161" s="118"/>
      <c r="CF161" s="118"/>
      <c r="CG161" s="118"/>
      <c r="CH161" s="118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/>
      <c r="DL161"/>
      <c r="DM161"/>
      <c r="DN161"/>
      <c r="DO161"/>
      <c r="DP161"/>
    </row>
    <row r="162" spans="2:120" s="109" customFormat="1" ht="14.25">
      <c r="B162" s="301"/>
      <c r="C162" s="301"/>
      <c r="D162" s="118"/>
      <c r="E162" s="118"/>
      <c r="F162" s="118"/>
      <c r="G162" s="118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18"/>
      <c r="AH162" s="118"/>
      <c r="AI162" s="118"/>
      <c r="AJ162" s="118"/>
      <c r="AK162" s="118"/>
      <c r="AL162" s="118"/>
      <c r="AM162" s="118"/>
      <c r="AN162" s="118"/>
      <c r="AO162" s="118"/>
      <c r="AP162" s="118"/>
      <c r="AQ162" s="118"/>
      <c r="AR162" s="118"/>
      <c r="AS162" s="118"/>
      <c r="AT162" s="118"/>
      <c r="AU162" s="118"/>
      <c r="AV162" s="118"/>
      <c r="AW162" s="118"/>
      <c r="AX162" s="118"/>
      <c r="AY162" s="118"/>
      <c r="AZ162" s="118"/>
      <c r="BA162" s="118"/>
      <c r="BB162" s="118"/>
      <c r="BC162" s="118"/>
      <c r="BD162" s="118"/>
      <c r="BE162" s="118"/>
      <c r="BF162" s="118"/>
      <c r="BG162" s="118"/>
      <c r="BH162" s="118"/>
      <c r="BI162" s="118"/>
      <c r="BJ162" s="118"/>
      <c r="BK162" s="118"/>
      <c r="BL162" s="118"/>
      <c r="BM162" s="118"/>
      <c r="BN162" s="118"/>
      <c r="BO162" s="118"/>
      <c r="BP162" s="118"/>
      <c r="BQ162" s="118"/>
      <c r="BR162" s="118"/>
      <c r="BS162" s="118"/>
      <c r="BT162" s="118"/>
      <c r="BU162" s="118"/>
      <c r="BV162" s="118"/>
      <c r="BW162" s="118"/>
      <c r="BX162" s="118"/>
      <c r="BY162" s="118"/>
      <c r="BZ162" s="118"/>
      <c r="CA162" s="118"/>
      <c r="CB162" s="118"/>
      <c r="CC162" s="118"/>
      <c r="CD162" s="118"/>
      <c r="CE162" s="118"/>
      <c r="CF162" s="118"/>
      <c r="CG162" s="118"/>
      <c r="CH162" s="118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/>
      <c r="DL162"/>
      <c r="DM162"/>
      <c r="DN162"/>
      <c r="DO162"/>
      <c r="DP162"/>
    </row>
    <row r="163" spans="2:120" s="109" customFormat="1" ht="14.25">
      <c r="B163" s="301"/>
      <c r="C163" s="301"/>
      <c r="D163" s="118"/>
      <c r="E163" s="118"/>
      <c r="F163" s="118"/>
      <c r="G163" s="118"/>
      <c r="H163" s="118"/>
      <c r="I163" s="118"/>
      <c r="J163" s="118"/>
      <c r="K163" s="118"/>
      <c r="L163" s="118"/>
      <c r="M163" s="118"/>
      <c r="N163" s="118"/>
      <c r="O163" s="118"/>
      <c r="P163" s="118"/>
      <c r="Q163" s="118"/>
      <c r="R163" s="118"/>
      <c r="S163" s="118"/>
      <c r="T163" s="118"/>
      <c r="U163" s="118"/>
      <c r="V163" s="118"/>
      <c r="W163" s="118"/>
      <c r="X163" s="118"/>
      <c r="Y163" s="118"/>
      <c r="Z163" s="118"/>
      <c r="AA163" s="118"/>
      <c r="AB163" s="118"/>
      <c r="AC163" s="118"/>
      <c r="AD163" s="118"/>
      <c r="AE163" s="118"/>
      <c r="AF163" s="118"/>
      <c r="AG163" s="118"/>
      <c r="AH163" s="118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  <c r="AV163" s="118"/>
      <c r="AW163" s="118"/>
      <c r="AX163" s="118"/>
      <c r="AY163" s="118"/>
      <c r="AZ163" s="118"/>
      <c r="BA163" s="118"/>
      <c r="BB163" s="118"/>
      <c r="BC163" s="118"/>
      <c r="BD163" s="118"/>
      <c r="BE163" s="118"/>
      <c r="BF163" s="118"/>
      <c r="BG163" s="118"/>
      <c r="BH163" s="118"/>
      <c r="BI163" s="118"/>
      <c r="BJ163" s="118"/>
      <c r="BK163" s="118"/>
      <c r="BL163" s="118"/>
      <c r="BM163" s="118"/>
      <c r="BN163" s="118"/>
      <c r="BO163" s="118"/>
      <c r="BP163" s="118"/>
      <c r="BQ163" s="118"/>
      <c r="BR163" s="118"/>
      <c r="BS163" s="118"/>
      <c r="BT163" s="118"/>
      <c r="BU163" s="118"/>
      <c r="BV163" s="118"/>
      <c r="BW163" s="118"/>
      <c r="BX163" s="118"/>
      <c r="BY163" s="118"/>
      <c r="BZ163" s="118"/>
      <c r="CA163" s="118"/>
      <c r="CB163" s="118"/>
      <c r="CC163" s="118"/>
      <c r="CD163" s="118"/>
      <c r="CE163" s="118"/>
      <c r="CF163" s="118"/>
      <c r="CG163" s="118"/>
      <c r="CH163" s="118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/>
      <c r="DL163"/>
      <c r="DM163"/>
      <c r="DN163"/>
      <c r="DO163"/>
      <c r="DP163"/>
    </row>
    <row r="164" spans="2:120" s="109" customFormat="1" ht="14.25">
      <c r="B164" s="301"/>
      <c r="C164" s="301"/>
      <c r="D164" s="118"/>
      <c r="E164" s="118"/>
      <c r="F164" s="118"/>
      <c r="G164" s="118"/>
      <c r="H164" s="118"/>
      <c r="I164" s="118"/>
      <c r="J164" s="118"/>
      <c r="K164" s="118"/>
      <c r="L164" s="118"/>
      <c r="M164" s="118"/>
      <c r="N164" s="118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C164" s="118"/>
      <c r="AD164" s="118"/>
      <c r="AE164" s="118"/>
      <c r="AF164" s="118"/>
      <c r="AG164" s="118"/>
      <c r="AH164" s="118"/>
      <c r="AI164" s="118"/>
      <c r="AJ164" s="118"/>
      <c r="AK164" s="118"/>
      <c r="AL164" s="118"/>
      <c r="AM164" s="118"/>
      <c r="AN164" s="118"/>
      <c r="AO164" s="118"/>
      <c r="AP164" s="118"/>
      <c r="AQ164" s="118"/>
      <c r="AR164" s="118"/>
      <c r="AS164" s="118"/>
      <c r="AT164" s="118"/>
      <c r="AU164" s="118"/>
      <c r="AV164" s="118"/>
      <c r="AW164" s="118"/>
      <c r="AX164" s="118"/>
      <c r="AY164" s="118"/>
      <c r="AZ164" s="118"/>
      <c r="BA164" s="118"/>
      <c r="BB164" s="118"/>
      <c r="BC164" s="118"/>
      <c r="BD164" s="118"/>
      <c r="BE164" s="118"/>
      <c r="BF164" s="118"/>
      <c r="BG164" s="118"/>
      <c r="BH164" s="118"/>
      <c r="BI164" s="118"/>
      <c r="BJ164" s="118"/>
      <c r="BK164" s="118"/>
      <c r="BL164" s="118"/>
      <c r="BM164" s="118"/>
      <c r="BN164" s="118"/>
      <c r="BO164" s="118"/>
      <c r="BP164" s="118"/>
      <c r="BQ164" s="118"/>
      <c r="BR164" s="118"/>
      <c r="BS164" s="118"/>
      <c r="BT164" s="118"/>
      <c r="BU164" s="118"/>
      <c r="BV164" s="118"/>
      <c r="BW164" s="118"/>
      <c r="BX164" s="118"/>
      <c r="BY164" s="118"/>
      <c r="BZ164" s="118"/>
      <c r="CA164" s="118"/>
      <c r="CB164" s="118"/>
      <c r="CC164" s="118"/>
      <c r="CD164" s="118"/>
      <c r="CE164" s="118"/>
      <c r="CF164" s="118"/>
      <c r="CG164" s="118"/>
      <c r="CH164" s="118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/>
      <c r="DL164"/>
      <c r="DM164"/>
      <c r="DN164"/>
      <c r="DO164"/>
      <c r="DP164"/>
    </row>
    <row r="165" spans="2:120" s="109" customFormat="1" ht="14.25">
      <c r="B165" s="301"/>
      <c r="C165" s="301"/>
      <c r="D165" s="118"/>
      <c r="E165" s="118"/>
      <c r="F165" s="118"/>
      <c r="G165" s="118"/>
      <c r="H165" s="118"/>
      <c r="I165" s="118"/>
      <c r="J165" s="118"/>
      <c r="K165" s="118"/>
      <c r="L165" s="118"/>
      <c r="M165" s="118"/>
      <c r="N165" s="118"/>
      <c r="O165" s="118"/>
      <c r="P165" s="118"/>
      <c r="Q165" s="118"/>
      <c r="R165" s="118"/>
      <c r="S165" s="118"/>
      <c r="T165" s="118"/>
      <c r="U165" s="118"/>
      <c r="V165" s="118"/>
      <c r="W165" s="118"/>
      <c r="X165" s="118"/>
      <c r="Y165" s="118"/>
      <c r="Z165" s="118"/>
      <c r="AA165" s="118"/>
      <c r="AB165" s="118"/>
      <c r="AC165" s="118"/>
      <c r="AD165" s="118"/>
      <c r="AE165" s="118"/>
      <c r="AF165" s="118"/>
      <c r="AG165" s="118"/>
      <c r="AH165" s="118"/>
      <c r="AI165" s="118"/>
      <c r="AJ165" s="118"/>
      <c r="AK165" s="118"/>
      <c r="AL165" s="118"/>
      <c r="AM165" s="118"/>
      <c r="AN165" s="118"/>
      <c r="AO165" s="118"/>
      <c r="AP165" s="118"/>
      <c r="AQ165" s="118"/>
      <c r="AR165" s="118"/>
      <c r="AS165" s="118"/>
      <c r="AT165" s="118"/>
      <c r="AU165" s="118"/>
      <c r="AV165" s="118"/>
      <c r="AW165" s="118"/>
      <c r="AX165" s="118"/>
      <c r="AY165" s="118"/>
      <c r="AZ165" s="118"/>
      <c r="BA165" s="118"/>
      <c r="BB165" s="118"/>
      <c r="BC165" s="118"/>
      <c r="BD165" s="118"/>
      <c r="BE165" s="118"/>
      <c r="BF165" s="118"/>
      <c r="BG165" s="118"/>
      <c r="BH165" s="118"/>
      <c r="BI165" s="118"/>
      <c r="BJ165" s="118"/>
      <c r="BK165" s="118"/>
      <c r="BL165" s="118"/>
      <c r="BM165" s="118"/>
      <c r="BN165" s="118"/>
      <c r="BO165" s="118"/>
      <c r="BP165" s="118"/>
      <c r="BQ165" s="118"/>
      <c r="BR165" s="118"/>
      <c r="BS165" s="118"/>
      <c r="BT165" s="118"/>
      <c r="BU165" s="118"/>
      <c r="BV165" s="118"/>
      <c r="BW165" s="118"/>
      <c r="BX165" s="118"/>
      <c r="BY165" s="118"/>
      <c r="BZ165" s="118"/>
      <c r="CA165" s="118"/>
      <c r="CB165" s="118"/>
      <c r="CC165" s="118"/>
      <c r="CD165" s="118"/>
      <c r="CE165" s="118"/>
      <c r="CF165" s="118"/>
      <c r="CG165" s="118"/>
      <c r="CH165" s="118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/>
      <c r="DL165"/>
      <c r="DM165"/>
      <c r="DN165"/>
      <c r="DO165"/>
      <c r="DP165"/>
    </row>
    <row r="166" spans="2:120" s="109" customFormat="1" ht="14.25">
      <c r="B166" s="301"/>
      <c r="C166" s="301"/>
      <c r="D166" s="118"/>
      <c r="E166" s="118"/>
      <c r="F166" s="118"/>
      <c r="G166" s="118"/>
      <c r="H166" s="118"/>
      <c r="I166" s="118"/>
      <c r="J166" s="118"/>
      <c r="K166" s="118"/>
      <c r="L166" s="118"/>
      <c r="M166" s="118"/>
      <c r="N166" s="118"/>
      <c r="O166" s="118"/>
      <c r="P166" s="118"/>
      <c r="Q166" s="118"/>
      <c r="R166" s="118"/>
      <c r="S166" s="118"/>
      <c r="T166" s="118"/>
      <c r="U166" s="118"/>
      <c r="V166" s="118"/>
      <c r="W166" s="118"/>
      <c r="X166" s="118"/>
      <c r="Y166" s="118"/>
      <c r="Z166" s="118"/>
      <c r="AA166" s="118"/>
      <c r="AB166" s="118"/>
      <c r="AC166" s="118"/>
      <c r="AD166" s="118"/>
      <c r="AE166" s="118"/>
      <c r="AF166" s="118"/>
      <c r="AG166" s="118"/>
      <c r="AH166" s="118"/>
      <c r="AI166" s="118"/>
      <c r="AJ166" s="118"/>
      <c r="AK166" s="118"/>
      <c r="AL166" s="118"/>
      <c r="AM166" s="118"/>
      <c r="AN166" s="118"/>
      <c r="AO166" s="118"/>
      <c r="AP166" s="118"/>
      <c r="AQ166" s="118"/>
      <c r="AR166" s="118"/>
      <c r="AS166" s="118"/>
      <c r="AT166" s="118"/>
      <c r="AU166" s="118"/>
      <c r="AV166" s="118"/>
      <c r="AW166" s="118"/>
      <c r="AX166" s="118"/>
      <c r="AY166" s="118"/>
      <c r="AZ166" s="118"/>
      <c r="BA166" s="118"/>
      <c r="BB166" s="118"/>
      <c r="BC166" s="118"/>
      <c r="BD166" s="118"/>
      <c r="BE166" s="118"/>
      <c r="BF166" s="118"/>
      <c r="BG166" s="118"/>
      <c r="BH166" s="118"/>
      <c r="BI166" s="118"/>
      <c r="BJ166" s="118"/>
      <c r="BK166" s="118"/>
      <c r="BL166" s="118"/>
      <c r="BM166" s="118"/>
      <c r="BN166" s="118"/>
      <c r="BO166" s="118"/>
      <c r="BP166" s="118"/>
      <c r="BQ166" s="118"/>
      <c r="BR166" s="118"/>
      <c r="BS166" s="118"/>
      <c r="BT166" s="118"/>
      <c r="BU166" s="118"/>
      <c r="BV166" s="118"/>
      <c r="BW166" s="118"/>
      <c r="BX166" s="118"/>
      <c r="BY166" s="118"/>
      <c r="BZ166" s="118"/>
      <c r="CA166" s="118"/>
      <c r="CB166" s="118"/>
      <c r="CC166" s="118"/>
      <c r="CD166" s="118"/>
      <c r="CE166" s="118"/>
      <c r="CF166" s="118"/>
      <c r="CG166" s="118"/>
      <c r="CH166" s="118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/>
      <c r="DL166"/>
      <c r="DM166"/>
      <c r="DN166"/>
      <c r="DO166"/>
      <c r="DP166"/>
    </row>
    <row r="167" spans="2:120" s="109" customFormat="1" ht="14.25">
      <c r="B167" s="301"/>
      <c r="C167" s="301"/>
      <c r="D167" s="118"/>
      <c r="E167" s="118"/>
      <c r="F167" s="118"/>
      <c r="G167" s="118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B167" s="118"/>
      <c r="AC167" s="118"/>
      <c r="AD167" s="118"/>
      <c r="AE167" s="118"/>
      <c r="AF167" s="118"/>
      <c r="AG167" s="118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  <c r="AV167" s="118"/>
      <c r="AW167" s="118"/>
      <c r="AX167" s="118"/>
      <c r="AY167" s="118"/>
      <c r="AZ167" s="118"/>
      <c r="BA167" s="118"/>
      <c r="BB167" s="118"/>
      <c r="BC167" s="118"/>
      <c r="BD167" s="118"/>
      <c r="BE167" s="118"/>
      <c r="BF167" s="118"/>
      <c r="BG167" s="118"/>
      <c r="BH167" s="118"/>
      <c r="BI167" s="118"/>
      <c r="BJ167" s="118"/>
      <c r="BK167" s="118"/>
      <c r="BL167" s="118"/>
      <c r="BM167" s="118"/>
      <c r="BN167" s="118"/>
      <c r="BO167" s="118"/>
      <c r="BP167" s="118"/>
      <c r="BQ167" s="118"/>
      <c r="BR167" s="118"/>
      <c r="BS167" s="118"/>
      <c r="BT167" s="118"/>
      <c r="BU167" s="118"/>
      <c r="BV167" s="118"/>
      <c r="BW167" s="118"/>
      <c r="BX167" s="118"/>
      <c r="BY167" s="118"/>
      <c r="BZ167" s="118"/>
      <c r="CA167" s="118"/>
      <c r="CB167" s="118"/>
      <c r="CC167" s="118"/>
      <c r="CD167" s="118"/>
      <c r="CE167" s="118"/>
      <c r="CF167" s="118"/>
      <c r="CG167" s="118"/>
      <c r="CH167" s="118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/>
      <c r="DL167"/>
      <c r="DM167"/>
      <c r="DN167"/>
      <c r="DO167"/>
      <c r="DP167"/>
    </row>
    <row r="168" spans="2:120" s="109" customFormat="1" ht="14.25">
      <c r="B168" s="301"/>
      <c r="C168" s="301"/>
      <c r="D168" s="118"/>
      <c r="E168" s="118"/>
      <c r="F168" s="118"/>
      <c r="G168" s="118"/>
      <c r="H168" s="118"/>
      <c r="I168" s="118"/>
      <c r="J168" s="118"/>
      <c r="K168" s="118"/>
      <c r="L168" s="118"/>
      <c r="M168" s="118"/>
      <c r="N168" s="118"/>
      <c r="O168" s="118"/>
      <c r="P168" s="118"/>
      <c r="Q168" s="118"/>
      <c r="R168" s="118"/>
      <c r="S168" s="118"/>
      <c r="T168" s="118"/>
      <c r="U168" s="118"/>
      <c r="V168" s="118"/>
      <c r="W168" s="118"/>
      <c r="X168" s="118"/>
      <c r="Y168" s="118"/>
      <c r="Z168" s="118"/>
      <c r="AA168" s="118"/>
      <c r="AB168" s="118"/>
      <c r="AC168" s="118"/>
      <c r="AD168" s="118"/>
      <c r="AE168" s="118"/>
      <c r="AF168" s="118"/>
      <c r="AG168" s="118"/>
      <c r="AH168" s="118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  <c r="AV168" s="118"/>
      <c r="AW168" s="118"/>
      <c r="AX168" s="118"/>
      <c r="AY168" s="118"/>
      <c r="AZ168" s="118"/>
      <c r="BA168" s="118"/>
      <c r="BB168" s="118"/>
      <c r="BC168" s="118"/>
      <c r="BD168" s="118"/>
      <c r="BE168" s="118"/>
      <c r="BF168" s="118"/>
      <c r="BG168" s="118"/>
      <c r="BH168" s="118"/>
      <c r="BI168" s="118"/>
      <c r="BJ168" s="118"/>
      <c r="BK168" s="118"/>
      <c r="BL168" s="118"/>
      <c r="BM168" s="118"/>
      <c r="BN168" s="118"/>
      <c r="BO168" s="118"/>
      <c r="BP168" s="118"/>
      <c r="BQ168" s="118"/>
      <c r="BR168" s="118"/>
      <c r="BS168" s="118"/>
      <c r="BT168" s="118"/>
      <c r="BU168" s="118"/>
      <c r="BV168" s="118"/>
      <c r="BW168" s="118"/>
      <c r="BX168" s="118"/>
      <c r="BY168" s="118"/>
      <c r="BZ168" s="118"/>
      <c r="CA168" s="118"/>
      <c r="CB168" s="118"/>
      <c r="CC168" s="118"/>
      <c r="CD168" s="118"/>
      <c r="CE168" s="118"/>
      <c r="CF168" s="118"/>
      <c r="CG168" s="118"/>
      <c r="CH168" s="118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/>
      <c r="DL168"/>
      <c r="DM168"/>
      <c r="DN168"/>
      <c r="DO168"/>
      <c r="DP168"/>
    </row>
    <row r="169" spans="2:120" s="109" customFormat="1" ht="14.25">
      <c r="B169" s="301"/>
      <c r="C169" s="301"/>
      <c r="D169" s="118"/>
      <c r="E169" s="118"/>
      <c r="F169" s="118"/>
      <c r="G169" s="118"/>
      <c r="H169" s="118"/>
      <c r="I169" s="118"/>
      <c r="J169" s="118"/>
      <c r="K169" s="118"/>
      <c r="L169" s="118"/>
      <c r="M169" s="118"/>
      <c r="N169" s="118"/>
      <c r="O169" s="118"/>
      <c r="P169" s="118"/>
      <c r="Q169" s="118"/>
      <c r="R169" s="118"/>
      <c r="S169" s="118"/>
      <c r="T169" s="118"/>
      <c r="U169" s="118"/>
      <c r="V169" s="118"/>
      <c r="W169" s="118"/>
      <c r="X169" s="118"/>
      <c r="Y169" s="118"/>
      <c r="Z169" s="118"/>
      <c r="AA169" s="118"/>
      <c r="AB169" s="118"/>
      <c r="AC169" s="118"/>
      <c r="AD169" s="118"/>
      <c r="AE169" s="118"/>
      <c r="AF169" s="118"/>
      <c r="AG169" s="118"/>
      <c r="AH169" s="118"/>
      <c r="AI169" s="118"/>
      <c r="AJ169" s="118"/>
      <c r="AK169" s="118"/>
      <c r="AL169" s="118"/>
      <c r="AM169" s="118"/>
      <c r="AN169" s="118"/>
      <c r="AO169" s="118"/>
      <c r="AP169" s="118"/>
      <c r="AQ169" s="118"/>
      <c r="AR169" s="118"/>
      <c r="AS169" s="118"/>
      <c r="AT169" s="118"/>
      <c r="AU169" s="118"/>
      <c r="AV169" s="118"/>
      <c r="AW169" s="118"/>
      <c r="AX169" s="118"/>
      <c r="AY169" s="118"/>
      <c r="AZ169" s="118"/>
      <c r="BA169" s="118"/>
      <c r="BB169" s="118"/>
      <c r="BC169" s="118"/>
      <c r="BD169" s="118"/>
      <c r="BE169" s="118"/>
      <c r="BF169" s="118"/>
      <c r="BG169" s="118"/>
      <c r="BH169" s="118"/>
      <c r="BI169" s="118"/>
      <c r="BJ169" s="118"/>
      <c r="BK169" s="118"/>
      <c r="BL169" s="118"/>
      <c r="BM169" s="118"/>
      <c r="BN169" s="118"/>
      <c r="BO169" s="118"/>
      <c r="BP169" s="118"/>
      <c r="BQ169" s="118"/>
      <c r="BR169" s="118"/>
      <c r="BS169" s="118"/>
      <c r="BT169" s="118"/>
      <c r="BU169" s="118"/>
      <c r="BV169" s="118"/>
      <c r="BW169" s="118"/>
      <c r="BX169" s="118"/>
      <c r="BY169" s="118"/>
      <c r="BZ169" s="118"/>
      <c r="CA169" s="118"/>
      <c r="CB169" s="118"/>
      <c r="CC169" s="118"/>
      <c r="CD169" s="118"/>
      <c r="CE169" s="118"/>
      <c r="CF169" s="118"/>
      <c r="CG169" s="118"/>
      <c r="CH169" s="118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/>
      <c r="DL169"/>
      <c r="DM169"/>
      <c r="DN169"/>
      <c r="DO169"/>
      <c r="DP169"/>
    </row>
    <row r="170" spans="2:120" s="109" customFormat="1" ht="14.25">
      <c r="B170" s="301"/>
      <c r="C170" s="301"/>
      <c r="D170" s="118"/>
      <c r="E170" s="118"/>
      <c r="F170" s="118"/>
      <c r="G170" s="118"/>
      <c r="H170" s="118"/>
      <c r="I170" s="118"/>
      <c r="J170" s="118"/>
      <c r="K170" s="118"/>
      <c r="L170" s="118"/>
      <c r="M170" s="118"/>
      <c r="N170" s="118"/>
      <c r="O170" s="118"/>
      <c r="P170" s="118"/>
      <c r="Q170" s="118"/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/>
      <c r="AC170" s="118"/>
      <c r="AD170" s="118"/>
      <c r="AE170" s="118"/>
      <c r="AF170" s="118"/>
      <c r="AG170" s="118"/>
      <c r="AH170" s="118"/>
      <c r="AI170" s="118"/>
      <c r="AJ170" s="118"/>
      <c r="AK170" s="118"/>
      <c r="AL170" s="118"/>
      <c r="AM170" s="118"/>
      <c r="AN170" s="118"/>
      <c r="AO170" s="118"/>
      <c r="AP170" s="118"/>
      <c r="AQ170" s="118"/>
      <c r="AR170" s="118"/>
      <c r="AS170" s="118"/>
      <c r="AT170" s="118"/>
      <c r="AU170" s="118"/>
      <c r="AV170" s="118"/>
      <c r="AW170" s="118"/>
      <c r="AX170" s="118"/>
      <c r="AY170" s="118"/>
      <c r="AZ170" s="118"/>
      <c r="BA170" s="118"/>
      <c r="BB170" s="118"/>
      <c r="BC170" s="118"/>
      <c r="BD170" s="118"/>
      <c r="BE170" s="118"/>
      <c r="BF170" s="118"/>
      <c r="BG170" s="118"/>
      <c r="BH170" s="118"/>
      <c r="BI170" s="118"/>
      <c r="BJ170" s="118"/>
      <c r="BK170" s="118"/>
      <c r="BL170" s="118"/>
      <c r="BM170" s="118"/>
      <c r="BN170" s="118"/>
      <c r="BO170" s="118"/>
      <c r="BP170" s="118"/>
      <c r="BQ170" s="118"/>
      <c r="BR170" s="118"/>
      <c r="BS170" s="118"/>
      <c r="BT170" s="118"/>
      <c r="BU170" s="118"/>
      <c r="BV170" s="118"/>
      <c r="BW170" s="118"/>
      <c r="BX170" s="118"/>
      <c r="BY170" s="118"/>
      <c r="BZ170" s="118"/>
      <c r="CA170" s="118"/>
      <c r="CB170" s="118"/>
      <c r="CC170" s="118"/>
      <c r="CD170" s="118"/>
      <c r="CE170" s="118"/>
      <c r="CF170" s="118"/>
      <c r="CG170" s="118"/>
      <c r="CH170" s="118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/>
      <c r="DL170"/>
      <c r="DM170"/>
      <c r="DN170"/>
      <c r="DO170"/>
      <c r="DP170"/>
    </row>
    <row r="171" spans="2:120" s="109" customFormat="1" ht="14.25">
      <c r="B171" s="301"/>
      <c r="C171" s="301"/>
      <c r="D171" s="118"/>
      <c r="E171" s="118"/>
      <c r="F171" s="118"/>
      <c r="G171" s="118"/>
      <c r="H171" s="118"/>
      <c r="I171" s="118"/>
      <c r="J171" s="118"/>
      <c r="K171" s="118"/>
      <c r="L171" s="118"/>
      <c r="M171" s="118"/>
      <c r="N171" s="118"/>
      <c r="O171" s="118"/>
      <c r="P171" s="118"/>
      <c r="Q171" s="118"/>
      <c r="R171" s="118"/>
      <c r="S171" s="118"/>
      <c r="T171" s="118"/>
      <c r="U171" s="118"/>
      <c r="V171" s="118"/>
      <c r="W171" s="118"/>
      <c r="X171" s="118"/>
      <c r="Y171" s="118"/>
      <c r="Z171" s="118"/>
      <c r="AA171" s="118"/>
      <c r="AB171" s="118"/>
      <c r="AC171" s="118"/>
      <c r="AD171" s="118"/>
      <c r="AE171" s="118"/>
      <c r="AF171" s="118"/>
      <c r="AG171" s="118"/>
      <c r="AH171" s="118"/>
      <c r="AI171" s="118"/>
      <c r="AJ171" s="118"/>
      <c r="AK171" s="118"/>
      <c r="AL171" s="118"/>
      <c r="AM171" s="118"/>
      <c r="AN171" s="118"/>
      <c r="AO171" s="118"/>
      <c r="AP171" s="118"/>
      <c r="AQ171" s="118"/>
      <c r="AR171" s="118"/>
      <c r="AS171" s="118"/>
      <c r="AT171" s="118"/>
      <c r="AU171" s="118"/>
      <c r="AV171" s="118"/>
      <c r="AW171" s="118"/>
      <c r="AX171" s="118"/>
      <c r="AY171" s="118"/>
      <c r="AZ171" s="118"/>
      <c r="BA171" s="118"/>
      <c r="BB171" s="118"/>
      <c r="BC171" s="118"/>
      <c r="BD171" s="118"/>
      <c r="BE171" s="118"/>
      <c r="BF171" s="118"/>
      <c r="BG171" s="118"/>
      <c r="BH171" s="118"/>
      <c r="BI171" s="118"/>
      <c r="BJ171" s="118"/>
      <c r="BK171" s="118"/>
      <c r="BL171" s="118"/>
      <c r="BM171" s="118"/>
      <c r="BN171" s="118"/>
      <c r="BO171" s="118"/>
      <c r="BP171" s="118"/>
      <c r="BQ171" s="118"/>
      <c r="BR171" s="118"/>
      <c r="BS171" s="118"/>
      <c r="BT171" s="118"/>
      <c r="BU171" s="118"/>
      <c r="BV171" s="118"/>
      <c r="BW171" s="118"/>
      <c r="BX171" s="118"/>
      <c r="BY171" s="118"/>
      <c r="BZ171" s="118"/>
      <c r="CA171" s="118"/>
      <c r="CB171" s="118"/>
      <c r="CC171" s="118"/>
      <c r="CD171" s="118"/>
      <c r="CE171" s="118"/>
      <c r="CF171" s="118"/>
      <c r="CG171" s="118"/>
      <c r="CH171" s="118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/>
      <c r="DL171"/>
      <c r="DM171"/>
      <c r="DN171"/>
      <c r="DO171"/>
      <c r="DP171"/>
    </row>
    <row r="172" spans="2:120" s="109" customFormat="1" ht="14.25">
      <c r="B172" s="301"/>
      <c r="C172" s="301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118"/>
      <c r="AH172" s="118"/>
      <c r="AI172" s="118"/>
      <c r="AJ172" s="118"/>
      <c r="AK172" s="118"/>
      <c r="AL172" s="118"/>
      <c r="AM172" s="118"/>
      <c r="AN172" s="118"/>
      <c r="AO172" s="118"/>
      <c r="AP172" s="118"/>
      <c r="AQ172" s="118"/>
      <c r="AR172" s="118"/>
      <c r="AS172" s="118"/>
      <c r="AT172" s="118"/>
      <c r="AU172" s="118"/>
      <c r="AV172" s="118"/>
      <c r="AW172" s="118"/>
      <c r="AX172" s="118"/>
      <c r="AY172" s="118"/>
      <c r="AZ172" s="118"/>
      <c r="BA172" s="118"/>
      <c r="BB172" s="118"/>
      <c r="BC172" s="118"/>
      <c r="BD172" s="118"/>
      <c r="BE172" s="118"/>
      <c r="BF172" s="118"/>
      <c r="BG172" s="118"/>
      <c r="BH172" s="118"/>
      <c r="BI172" s="118"/>
      <c r="BJ172" s="118"/>
      <c r="BK172" s="118"/>
      <c r="BL172" s="118"/>
      <c r="BM172" s="118"/>
      <c r="BN172" s="118"/>
      <c r="BO172" s="118"/>
      <c r="BP172" s="118"/>
      <c r="BQ172" s="118"/>
      <c r="BR172" s="118"/>
      <c r="BS172" s="118"/>
      <c r="BT172" s="118"/>
      <c r="BU172" s="118"/>
      <c r="BV172" s="118"/>
      <c r="BW172" s="118"/>
      <c r="BX172" s="118"/>
      <c r="BY172" s="118"/>
      <c r="BZ172" s="118"/>
      <c r="CA172" s="118"/>
      <c r="CB172" s="118"/>
      <c r="CC172" s="118"/>
      <c r="CD172" s="118"/>
      <c r="CE172" s="118"/>
      <c r="CF172" s="118"/>
      <c r="CG172" s="118"/>
      <c r="CH172" s="118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/>
      <c r="DL172"/>
      <c r="DM172"/>
      <c r="DN172"/>
      <c r="DO172"/>
      <c r="DP172"/>
    </row>
    <row r="173" spans="2:120" s="109" customFormat="1" ht="14.25">
      <c r="B173" s="301"/>
      <c r="C173" s="301"/>
      <c r="D173" s="118"/>
      <c r="E173" s="118"/>
      <c r="F173" s="118"/>
      <c r="G173" s="118"/>
      <c r="H173" s="118"/>
      <c r="I173" s="118"/>
      <c r="J173" s="118"/>
      <c r="K173" s="118"/>
      <c r="L173" s="118"/>
      <c r="M173" s="118"/>
      <c r="N173" s="118"/>
      <c r="O173" s="118"/>
      <c r="P173" s="118"/>
      <c r="Q173" s="118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18"/>
      <c r="AD173" s="118"/>
      <c r="AE173" s="118"/>
      <c r="AF173" s="118"/>
      <c r="AG173" s="118"/>
      <c r="AH173" s="118"/>
      <c r="AI173" s="118"/>
      <c r="AJ173" s="118"/>
      <c r="AK173" s="118"/>
      <c r="AL173" s="118"/>
      <c r="AM173" s="118"/>
      <c r="AN173" s="118"/>
      <c r="AO173" s="118"/>
      <c r="AP173" s="118"/>
      <c r="AQ173" s="118"/>
      <c r="AR173" s="118"/>
      <c r="AS173" s="118"/>
      <c r="AT173" s="118"/>
      <c r="AU173" s="118"/>
      <c r="AV173" s="118"/>
      <c r="AW173" s="118"/>
      <c r="AX173" s="118"/>
      <c r="AY173" s="118"/>
      <c r="AZ173" s="118"/>
      <c r="BA173" s="118"/>
      <c r="BB173" s="118"/>
      <c r="BC173" s="118"/>
      <c r="BD173" s="118"/>
      <c r="BE173" s="118"/>
      <c r="BF173" s="118"/>
      <c r="BG173" s="118"/>
      <c r="BH173" s="118"/>
      <c r="BI173" s="118"/>
      <c r="BJ173" s="118"/>
      <c r="BK173" s="118"/>
      <c r="BL173" s="118"/>
      <c r="BM173" s="118"/>
      <c r="BN173" s="118"/>
      <c r="BO173" s="118"/>
      <c r="BP173" s="118"/>
      <c r="BQ173" s="118"/>
      <c r="BR173" s="118"/>
      <c r="BS173" s="118"/>
      <c r="BT173" s="118"/>
      <c r="BU173" s="118"/>
      <c r="BV173" s="118"/>
      <c r="BW173" s="118"/>
      <c r="BX173" s="118"/>
      <c r="BY173" s="118"/>
      <c r="BZ173" s="118"/>
      <c r="CA173" s="118"/>
      <c r="CB173" s="118"/>
      <c r="CC173" s="118"/>
      <c r="CD173" s="118"/>
      <c r="CE173" s="118"/>
      <c r="CF173" s="118"/>
      <c r="CG173" s="118"/>
      <c r="CH173" s="118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/>
      <c r="DL173"/>
      <c r="DM173"/>
      <c r="DN173"/>
      <c r="DO173"/>
      <c r="DP173"/>
    </row>
    <row r="174" spans="2:120" s="109" customFormat="1" ht="14.25">
      <c r="B174" s="301"/>
      <c r="C174" s="301"/>
      <c r="D174" s="118"/>
      <c r="E174" s="118"/>
      <c r="F174" s="118"/>
      <c r="G174" s="118"/>
      <c r="H174" s="118"/>
      <c r="I174" s="118"/>
      <c r="J174" s="118"/>
      <c r="K174" s="118"/>
      <c r="L174" s="118"/>
      <c r="M174" s="118"/>
      <c r="N174" s="118"/>
      <c r="O174" s="118"/>
      <c r="P174" s="118"/>
      <c r="Q174" s="118"/>
      <c r="R174" s="118"/>
      <c r="S174" s="118"/>
      <c r="T174" s="118"/>
      <c r="U174" s="118"/>
      <c r="V174" s="118"/>
      <c r="W174" s="118"/>
      <c r="X174" s="118"/>
      <c r="Y174" s="118"/>
      <c r="Z174" s="118"/>
      <c r="AA174" s="118"/>
      <c r="AB174" s="118"/>
      <c r="AC174" s="118"/>
      <c r="AD174" s="118"/>
      <c r="AE174" s="118"/>
      <c r="AF174" s="118"/>
      <c r="AG174" s="118"/>
      <c r="AH174" s="118"/>
      <c r="AI174" s="118"/>
      <c r="AJ174" s="118"/>
      <c r="AK174" s="118"/>
      <c r="AL174" s="118"/>
      <c r="AM174" s="118"/>
      <c r="AN174" s="118"/>
      <c r="AO174" s="118"/>
      <c r="AP174" s="118"/>
      <c r="AQ174" s="118"/>
      <c r="AR174" s="118"/>
      <c r="AS174" s="118"/>
      <c r="AT174" s="118"/>
      <c r="AU174" s="118"/>
      <c r="AV174" s="118"/>
      <c r="AW174" s="118"/>
      <c r="AX174" s="118"/>
      <c r="AY174" s="118"/>
      <c r="AZ174" s="118"/>
      <c r="BA174" s="118"/>
      <c r="BB174" s="118"/>
      <c r="BC174" s="118"/>
      <c r="BD174" s="118"/>
      <c r="BE174" s="118"/>
      <c r="BF174" s="118"/>
      <c r="BG174" s="118"/>
      <c r="BH174" s="118"/>
      <c r="BI174" s="118"/>
      <c r="BJ174" s="118"/>
      <c r="BK174" s="118"/>
      <c r="BL174" s="118"/>
      <c r="BM174" s="118"/>
      <c r="BN174" s="118"/>
      <c r="BO174" s="118"/>
      <c r="BP174" s="118"/>
      <c r="BQ174" s="118"/>
      <c r="BR174" s="118"/>
      <c r="BS174" s="118"/>
      <c r="BT174" s="118"/>
      <c r="BU174" s="118"/>
      <c r="BV174" s="118"/>
      <c r="BW174" s="118"/>
      <c r="BX174" s="118"/>
      <c r="BY174" s="118"/>
      <c r="BZ174" s="118"/>
      <c r="CA174" s="118"/>
      <c r="CB174" s="118"/>
      <c r="CC174" s="118"/>
      <c r="CD174" s="118"/>
      <c r="CE174" s="118"/>
      <c r="CF174" s="118"/>
      <c r="CG174" s="118"/>
      <c r="CH174" s="118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/>
      <c r="DL174"/>
      <c r="DM174"/>
      <c r="DN174"/>
      <c r="DO174"/>
      <c r="DP174"/>
    </row>
    <row r="175" spans="2:120" s="109" customFormat="1" ht="14.25">
      <c r="B175" s="301"/>
      <c r="C175" s="301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8"/>
      <c r="P175" s="118"/>
      <c r="Q175" s="118"/>
      <c r="R175" s="118"/>
      <c r="S175" s="118"/>
      <c r="T175" s="118"/>
      <c r="U175" s="118"/>
      <c r="V175" s="118"/>
      <c r="W175" s="118"/>
      <c r="X175" s="118"/>
      <c r="Y175" s="118"/>
      <c r="Z175" s="118"/>
      <c r="AA175" s="118"/>
      <c r="AB175" s="118"/>
      <c r="AC175" s="118"/>
      <c r="AD175" s="118"/>
      <c r="AE175" s="118"/>
      <c r="AF175" s="118"/>
      <c r="AG175" s="118"/>
      <c r="AH175" s="118"/>
      <c r="AI175" s="118"/>
      <c r="AJ175" s="118"/>
      <c r="AK175" s="118"/>
      <c r="AL175" s="118"/>
      <c r="AM175" s="118"/>
      <c r="AN175" s="118"/>
      <c r="AO175" s="118"/>
      <c r="AP175" s="118"/>
      <c r="AQ175" s="118"/>
      <c r="AR175" s="118"/>
      <c r="AS175" s="118"/>
      <c r="AT175" s="118"/>
      <c r="AU175" s="118"/>
      <c r="AV175" s="118"/>
      <c r="AW175" s="118"/>
      <c r="AX175" s="118"/>
      <c r="AY175" s="118"/>
      <c r="AZ175" s="118"/>
      <c r="BA175" s="118"/>
      <c r="BB175" s="118"/>
      <c r="BC175" s="118"/>
      <c r="BD175" s="118"/>
      <c r="BE175" s="118"/>
      <c r="BF175" s="118"/>
      <c r="BG175" s="118"/>
      <c r="BH175" s="118"/>
      <c r="BI175" s="118"/>
      <c r="BJ175" s="118"/>
      <c r="BK175" s="118"/>
      <c r="BL175" s="118"/>
      <c r="BM175" s="118"/>
      <c r="BN175" s="118"/>
      <c r="BO175" s="118"/>
      <c r="BP175" s="118"/>
      <c r="BQ175" s="118"/>
      <c r="BR175" s="118"/>
      <c r="BS175" s="118"/>
      <c r="BT175" s="118"/>
      <c r="BU175" s="118"/>
      <c r="BV175" s="118"/>
      <c r="BW175" s="118"/>
      <c r="BX175" s="118"/>
      <c r="BY175" s="118"/>
      <c r="BZ175" s="118"/>
      <c r="CA175" s="118"/>
      <c r="CB175" s="118"/>
      <c r="CC175" s="118"/>
      <c r="CD175" s="118"/>
      <c r="CE175" s="118"/>
      <c r="CF175" s="118"/>
      <c r="CG175" s="118"/>
      <c r="CH175" s="118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/>
      <c r="DL175"/>
      <c r="DM175"/>
      <c r="DN175"/>
      <c r="DO175"/>
      <c r="DP175"/>
    </row>
    <row r="176" spans="2:120" s="109" customFormat="1" ht="14.25">
      <c r="B176" s="301"/>
      <c r="C176" s="301"/>
      <c r="D176" s="118"/>
      <c r="E176" s="118"/>
      <c r="F176" s="118"/>
      <c r="G176" s="118"/>
      <c r="H176" s="118"/>
      <c r="I176" s="118"/>
      <c r="J176" s="118"/>
      <c r="K176" s="118"/>
      <c r="L176" s="118"/>
      <c r="M176" s="118"/>
      <c r="N176" s="118"/>
      <c r="O176" s="118"/>
      <c r="P176" s="118"/>
      <c r="Q176" s="118"/>
      <c r="R176" s="118"/>
      <c r="S176" s="118"/>
      <c r="T176" s="118"/>
      <c r="U176" s="118"/>
      <c r="V176" s="118"/>
      <c r="W176" s="118"/>
      <c r="X176" s="118"/>
      <c r="Y176" s="118"/>
      <c r="Z176" s="118"/>
      <c r="AA176" s="118"/>
      <c r="AB176" s="118"/>
      <c r="AC176" s="118"/>
      <c r="AD176" s="118"/>
      <c r="AE176" s="118"/>
      <c r="AF176" s="118"/>
      <c r="AG176" s="118"/>
      <c r="AH176" s="118"/>
      <c r="AI176" s="118"/>
      <c r="AJ176" s="118"/>
      <c r="AK176" s="118"/>
      <c r="AL176" s="118"/>
      <c r="AM176" s="118"/>
      <c r="AN176" s="118"/>
      <c r="AO176" s="118"/>
      <c r="AP176" s="118"/>
      <c r="AQ176" s="118"/>
      <c r="AR176" s="118"/>
      <c r="AS176" s="118"/>
      <c r="AT176" s="118"/>
      <c r="AU176" s="118"/>
      <c r="AV176" s="118"/>
      <c r="AW176" s="118"/>
      <c r="AX176" s="118"/>
      <c r="AY176" s="118"/>
      <c r="AZ176" s="118"/>
      <c r="BA176" s="118"/>
      <c r="BB176" s="118"/>
      <c r="BC176" s="118"/>
      <c r="BD176" s="118"/>
      <c r="BE176" s="118"/>
      <c r="BF176" s="118"/>
      <c r="BG176" s="118"/>
      <c r="BH176" s="118"/>
      <c r="BI176" s="118"/>
      <c r="BJ176" s="118"/>
      <c r="BK176" s="118"/>
      <c r="BL176" s="118"/>
      <c r="BM176" s="118"/>
      <c r="BN176" s="118"/>
      <c r="BO176" s="118"/>
      <c r="BP176" s="118"/>
      <c r="BQ176" s="118"/>
      <c r="BR176" s="118"/>
      <c r="BS176" s="118"/>
      <c r="BT176" s="118"/>
      <c r="BU176" s="118"/>
      <c r="BV176" s="118"/>
      <c r="BW176" s="118"/>
      <c r="BX176" s="118"/>
      <c r="BY176" s="118"/>
      <c r="BZ176" s="118"/>
      <c r="CA176" s="118"/>
      <c r="CB176" s="118"/>
      <c r="CC176" s="118"/>
      <c r="CD176" s="118"/>
      <c r="CE176" s="118"/>
      <c r="CF176" s="118"/>
      <c r="CG176" s="118"/>
      <c r="CH176" s="118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/>
      <c r="DL176"/>
      <c r="DM176"/>
      <c r="DN176"/>
      <c r="DO176"/>
      <c r="DP176"/>
    </row>
    <row r="177" spans="2:120" s="109" customFormat="1" ht="14.25">
      <c r="B177" s="301"/>
      <c r="C177" s="301"/>
      <c r="D177" s="118"/>
      <c r="E177" s="118"/>
      <c r="F177" s="118"/>
      <c r="G177" s="118"/>
      <c r="H177" s="118"/>
      <c r="I177" s="118"/>
      <c r="J177" s="118"/>
      <c r="K177" s="118"/>
      <c r="L177" s="118"/>
      <c r="M177" s="118"/>
      <c r="N177" s="118"/>
      <c r="O177" s="118"/>
      <c r="P177" s="118"/>
      <c r="Q177" s="118"/>
      <c r="R177" s="118"/>
      <c r="S177" s="118"/>
      <c r="T177" s="118"/>
      <c r="U177" s="118"/>
      <c r="V177" s="118"/>
      <c r="W177" s="118"/>
      <c r="X177" s="118"/>
      <c r="Y177" s="118"/>
      <c r="Z177" s="118"/>
      <c r="AA177" s="118"/>
      <c r="AB177" s="118"/>
      <c r="AC177" s="118"/>
      <c r="AD177" s="118"/>
      <c r="AE177" s="118"/>
      <c r="AF177" s="118"/>
      <c r="AG177" s="118"/>
      <c r="AH177" s="118"/>
      <c r="AI177" s="118"/>
      <c r="AJ177" s="118"/>
      <c r="AK177" s="118"/>
      <c r="AL177" s="118"/>
      <c r="AM177" s="118"/>
      <c r="AN177" s="118"/>
      <c r="AO177" s="118"/>
      <c r="AP177" s="118"/>
      <c r="AQ177" s="118"/>
      <c r="AR177" s="118"/>
      <c r="AS177" s="118"/>
      <c r="AT177" s="118"/>
      <c r="AU177" s="118"/>
      <c r="AV177" s="118"/>
      <c r="AW177" s="118"/>
      <c r="AX177" s="118"/>
      <c r="AY177" s="118"/>
      <c r="AZ177" s="118"/>
      <c r="BA177" s="118"/>
      <c r="BB177" s="118"/>
      <c r="BC177" s="118"/>
      <c r="BD177" s="118"/>
      <c r="BE177" s="118"/>
      <c r="BF177" s="118"/>
      <c r="BG177" s="118"/>
      <c r="BH177" s="118"/>
      <c r="BI177" s="118"/>
      <c r="BJ177" s="118"/>
      <c r="BK177" s="118"/>
      <c r="BL177" s="118"/>
      <c r="BM177" s="118"/>
      <c r="BN177" s="118"/>
      <c r="BO177" s="118"/>
      <c r="BP177" s="118"/>
      <c r="BQ177" s="118"/>
      <c r="BR177" s="118"/>
      <c r="BS177" s="118"/>
      <c r="BT177" s="118"/>
      <c r="BU177" s="118"/>
      <c r="BV177" s="118"/>
      <c r="BW177" s="118"/>
      <c r="BX177" s="118"/>
      <c r="BY177" s="118"/>
      <c r="BZ177" s="118"/>
      <c r="CA177" s="118"/>
      <c r="CB177" s="118"/>
      <c r="CC177" s="118"/>
      <c r="CD177" s="118"/>
      <c r="CE177" s="118"/>
      <c r="CF177" s="118"/>
      <c r="CG177" s="118"/>
      <c r="CH177" s="118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/>
      <c r="DL177"/>
      <c r="DM177"/>
      <c r="DN177"/>
      <c r="DO177"/>
      <c r="DP177"/>
    </row>
    <row r="178" spans="2:120" s="109" customFormat="1" ht="14.25">
      <c r="B178" s="301"/>
      <c r="C178" s="301"/>
      <c r="D178" s="118"/>
      <c r="E178" s="118"/>
      <c r="F178" s="118"/>
      <c r="G178" s="118"/>
      <c r="H178" s="118"/>
      <c r="I178" s="118"/>
      <c r="J178" s="118"/>
      <c r="K178" s="118"/>
      <c r="L178" s="118"/>
      <c r="M178" s="118"/>
      <c r="N178" s="118"/>
      <c r="O178" s="118"/>
      <c r="P178" s="118"/>
      <c r="Q178" s="118"/>
      <c r="R178" s="118"/>
      <c r="S178" s="118"/>
      <c r="T178" s="118"/>
      <c r="U178" s="118"/>
      <c r="V178" s="118"/>
      <c r="W178" s="118"/>
      <c r="X178" s="118"/>
      <c r="Y178" s="118"/>
      <c r="Z178" s="118"/>
      <c r="AA178" s="118"/>
      <c r="AB178" s="118"/>
      <c r="AC178" s="118"/>
      <c r="AD178" s="118"/>
      <c r="AE178" s="118"/>
      <c r="AF178" s="118"/>
      <c r="AG178" s="118"/>
      <c r="AH178" s="118"/>
      <c r="AI178" s="118"/>
      <c r="AJ178" s="118"/>
      <c r="AK178" s="118"/>
      <c r="AL178" s="118"/>
      <c r="AM178" s="118"/>
      <c r="AN178" s="118"/>
      <c r="AO178" s="118"/>
      <c r="AP178" s="118"/>
      <c r="AQ178" s="118"/>
      <c r="AR178" s="118"/>
      <c r="AS178" s="118"/>
      <c r="AT178" s="118"/>
      <c r="AU178" s="118"/>
      <c r="AV178" s="118"/>
      <c r="AW178" s="118"/>
      <c r="AX178" s="118"/>
      <c r="AY178" s="118"/>
      <c r="AZ178" s="118"/>
      <c r="BA178" s="118"/>
      <c r="BB178" s="118"/>
      <c r="BC178" s="118"/>
      <c r="BD178" s="118"/>
      <c r="BE178" s="118"/>
      <c r="BF178" s="118"/>
      <c r="BG178" s="118"/>
      <c r="BH178" s="118"/>
      <c r="BI178" s="118"/>
      <c r="BJ178" s="118"/>
      <c r="BK178" s="118"/>
      <c r="BL178" s="118"/>
      <c r="BM178" s="118"/>
      <c r="BN178" s="118"/>
      <c r="BO178" s="118"/>
      <c r="BP178" s="118"/>
      <c r="BQ178" s="118"/>
      <c r="BR178" s="118"/>
      <c r="BS178" s="118"/>
      <c r="BT178" s="118"/>
      <c r="BU178" s="118"/>
      <c r="BV178" s="118"/>
      <c r="BW178" s="118"/>
      <c r="BX178" s="118"/>
      <c r="BY178" s="118"/>
      <c r="BZ178" s="118"/>
      <c r="CA178" s="118"/>
      <c r="CB178" s="118"/>
      <c r="CC178" s="118"/>
      <c r="CD178" s="118"/>
      <c r="CE178" s="118"/>
      <c r="CF178" s="118"/>
      <c r="CG178" s="118"/>
      <c r="CH178" s="118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/>
      <c r="DL178"/>
      <c r="DM178"/>
      <c r="DN178"/>
      <c r="DO178"/>
      <c r="DP178"/>
    </row>
    <row r="179" spans="2:120" s="109" customFormat="1" ht="14.25">
      <c r="B179" s="301"/>
      <c r="C179" s="301"/>
      <c r="D179" s="118"/>
      <c r="E179" s="118"/>
      <c r="F179" s="118"/>
      <c r="G179" s="118"/>
      <c r="H179" s="118"/>
      <c r="I179" s="118"/>
      <c r="J179" s="118"/>
      <c r="K179" s="118"/>
      <c r="L179" s="118"/>
      <c r="M179" s="118"/>
      <c r="N179" s="118"/>
      <c r="O179" s="118"/>
      <c r="P179" s="118"/>
      <c r="Q179" s="118"/>
      <c r="R179" s="118"/>
      <c r="S179" s="118"/>
      <c r="T179" s="118"/>
      <c r="U179" s="118"/>
      <c r="V179" s="118"/>
      <c r="W179" s="118"/>
      <c r="X179" s="118"/>
      <c r="Y179" s="118"/>
      <c r="Z179" s="118"/>
      <c r="AA179" s="118"/>
      <c r="AB179" s="118"/>
      <c r="AC179" s="118"/>
      <c r="AD179" s="118"/>
      <c r="AE179" s="118"/>
      <c r="AF179" s="118"/>
      <c r="AG179" s="118"/>
      <c r="AH179" s="118"/>
      <c r="AI179" s="118"/>
      <c r="AJ179" s="118"/>
      <c r="AK179" s="118"/>
      <c r="AL179" s="118"/>
      <c r="AM179" s="118"/>
      <c r="AN179" s="118"/>
      <c r="AO179" s="118"/>
      <c r="AP179" s="118"/>
      <c r="AQ179" s="118"/>
      <c r="AR179" s="118"/>
      <c r="AS179" s="118"/>
      <c r="AT179" s="118"/>
      <c r="AU179" s="118"/>
      <c r="AV179" s="118"/>
      <c r="AW179" s="118"/>
      <c r="AX179" s="118"/>
      <c r="AY179" s="118"/>
      <c r="AZ179" s="118"/>
      <c r="BA179" s="118"/>
      <c r="BB179" s="118"/>
      <c r="BC179" s="118"/>
      <c r="BD179" s="118"/>
      <c r="BE179" s="118"/>
      <c r="BF179" s="118"/>
      <c r="BG179" s="118"/>
      <c r="BH179" s="118"/>
      <c r="BI179" s="118"/>
      <c r="BJ179" s="118"/>
      <c r="BK179" s="118"/>
      <c r="BL179" s="118"/>
      <c r="BM179" s="118"/>
      <c r="BN179" s="118"/>
      <c r="BO179" s="118"/>
      <c r="BP179" s="118"/>
      <c r="BQ179" s="118"/>
      <c r="BR179" s="118"/>
      <c r="BS179" s="118"/>
      <c r="BT179" s="118"/>
      <c r="BU179" s="118"/>
      <c r="BV179" s="118"/>
      <c r="BW179" s="118"/>
      <c r="BX179" s="118"/>
      <c r="BY179" s="118"/>
      <c r="BZ179" s="118"/>
      <c r="CA179" s="118"/>
      <c r="CB179" s="118"/>
      <c r="CC179" s="118"/>
      <c r="CD179" s="118"/>
      <c r="CE179" s="118"/>
      <c r="CF179" s="118"/>
      <c r="CG179" s="118"/>
      <c r="CH179" s="118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/>
      <c r="DL179"/>
      <c r="DM179"/>
      <c r="DN179"/>
      <c r="DO179"/>
      <c r="DP179"/>
    </row>
    <row r="180" spans="2:120" s="109" customFormat="1" ht="14.25">
      <c r="B180" s="301"/>
      <c r="C180" s="301"/>
      <c r="D180" s="118"/>
      <c r="E180" s="118"/>
      <c r="F180" s="118"/>
      <c r="G180" s="118"/>
      <c r="H180" s="118"/>
      <c r="I180" s="118"/>
      <c r="J180" s="118"/>
      <c r="K180" s="118"/>
      <c r="L180" s="118"/>
      <c r="M180" s="118"/>
      <c r="N180" s="118"/>
      <c r="O180" s="118"/>
      <c r="P180" s="118"/>
      <c r="Q180" s="118"/>
      <c r="R180" s="118"/>
      <c r="S180" s="118"/>
      <c r="T180" s="118"/>
      <c r="U180" s="118"/>
      <c r="V180" s="118"/>
      <c r="W180" s="118"/>
      <c r="X180" s="118"/>
      <c r="Y180" s="118"/>
      <c r="Z180" s="118"/>
      <c r="AA180" s="118"/>
      <c r="AB180" s="118"/>
      <c r="AC180" s="118"/>
      <c r="AD180" s="118"/>
      <c r="AE180" s="118"/>
      <c r="AF180" s="118"/>
      <c r="AG180" s="118"/>
      <c r="AH180" s="118"/>
      <c r="AI180" s="118"/>
      <c r="AJ180" s="118"/>
      <c r="AK180" s="118"/>
      <c r="AL180" s="118"/>
      <c r="AM180" s="118"/>
      <c r="AN180" s="118"/>
      <c r="AO180" s="118"/>
      <c r="AP180" s="118"/>
      <c r="AQ180" s="118"/>
      <c r="AR180" s="118"/>
      <c r="AS180" s="118"/>
      <c r="AT180" s="118"/>
      <c r="AU180" s="118"/>
      <c r="AV180" s="118"/>
      <c r="AW180" s="118"/>
      <c r="AX180" s="118"/>
      <c r="AY180" s="118"/>
      <c r="AZ180" s="118"/>
      <c r="BA180" s="118"/>
      <c r="BB180" s="118"/>
      <c r="BC180" s="118"/>
      <c r="BD180" s="118"/>
      <c r="BE180" s="118"/>
      <c r="BF180" s="118"/>
      <c r="BG180" s="118"/>
      <c r="BH180" s="118"/>
      <c r="BI180" s="118"/>
      <c r="BJ180" s="118"/>
      <c r="BK180" s="118"/>
      <c r="BL180" s="118"/>
      <c r="BM180" s="118"/>
      <c r="BN180" s="118"/>
      <c r="BO180" s="118"/>
      <c r="BP180" s="118"/>
      <c r="BQ180" s="118"/>
      <c r="BR180" s="118"/>
      <c r="BS180" s="118"/>
      <c r="BT180" s="118"/>
      <c r="BU180" s="118"/>
      <c r="BV180" s="118"/>
      <c r="BW180" s="118"/>
      <c r="BX180" s="118"/>
      <c r="BY180" s="118"/>
      <c r="BZ180" s="118"/>
      <c r="CA180" s="118"/>
      <c r="CB180" s="118"/>
      <c r="CC180" s="118"/>
      <c r="CD180" s="118"/>
      <c r="CE180" s="118"/>
      <c r="CF180" s="118"/>
      <c r="CG180" s="118"/>
      <c r="CH180" s="118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/>
      <c r="DL180"/>
      <c r="DM180"/>
      <c r="DN180"/>
      <c r="DO180"/>
      <c r="DP180"/>
    </row>
    <row r="181" spans="2:120" s="109" customFormat="1" ht="14.25">
      <c r="B181" s="301"/>
      <c r="C181" s="301"/>
      <c r="D181" s="118"/>
      <c r="E181" s="118"/>
      <c r="F181" s="118"/>
      <c r="G181" s="118"/>
      <c r="H181" s="118"/>
      <c r="I181" s="118"/>
      <c r="J181" s="118"/>
      <c r="K181" s="118"/>
      <c r="L181" s="118"/>
      <c r="M181" s="118"/>
      <c r="N181" s="118"/>
      <c r="O181" s="118"/>
      <c r="P181" s="118"/>
      <c r="Q181" s="118"/>
      <c r="R181" s="118"/>
      <c r="S181" s="118"/>
      <c r="T181" s="118"/>
      <c r="U181" s="118"/>
      <c r="V181" s="118"/>
      <c r="W181" s="118"/>
      <c r="X181" s="118"/>
      <c r="Y181" s="118"/>
      <c r="Z181" s="118"/>
      <c r="AA181" s="118"/>
      <c r="AB181" s="118"/>
      <c r="AC181" s="118"/>
      <c r="AD181" s="118"/>
      <c r="AE181" s="118"/>
      <c r="AF181" s="118"/>
      <c r="AG181" s="118"/>
      <c r="AH181" s="118"/>
      <c r="AI181" s="118"/>
      <c r="AJ181" s="118"/>
      <c r="AK181" s="118"/>
      <c r="AL181" s="118"/>
      <c r="AM181" s="118"/>
      <c r="AN181" s="118"/>
      <c r="AO181" s="118"/>
      <c r="AP181" s="118"/>
      <c r="AQ181" s="118"/>
      <c r="AR181" s="118"/>
      <c r="AS181" s="118"/>
      <c r="AT181" s="118"/>
      <c r="AU181" s="118"/>
      <c r="AV181" s="118"/>
      <c r="AW181" s="118"/>
      <c r="AX181" s="118"/>
      <c r="AY181" s="118"/>
      <c r="AZ181" s="118"/>
      <c r="BA181" s="118"/>
      <c r="BB181" s="118"/>
      <c r="BC181" s="118"/>
      <c r="BD181" s="118"/>
      <c r="BE181" s="118"/>
      <c r="BF181" s="118"/>
      <c r="BG181" s="118"/>
      <c r="BH181" s="118"/>
      <c r="BI181" s="118"/>
      <c r="BJ181" s="118"/>
      <c r="BK181" s="118"/>
      <c r="BL181" s="118"/>
      <c r="BM181" s="118"/>
      <c r="BN181" s="118"/>
      <c r="BO181" s="118"/>
      <c r="BP181" s="118"/>
      <c r="BQ181" s="118"/>
      <c r="BR181" s="118"/>
      <c r="BS181" s="118"/>
      <c r="BT181" s="118"/>
      <c r="BU181" s="118"/>
      <c r="BV181" s="118"/>
      <c r="BW181" s="118"/>
      <c r="BX181" s="118"/>
      <c r="BY181" s="118"/>
      <c r="BZ181" s="118"/>
      <c r="CA181" s="118"/>
      <c r="CB181" s="118"/>
      <c r="CC181" s="118"/>
      <c r="CD181" s="118"/>
      <c r="CE181" s="118"/>
      <c r="CF181" s="118"/>
      <c r="CG181" s="118"/>
      <c r="CH181" s="118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/>
      <c r="DL181"/>
      <c r="DM181"/>
      <c r="DN181"/>
      <c r="DO181"/>
      <c r="DP181"/>
    </row>
    <row r="182" spans="2:120" s="109" customFormat="1" ht="14.25">
      <c r="B182" s="301"/>
      <c r="C182" s="301"/>
      <c r="D182" s="118"/>
      <c r="E182" s="118"/>
      <c r="F182" s="118"/>
      <c r="G182" s="118"/>
      <c r="H182" s="118"/>
      <c r="I182" s="118"/>
      <c r="J182" s="118"/>
      <c r="K182" s="118"/>
      <c r="L182" s="118"/>
      <c r="M182" s="118"/>
      <c r="N182" s="118"/>
      <c r="O182" s="118"/>
      <c r="P182" s="118"/>
      <c r="Q182" s="118"/>
      <c r="R182" s="118"/>
      <c r="S182" s="118"/>
      <c r="T182" s="118"/>
      <c r="U182" s="118"/>
      <c r="V182" s="118"/>
      <c r="W182" s="118"/>
      <c r="X182" s="118"/>
      <c r="Y182" s="118"/>
      <c r="Z182" s="118"/>
      <c r="AA182" s="118"/>
      <c r="AB182" s="118"/>
      <c r="AC182" s="118"/>
      <c r="AD182" s="118"/>
      <c r="AE182" s="118"/>
      <c r="AF182" s="118"/>
      <c r="AG182" s="118"/>
      <c r="AH182" s="118"/>
      <c r="AI182" s="118"/>
      <c r="AJ182" s="118"/>
      <c r="AK182" s="118"/>
      <c r="AL182" s="118"/>
      <c r="AM182" s="118"/>
      <c r="AN182" s="118"/>
      <c r="AO182" s="118"/>
      <c r="AP182" s="118"/>
      <c r="AQ182" s="118"/>
      <c r="AR182" s="118"/>
      <c r="AS182" s="118"/>
      <c r="AT182" s="118"/>
      <c r="AU182" s="118"/>
      <c r="AV182" s="118"/>
      <c r="AW182" s="118"/>
      <c r="AX182" s="118"/>
      <c r="AY182" s="118"/>
      <c r="AZ182" s="118"/>
      <c r="BA182" s="118"/>
      <c r="BB182" s="118"/>
      <c r="BC182" s="118"/>
      <c r="BD182" s="118"/>
      <c r="BE182" s="118"/>
      <c r="BF182" s="118"/>
      <c r="BG182" s="118"/>
      <c r="BH182" s="118"/>
      <c r="BI182" s="118"/>
      <c r="BJ182" s="118"/>
      <c r="BK182" s="118"/>
      <c r="BL182" s="118"/>
      <c r="BM182" s="118"/>
      <c r="BN182" s="118"/>
      <c r="BO182" s="118"/>
      <c r="BP182" s="118"/>
      <c r="BQ182" s="118"/>
      <c r="BR182" s="118"/>
      <c r="BS182" s="118"/>
      <c r="BT182" s="118"/>
      <c r="BU182" s="118"/>
      <c r="BV182" s="118"/>
      <c r="BW182" s="118"/>
      <c r="BX182" s="118"/>
      <c r="BY182" s="118"/>
      <c r="BZ182" s="118"/>
      <c r="CA182" s="118"/>
      <c r="CB182" s="118"/>
      <c r="CC182" s="118"/>
      <c r="CD182" s="118"/>
      <c r="CE182" s="118"/>
      <c r="CF182" s="118"/>
      <c r="CG182" s="118"/>
      <c r="CH182" s="118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/>
      <c r="DL182"/>
      <c r="DM182"/>
      <c r="DN182"/>
      <c r="DO182"/>
      <c r="DP182"/>
    </row>
    <row r="183" spans="2:120" s="109" customFormat="1" ht="14.25">
      <c r="B183" s="301"/>
      <c r="C183" s="301"/>
      <c r="D183" s="118"/>
      <c r="E183" s="118"/>
      <c r="F183" s="118"/>
      <c r="G183" s="118"/>
      <c r="H183" s="118"/>
      <c r="I183" s="118"/>
      <c r="J183" s="118"/>
      <c r="K183" s="118"/>
      <c r="L183" s="118"/>
      <c r="M183" s="118"/>
      <c r="N183" s="118"/>
      <c r="O183" s="118"/>
      <c r="P183" s="118"/>
      <c r="Q183" s="118"/>
      <c r="R183" s="118"/>
      <c r="S183" s="118"/>
      <c r="T183" s="118"/>
      <c r="U183" s="118"/>
      <c r="V183" s="118"/>
      <c r="W183" s="118"/>
      <c r="X183" s="118"/>
      <c r="Y183" s="118"/>
      <c r="Z183" s="118"/>
      <c r="AA183" s="118"/>
      <c r="AB183" s="118"/>
      <c r="AC183" s="118"/>
      <c r="AD183" s="118"/>
      <c r="AE183" s="118"/>
      <c r="AF183" s="118"/>
      <c r="AG183" s="118"/>
      <c r="AH183" s="118"/>
      <c r="AI183" s="118"/>
      <c r="AJ183" s="118"/>
      <c r="AK183" s="118"/>
      <c r="AL183" s="118"/>
      <c r="AM183" s="118"/>
      <c r="AN183" s="118"/>
      <c r="AO183" s="118"/>
      <c r="AP183" s="118"/>
      <c r="AQ183" s="118"/>
      <c r="AR183" s="118"/>
      <c r="AS183" s="118"/>
      <c r="AT183" s="118"/>
      <c r="AU183" s="118"/>
      <c r="AV183" s="118"/>
      <c r="AW183" s="118"/>
      <c r="AX183" s="118"/>
      <c r="AY183" s="118"/>
      <c r="AZ183" s="118"/>
      <c r="BA183" s="118"/>
      <c r="BB183" s="118"/>
      <c r="BC183" s="118"/>
      <c r="BD183" s="118"/>
      <c r="BE183" s="118"/>
      <c r="BF183" s="118"/>
      <c r="BG183" s="118"/>
      <c r="BH183" s="118"/>
      <c r="BI183" s="118"/>
      <c r="BJ183" s="118"/>
      <c r="BK183" s="118"/>
      <c r="BL183" s="118"/>
      <c r="BM183" s="118"/>
      <c r="BN183" s="118"/>
      <c r="BO183" s="118"/>
      <c r="BP183" s="118"/>
      <c r="BQ183" s="118"/>
      <c r="BR183" s="118"/>
      <c r="BS183" s="118"/>
      <c r="BT183" s="118"/>
      <c r="BU183" s="118"/>
      <c r="BV183" s="118"/>
      <c r="BW183" s="118"/>
      <c r="BX183" s="118"/>
      <c r="BY183" s="118"/>
      <c r="BZ183" s="118"/>
      <c r="CA183" s="118"/>
      <c r="CB183" s="118"/>
      <c r="CC183" s="118"/>
      <c r="CD183" s="118"/>
      <c r="CE183" s="118"/>
      <c r="CF183" s="118"/>
      <c r="CG183" s="118"/>
      <c r="CH183" s="118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/>
      <c r="DL183"/>
      <c r="DM183"/>
      <c r="DN183"/>
      <c r="DO183"/>
      <c r="DP183"/>
    </row>
    <row r="184" spans="2:120" s="109" customFormat="1" ht="14.25">
      <c r="B184" s="301"/>
      <c r="C184" s="301"/>
      <c r="D184" s="118"/>
      <c r="E184" s="118"/>
      <c r="F184" s="118"/>
      <c r="G184" s="118"/>
      <c r="H184" s="118"/>
      <c r="I184" s="118"/>
      <c r="J184" s="118"/>
      <c r="K184" s="118"/>
      <c r="L184" s="118"/>
      <c r="M184" s="118"/>
      <c r="N184" s="118"/>
      <c r="O184" s="118"/>
      <c r="P184" s="118"/>
      <c r="Q184" s="118"/>
      <c r="R184" s="118"/>
      <c r="S184" s="118"/>
      <c r="T184" s="118"/>
      <c r="U184" s="118"/>
      <c r="V184" s="118"/>
      <c r="W184" s="118"/>
      <c r="X184" s="118"/>
      <c r="Y184" s="118"/>
      <c r="Z184" s="118"/>
      <c r="AA184" s="118"/>
      <c r="AB184" s="118"/>
      <c r="AC184" s="118"/>
      <c r="AD184" s="118"/>
      <c r="AE184" s="118"/>
      <c r="AF184" s="118"/>
      <c r="AG184" s="118"/>
      <c r="AH184" s="118"/>
      <c r="AI184" s="118"/>
      <c r="AJ184" s="118"/>
      <c r="AK184" s="118"/>
      <c r="AL184" s="118"/>
      <c r="AM184" s="118"/>
      <c r="AN184" s="118"/>
      <c r="AO184" s="118"/>
      <c r="AP184" s="118"/>
      <c r="AQ184" s="118"/>
      <c r="AR184" s="118"/>
      <c r="AS184" s="118"/>
      <c r="AT184" s="118"/>
      <c r="AU184" s="118"/>
      <c r="AV184" s="118"/>
      <c r="AW184" s="118"/>
      <c r="AX184" s="118"/>
      <c r="AY184" s="118"/>
      <c r="AZ184" s="118"/>
      <c r="BA184" s="118"/>
      <c r="BB184" s="118"/>
      <c r="BC184" s="118"/>
      <c r="BD184" s="118"/>
      <c r="BE184" s="118"/>
      <c r="BF184" s="118"/>
      <c r="BG184" s="118"/>
      <c r="BH184" s="118"/>
      <c r="BI184" s="118"/>
      <c r="BJ184" s="118"/>
      <c r="BK184" s="118"/>
      <c r="BL184" s="118"/>
      <c r="BM184" s="118"/>
      <c r="BN184" s="118"/>
      <c r="BO184" s="118"/>
      <c r="BP184" s="118"/>
      <c r="BQ184" s="118"/>
      <c r="BR184" s="118"/>
      <c r="BS184" s="118"/>
      <c r="BT184" s="118"/>
      <c r="BU184" s="118"/>
      <c r="BV184" s="118"/>
      <c r="BW184" s="118"/>
      <c r="BX184" s="118"/>
      <c r="BY184" s="118"/>
      <c r="BZ184" s="118"/>
      <c r="CA184" s="118"/>
      <c r="CB184" s="118"/>
      <c r="CC184" s="118"/>
      <c r="CD184" s="118"/>
      <c r="CE184" s="118"/>
      <c r="CF184" s="118"/>
      <c r="CG184" s="118"/>
      <c r="CH184" s="118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/>
      <c r="DL184"/>
      <c r="DM184"/>
      <c r="DN184"/>
      <c r="DO184"/>
      <c r="DP184"/>
    </row>
    <row r="185" spans="2:120" s="109" customFormat="1" ht="14.25">
      <c r="B185" s="301"/>
      <c r="C185" s="301"/>
      <c r="D185" s="118"/>
      <c r="E185" s="118"/>
      <c r="F185" s="118"/>
      <c r="G185" s="118"/>
      <c r="H185" s="118"/>
      <c r="I185" s="118"/>
      <c r="J185" s="118"/>
      <c r="K185" s="118"/>
      <c r="L185" s="118"/>
      <c r="M185" s="118"/>
      <c r="N185" s="118"/>
      <c r="O185" s="118"/>
      <c r="P185" s="118"/>
      <c r="Q185" s="118"/>
      <c r="R185" s="118"/>
      <c r="S185" s="118"/>
      <c r="T185" s="118"/>
      <c r="U185" s="118"/>
      <c r="V185" s="118"/>
      <c r="W185" s="118"/>
      <c r="X185" s="118"/>
      <c r="Y185" s="118"/>
      <c r="Z185" s="118"/>
      <c r="AA185" s="118"/>
      <c r="AB185" s="118"/>
      <c r="AC185" s="118"/>
      <c r="AD185" s="118"/>
      <c r="AE185" s="118"/>
      <c r="AF185" s="118"/>
      <c r="AG185" s="118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  <c r="AT185" s="118"/>
      <c r="AU185" s="118"/>
      <c r="AV185" s="118"/>
      <c r="AW185" s="118"/>
      <c r="AX185" s="118"/>
      <c r="AY185" s="118"/>
      <c r="AZ185" s="118"/>
      <c r="BA185" s="118"/>
      <c r="BB185" s="118"/>
      <c r="BC185" s="118"/>
      <c r="BD185" s="118"/>
      <c r="BE185" s="118"/>
      <c r="BF185" s="118"/>
      <c r="BG185" s="118"/>
      <c r="BH185" s="118"/>
      <c r="BI185" s="118"/>
      <c r="BJ185" s="118"/>
      <c r="BK185" s="118"/>
      <c r="BL185" s="118"/>
      <c r="BM185" s="118"/>
      <c r="BN185" s="118"/>
      <c r="BO185" s="118"/>
      <c r="BP185" s="118"/>
      <c r="BQ185" s="118"/>
      <c r="BR185" s="118"/>
      <c r="BS185" s="118"/>
      <c r="BT185" s="118"/>
      <c r="BU185" s="118"/>
      <c r="BV185" s="118"/>
      <c r="BW185" s="118"/>
      <c r="BX185" s="118"/>
      <c r="BY185" s="118"/>
      <c r="BZ185" s="118"/>
      <c r="CA185" s="118"/>
      <c r="CB185" s="118"/>
      <c r="CC185" s="118"/>
      <c r="CD185" s="118"/>
      <c r="CE185" s="118"/>
      <c r="CF185" s="118"/>
      <c r="CG185" s="118"/>
      <c r="CH185" s="118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/>
      <c r="DL185"/>
      <c r="DM185"/>
      <c r="DN185"/>
      <c r="DO185"/>
      <c r="DP185"/>
    </row>
    <row r="186" spans="2:120" s="109" customFormat="1" ht="14.25">
      <c r="B186" s="301"/>
      <c r="C186" s="301"/>
      <c r="D186" s="118"/>
      <c r="E186" s="118"/>
      <c r="F186" s="118"/>
      <c r="G186" s="118"/>
      <c r="H186" s="118"/>
      <c r="I186" s="118"/>
      <c r="J186" s="118"/>
      <c r="K186" s="118"/>
      <c r="L186" s="118"/>
      <c r="M186" s="118"/>
      <c r="N186" s="118"/>
      <c r="O186" s="118"/>
      <c r="P186" s="118"/>
      <c r="Q186" s="118"/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/>
      <c r="AC186" s="118"/>
      <c r="AD186" s="118"/>
      <c r="AE186" s="118"/>
      <c r="AF186" s="118"/>
      <c r="AG186" s="118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  <c r="AT186" s="118"/>
      <c r="AU186" s="118"/>
      <c r="AV186" s="118"/>
      <c r="AW186" s="118"/>
      <c r="AX186" s="118"/>
      <c r="AY186" s="118"/>
      <c r="AZ186" s="118"/>
      <c r="BA186" s="118"/>
      <c r="BB186" s="118"/>
      <c r="BC186" s="118"/>
      <c r="BD186" s="118"/>
      <c r="BE186" s="118"/>
      <c r="BF186" s="118"/>
      <c r="BG186" s="118"/>
      <c r="BH186" s="118"/>
      <c r="BI186" s="118"/>
      <c r="BJ186" s="118"/>
      <c r="BK186" s="118"/>
      <c r="BL186" s="118"/>
      <c r="BM186" s="118"/>
      <c r="BN186" s="118"/>
      <c r="BO186" s="118"/>
      <c r="BP186" s="118"/>
      <c r="BQ186" s="118"/>
      <c r="BR186" s="118"/>
      <c r="BS186" s="118"/>
      <c r="BT186" s="118"/>
      <c r="BU186" s="118"/>
      <c r="BV186" s="118"/>
      <c r="BW186" s="118"/>
      <c r="BX186" s="118"/>
      <c r="BY186" s="118"/>
      <c r="BZ186" s="118"/>
      <c r="CA186" s="118"/>
      <c r="CB186" s="118"/>
      <c r="CC186" s="118"/>
      <c r="CD186" s="118"/>
      <c r="CE186" s="118"/>
      <c r="CF186" s="118"/>
      <c r="CG186" s="118"/>
      <c r="CH186" s="118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/>
      <c r="DL186"/>
      <c r="DM186"/>
      <c r="DN186"/>
      <c r="DO186"/>
      <c r="DP186"/>
    </row>
    <row r="187" spans="2:120" s="109" customFormat="1" ht="14.25">
      <c r="B187" s="301"/>
      <c r="C187" s="301"/>
      <c r="D187" s="118"/>
      <c r="E187" s="118"/>
      <c r="F187" s="118"/>
      <c r="G187" s="118"/>
      <c r="H187" s="118"/>
      <c r="I187" s="118"/>
      <c r="J187" s="118"/>
      <c r="K187" s="118"/>
      <c r="L187" s="118"/>
      <c r="M187" s="118"/>
      <c r="N187" s="118"/>
      <c r="O187" s="118"/>
      <c r="P187" s="118"/>
      <c r="Q187" s="118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18"/>
      <c r="AD187" s="118"/>
      <c r="AE187" s="118"/>
      <c r="AF187" s="118"/>
      <c r="AG187" s="118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  <c r="AT187" s="118"/>
      <c r="AU187" s="118"/>
      <c r="AV187" s="118"/>
      <c r="AW187" s="118"/>
      <c r="AX187" s="118"/>
      <c r="AY187" s="118"/>
      <c r="AZ187" s="118"/>
      <c r="BA187" s="118"/>
      <c r="BB187" s="118"/>
      <c r="BC187" s="118"/>
      <c r="BD187" s="118"/>
      <c r="BE187" s="118"/>
      <c r="BF187" s="118"/>
      <c r="BG187" s="118"/>
      <c r="BH187" s="118"/>
      <c r="BI187" s="118"/>
      <c r="BJ187" s="118"/>
      <c r="BK187" s="118"/>
      <c r="BL187" s="118"/>
      <c r="BM187" s="118"/>
      <c r="BN187" s="118"/>
      <c r="BO187" s="118"/>
      <c r="BP187" s="118"/>
      <c r="BQ187" s="118"/>
      <c r="BR187" s="118"/>
      <c r="BS187" s="118"/>
      <c r="BT187" s="118"/>
      <c r="BU187" s="118"/>
      <c r="BV187" s="118"/>
      <c r="BW187" s="118"/>
      <c r="BX187" s="118"/>
      <c r="BY187" s="118"/>
      <c r="BZ187" s="118"/>
      <c r="CA187" s="118"/>
      <c r="CB187" s="118"/>
      <c r="CC187" s="118"/>
      <c r="CD187" s="118"/>
      <c r="CE187" s="118"/>
      <c r="CF187" s="118"/>
      <c r="CG187" s="118"/>
      <c r="CH187" s="118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/>
      <c r="DL187"/>
      <c r="DM187"/>
      <c r="DN187"/>
      <c r="DO187"/>
      <c r="DP187"/>
    </row>
    <row r="188" spans="2:120" s="109" customFormat="1" ht="14.25">
      <c r="B188" s="301"/>
      <c r="C188" s="301"/>
      <c r="D188" s="118"/>
      <c r="E188" s="118"/>
      <c r="F188" s="118"/>
      <c r="G188" s="118"/>
      <c r="H188" s="118"/>
      <c r="I188" s="118"/>
      <c r="J188" s="118"/>
      <c r="K188" s="118"/>
      <c r="L188" s="118"/>
      <c r="M188" s="118"/>
      <c r="N188" s="118"/>
      <c r="O188" s="118"/>
      <c r="P188" s="118"/>
      <c r="Q188" s="118"/>
      <c r="R188" s="118"/>
      <c r="S188" s="118"/>
      <c r="T188" s="118"/>
      <c r="U188" s="118"/>
      <c r="V188" s="118"/>
      <c r="W188" s="118"/>
      <c r="X188" s="118"/>
      <c r="Y188" s="118"/>
      <c r="Z188" s="118"/>
      <c r="AA188" s="118"/>
      <c r="AB188" s="118"/>
      <c r="AC188" s="118"/>
      <c r="AD188" s="118"/>
      <c r="AE188" s="118"/>
      <c r="AF188" s="118"/>
      <c r="AG188" s="118"/>
      <c r="AH188" s="118"/>
      <c r="AI188" s="118"/>
      <c r="AJ188" s="118"/>
      <c r="AK188" s="118"/>
      <c r="AL188" s="118"/>
      <c r="AM188" s="118"/>
      <c r="AN188" s="118"/>
      <c r="AO188" s="118"/>
      <c r="AP188" s="118"/>
      <c r="AQ188" s="118"/>
      <c r="AR188" s="118"/>
      <c r="AS188" s="118"/>
      <c r="AT188" s="118"/>
      <c r="AU188" s="118"/>
      <c r="AV188" s="118"/>
      <c r="AW188" s="118"/>
      <c r="AX188" s="118"/>
      <c r="AY188" s="118"/>
      <c r="AZ188" s="118"/>
      <c r="BA188" s="118"/>
      <c r="BB188" s="118"/>
      <c r="BC188" s="118"/>
      <c r="BD188" s="118"/>
      <c r="BE188" s="118"/>
      <c r="BF188" s="118"/>
      <c r="BG188" s="118"/>
      <c r="BH188" s="118"/>
      <c r="BI188" s="118"/>
      <c r="BJ188" s="118"/>
      <c r="BK188" s="118"/>
      <c r="BL188" s="118"/>
      <c r="BM188" s="118"/>
      <c r="BN188" s="118"/>
      <c r="BO188" s="118"/>
      <c r="BP188" s="118"/>
      <c r="BQ188" s="118"/>
      <c r="BR188" s="118"/>
      <c r="BS188" s="118"/>
      <c r="BT188" s="118"/>
      <c r="BU188" s="118"/>
      <c r="BV188" s="118"/>
      <c r="BW188" s="118"/>
      <c r="BX188" s="118"/>
      <c r="BY188" s="118"/>
      <c r="BZ188" s="118"/>
      <c r="CA188" s="118"/>
      <c r="CB188" s="118"/>
      <c r="CC188" s="118"/>
      <c r="CD188" s="118"/>
      <c r="CE188" s="118"/>
      <c r="CF188" s="118"/>
      <c r="CG188" s="118"/>
      <c r="CH188" s="118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/>
      <c r="DL188"/>
      <c r="DM188"/>
      <c r="DN188"/>
      <c r="DO188"/>
      <c r="DP188"/>
    </row>
    <row r="189" spans="2:120" s="109" customFormat="1" ht="14.25">
      <c r="B189" s="301"/>
      <c r="C189" s="301"/>
      <c r="D189" s="118"/>
      <c r="E189" s="118"/>
      <c r="F189" s="118"/>
      <c r="G189" s="118"/>
      <c r="H189" s="118"/>
      <c r="I189" s="118"/>
      <c r="J189" s="118"/>
      <c r="K189" s="118"/>
      <c r="L189" s="118"/>
      <c r="M189" s="118"/>
      <c r="N189" s="118"/>
      <c r="O189" s="118"/>
      <c r="P189" s="118"/>
      <c r="Q189" s="118"/>
      <c r="R189" s="118"/>
      <c r="S189" s="118"/>
      <c r="T189" s="118"/>
      <c r="U189" s="118"/>
      <c r="V189" s="118"/>
      <c r="W189" s="118"/>
      <c r="X189" s="118"/>
      <c r="Y189" s="118"/>
      <c r="Z189" s="118"/>
      <c r="AA189" s="118"/>
      <c r="AB189" s="118"/>
      <c r="AC189" s="118"/>
      <c r="AD189" s="118"/>
      <c r="AE189" s="118"/>
      <c r="AF189" s="118"/>
      <c r="AG189" s="118"/>
      <c r="AH189" s="118"/>
      <c r="AI189" s="118"/>
      <c r="AJ189" s="118"/>
      <c r="AK189" s="118"/>
      <c r="AL189" s="118"/>
      <c r="AM189" s="118"/>
      <c r="AN189" s="118"/>
      <c r="AO189" s="118"/>
      <c r="AP189" s="118"/>
      <c r="AQ189" s="118"/>
      <c r="AR189" s="118"/>
      <c r="AS189" s="118"/>
      <c r="AT189" s="118"/>
      <c r="AU189" s="118"/>
      <c r="AV189" s="118"/>
      <c r="AW189" s="118"/>
      <c r="AX189" s="118"/>
      <c r="AY189" s="118"/>
      <c r="AZ189" s="118"/>
      <c r="BA189" s="118"/>
      <c r="BB189" s="118"/>
      <c r="BC189" s="118"/>
      <c r="BD189" s="118"/>
      <c r="BE189" s="118"/>
      <c r="BF189" s="118"/>
      <c r="BG189" s="118"/>
      <c r="BH189" s="118"/>
      <c r="BI189" s="118"/>
      <c r="BJ189" s="118"/>
      <c r="BK189" s="118"/>
      <c r="BL189" s="118"/>
      <c r="BM189" s="118"/>
      <c r="BN189" s="118"/>
      <c r="BO189" s="118"/>
      <c r="BP189" s="118"/>
      <c r="BQ189" s="118"/>
      <c r="BR189" s="118"/>
      <c r="BS189" s="118"/>
      <c r="BT189" s="118"/>
      <c r="BU189" s="118"/>
      <c r="BV189" s="118"/>
      <c r="BW189" s="118"/>
      <c r="BX189" s="118"/>
      <c r="BY189" s="118"/>
      <c r="BZ189" s="118"/>
      <c r="CA189" s="118"/>
      <c r="CB189" s="118"/>
      <c r="CC189" s="118"/>
      <c r="CD189" s="118"/>
      <c r="CE189" s="118"/>
      <c r="CF189" s="118"/>
      <c r="CG189" s="118"/>
      <c r="CH189" s="118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/>
      <c r="DL189"/>
      <c r="DM189"/>
      <c r="DN189"/>
      <c r="DO189"/>
      <c r="DP189"/>
    </row>
    <row r="190" spans="2:120" s="109" customFormat="1" ht="14.25">
      <c r="B190" s="301"/>
      <c r="C190" s="301"/>
      <c r="D190" s="118"/>
      <c r="E190" s="118"/>
      <c r="F190" s="118"/>
      <c r="G190" s="118"/>
      <c r="H190" s="118"/>
      <c r="I190" s="118"/>
      <c r="J190" s="118"/>
      <c r="K190" s="118"/>
      <c r="L190" s="118"/>
      <c r="M190" s="118"/>
      <c r="N190" s="118"/>
      <c r="O190" s="118"/>
      <c r="P190" s="118"/>
      <c r="Q190" s="118"/>
      <c r="R190" s="118"/>
      <c r="S190" s="118"/>
      <c r="T190" s="118"/>
      <c r="U190" s="118"/>
      <c r="V190" s="118"/>
      <c r="W190" s="118"/>
      <c r="X190" s="118"/>
      <c r="Y190" s="118"/>
      <c r="Z190" s="118"/>
      <c r="AA190" s="118"/>
      <c r="AB190" s="118"/>
      <c r="AC190" s="118"/>
      <c r="AD190" s="118"/>
      <c r="AE190" s="118"/>
      <c r="AF190" s="118"/>
      <c r="AG190" s="118"/>
      <c r="AH190" s="118"/>
      <c r="AI190" s="118"/>
      <c r="AJ190" s="118"/>
      <c r="AK190" s="118"/>
      <c r="AL190" s="118"/>
      <c r="AM190" s="118"/>
      <c r="AN190" s="118"/>
      <c r="AO190" s="118"/>
      <c r="AP190" s="118"/>
      <c r="AQ190" s="118"/>
      <c r="AR190" s="118"/>
      <c r="AS190" s="118"/>
      <c r="AT190" s="118"/>
      <c r="AU190" s="118"/>
      <c r="AV190" s="118"/>
      <c r="AW190" s="118"/>
      <c r="AX190" s="118"/>
      <c r="AY190" s="118"/>
      <c r="AZ190" s="118"/>
      <c r="BA190" s="118"/>
      <c r="BB190" s="118"/>
      <c r="BC190" s="118"/>
      <c r="BD190" s="118"/>
      <c r="BE190" s="118"/>
      <c r="BF190" s="118"/>
      <c r="BG190" s="118"/>
      <c r="BH190" s="118"/>
      <c r="BI190" s="118"/>
      <c r="BJ190" s="118"/>
      <c r="BK190" s="118"/>
      <c r="BL190" s="118"/>
      <c r="BM190" s="118"/>
      <c r="BN190" s="118"/>
      <c r="BO190" s="118"/>
      <c r="BP190" s="118"/>
      <c r="BQ190" s="118"/>
      <c r="BR190" s="118"/>
      <c r="BS190" s="118"/>
      <c r="BT190" s="118"/>
      <c r="BU190" s="118"/>
      <c r="BV190" s="118"/>
      <c r="BW190" s="118"/>
      <c r="BX190" s="118"/>
      <c r="BY190" s="118"/>
      <c r="BZ190" s="118"/>
      <c r="CA190" s="118"/>
      <c r="CB190" s="118"/>
      <c r="CC190" s="118"/>
      <c r="CD190" s="118"/>
      <c r="CE190" s="118"/>
      <c r="CF190" s="118"/>
      <c r="CG190" s="118"/>
      <c r="CH190" s="118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/>
      <c r="DL190"/>
      <c r="DM190"/>
      <c r="DN190"/>
      <c r="DO190"/>
      <c r="DP190"/>
    </row>
    <row r="191" spans="2:120" s="109" customFormat="1" ht="14.25">
      <c r="B191" s="301"/>
      <c r="C191" s="301"/>
      <c r="D191" s="118"/>
      <c r="E191" s="118"/>
      <c r="F191" s="118"/>
      <c r="G191" s="118"/>
      <c r="H191" s="118"/>
      <c r="I191" s="118"/>
      <c r="J191" s="118"/>
      <c r="K191" s="118"/>
      <c r="L191" s="118"/>
      <c r="M191" s="118"/>
      <c r="N191" s="118"/>
      <c r="O191" s="118"/>
      <c r="P191" s="118"/>
      <c r="Q191" s="118"/>
      <c r="R191" s="118"/>
      <c r="S191" s="118"/>
      <c r="T191" s="118"/>
      <c r="U191" s="118"/>
      <c r="V191" s="118"/>
      <c r="W191" s="118"/>
      <c r="X191" s="118"/>
      <c r="Y191" s="118"/>
      <c r="Z191" s="118"/>
      <c r="AA191" s="118"/>
      <c r="AB191" s="118"/>
      <c r="AC191" s="118"/>
      <c r="AD191" s="118"/>
      <c r="AE191" s="118"/>
      <c r="AF191" s="118"/>
      <c r="AG191" s="118"/>
      <c r="AH191" s="118"/>
      <c r="AI191" s="118"/>
      <c r="AJ191" s="118"/>
      <c r="AK191" s="118"/>
      <c r="AL191" s="118"/>
      <c r="AM191" s="118"/>
      <c r="AN191" s="118"/>
      <c r="AO191" s="118"/>
      <c r="AP191" s="118"/>
      <c r="AQ191" s="118"/>
      <c r="AR191" s="118"/>
      <c r="AS191" s="118"/>
      <c r="AT191" s="118"/>
      <c r="AU191" s="118"/>
      <c r="AV191" s="118"/>
      <c r="AW191" s="118"/>
      <c r="AX191" s="118"/>
      <c r="AY191" s="118"/>
      <c r="AZ191" s="118"/>
      <c r="BA191" s="118"/>
      <c r="BB191" s="118"/>
      <c r="BC191" s="118"/>
      <c r="BD191" s="118"/>
      <c r="BE191" s="118"/>
      <c r="BF191" s="118"/>
      <c r="BG191" s="118"/>
      <c r="BH191" s="118"/>
      <c r="BI191" s="118"/>
      <c r="BJ191" s="118"/>
      <c r="BK191" s="118"/>
      <c r="BL191" s="118"/>
      <c r="BM191" s="118"/>
      <c r="BN191" s="118"/>
      <c r="BO191" s="118"/>
      <c r="BP191" s="118"/>
      <c r="BQ191" s="118"/>
      <c r="BR191" s="118"/>
      <c r="BS191" s="118"/>
      <c r="BT191" s="118"/>
      <c r="BU191" s="118"/>
      <c r="BV191" s="118"/>
      <c r="BW191" s="118"/>
      <c r="BX191" s="118"/>
      <c r="BY191" s="118"/>
      <c r="BZ191" s="118"/>
      <c r="CA191" s="118"/>
      <c r="CB191" s="118"/>
      <c r="CC191" s="118"/>
      <c r="CD191" s="118"/>
      <c r="CE191" s="118"/>
      <c r="CF191" s="118"/>
      <c r="CG191" s="118"/>
      <c r="CH191" s="118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/>
      <c r="DL191"/>
      <c r="DM191"/>
      <c r="DN191"/>
      <c r="DO191"/>
      <c r="DP191"/>
    </row>
    <row r="192" spans="2:120" s="109" customFormat="1" ht="14.25">
      <c r="B192" s="301"/>
      <c r="C192" s="301"/>
      <c r="D192" s="118"/>
      <c r="E192" s="118"/>
      <c r="F192" s="118"/>
      <c r="G192" s="118"/>
      <c r="H192" s="118"/>
      <c r="I192" s="118"/>
      <c r="J192" s="118"/>
      <c r="K192" s="118"/>
      <c r="L192" s="118"/>
      <c r="M192" s="118"/>
      <c r="N192" s="118"/>
      <c r="O192" s="118"/>
      <c r="P192" s="118"/>
      <c r="Q192" s="118"/>
      <c r="R192" s="118"/>
      <c r="S192" s="118"/>
      <c r="T192" s="118"/>
      <c r="U192" s="118"/>
      <c r="V192" s="118"/>
      <c r="W192" s="118"/>
      <c r="X192" s="118"/>
      <c r="Y192" s="118"/>
      <c r="Z192" s="118"/>
      <c r="AA192" s="118"/>
      <c r="AB192" s="118"/>
      <c r="AC192" s="118"/>
      <c r="AD192" s="118"/>
      <c r="AE192" s="118"/>
      <c r="AF192" s="118"/>
      <c r="AG192" s="118"/>
      <c r="AH192" s="118"/>
      <c r="AI192" s="118"/>
      <c r="AJ192" s="118"/>
      <c r="AK192" s="118"/>
      <c r="AL192" s="118"/>
      <c r="AM192" s="118"/>
      <c r="AN192" s="118"/>
      <c r="AO192" s="118"/>
      <c r="AP192" s="118"/>
      <c r="AQ192" s="118"/>
      <c r="AR192" s="118"/>
      <c r="AS192" s="118"/>
      <c r="AT192" s="118"/>
      <c r="AU192" s="118"/>
      <c r="AV192" s="118"/>
      <c r="AW192" s="118"/>
      <c r="AX192" s="118"/>
      <c r="AY192" s="118"/>
      <c r="AZ192" s="118"/>
      <c r="BA192" s="118"/>
      <c r="BB192" s="118"/>
      <c r="BC192" s="118"/>
      <c r="BD192" s="118"/>
      <c r="BE192" s="118"/>
      <c r="BF192" s="118"/>
      <c r="BG192" s="118"/>
      <c r="BH192" s="118"/>
      <c r="BI192" s="118"/>
      <c r="BJ192" s="118"/>
      <c r="BK192" s="118"/>
      <c r="BL192" s="118"/>
      <c r="BM192" s="118"/>
      <c r="BN192" s="118"/>
      <c r="BO192" s="118"/>
      <c r="BP192" s="118"/>
      <c r="BQ192" s="118"/>
      <c r="BR192" s="118"/>
      <c r="BS192" s="118"/>
      <c r="BT192" s="118"/>
      <c r="BU192" s="118"/>
      <c r="BV192" s="118"/>
      <c r="BW192" s="118"/>
      <c r="BX192" s="118"/>
      <c r="BY192" s="118"/>
      <c r="BZ192" s="118"/>
      <c r="CA192" s="118"/>
      <c r="CB192" s="118"/>
      <c r="CC192" s="118"/>
      <c r="CD192" s="118"/>
      <c r="CE192" s="118"/>
      <c r="CF192" s="118"/>
      <c r="CG192" s="118"/>
      <c r="CH192" s="118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/>
      <c r="DL192"/>
      <c r="DM192"/>
      <c r="DN192"/>
      <c r="DO192"/>
      <c r="DP192"/>
    </row>
    <row r="193" spans="2:120" s="109" customFormat="1" ht="14.25">
      <c r="B193" s="301"/>
      <c r="C193" s="301"/>
      <c r="D193" s="118"/>
      <c r="E193" s="118"/>
      <c r="F193" s="118"/>
      <c r="G193" s="118"/>
      <c r="H193" s="118"/>
      <c r="I193" s="118"/>
      <c r="J193" s="118"/>
      <c r="K193" s="118"/>
      <c r="L193" s="118"/>
      <c r="M193" s="118"/>
      <c r="N193" s="118"/>
      <c r="O193" s="118"/>
      <c r="P193" s="118"/>
      <c r="Q193" s="118"/>
      <c r="R193" s="118"/>
      <c r="S193" s="118"/>
      <c r="T193" s="118"/>
      <c r="U193" s="118"/>
      <c r="V193" s="118"/>
      <c r="W193" s="118"/>
      <c r="X193" s="118"/>
      <c r="Y193" s="118"/>
      <c r="Z193" s="118"/>
      <c r="AA193" s="118"/>
      <c r="AB193" s="118"/>
      <c r="AC193" s="118"/>
      <c r="AD193" s="118"/>
      <c r="AE193" s="118"/>
      <c r="AF193" s="118"/>
      <c r="AG193" s="118"/>
      <c r="AH193" s="118"/>
      <c r="AI193" s="118"/>
      <c r="AJ193" s="118"/>
      <c r="AK193" s="118"/>
      <c r="AL193" s="118"/>
      <c r="AM193" s="118"/>
      <c r="AN193" s="118"/>
      <c r="AO193" s="118"/>
      <c r="AP193" s="118"/>
      <c r="AQ193" s="118"/>
      <c r="AR193" s="118"/>
      <c r="AS193" s="118"/>
      <c r="AT193" s="118"/>
      <c r="AU193" s="118"/>
      <c r="AV193" s="118"/>
      <c r="AW193" s="118"/>
      <c r="AX193" s="118"/>
      <c r="AY193" s="118"/>
      <c r="AZ193" s="118"/>
      <c r="BA193" s="118"/>
      <c r="BB193" s="118"/>
      <c r="BC193" s="118"/>
      <c r="BD193" s="118"/>
      <c r="BE193" s="118"/>
      <c r="BF193" s="118"/>
      <c r="BG193" s="118"/>
      <c r="BH193" s="118"/>
      <c r="BI193" s="118"/>
      <c r="BJ193" s="118"/>
      <c r="BK193" s="118"/>
      <c r="BL193" s="118"/>
      <c r="BM193" s="118"/>
      <c r="BN193" s="118"/>
      <c r="BO193" s="118"/>
      <c r="BP193" s="118"/>
      <c r="BQ193" s="118"/>
      <c r="BR193" s="118"/>
      <c r="BS193" s="118"/>
      <c r="BT193" s="118"/>
      <c r="BU193" s="118"/>
      <c r="BV193" s="118"/>
      <c r="BW193" s="118"/>
      <c r="BX193" s="118"/>
      <c r="BY193" s="118"/>
      <c r="BZ193" s="118"/>
      <c r="CA193" s="118"/>
      <c r="CB193" s="118"/>
      <c r="CC193" s="118"/>
      <c r="CD193" s="118"/>
      <c r="CE193" s="118"/>
      <c r="CF193" s="118"/>
      <c r="CG193" s="118"/>
      <c r="CH193" s="118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/>
      <c r="DL193"/>
      <c r="DM193"/>
      <c r="DN193"/>
      <c r="DO193"/>
      <c r="DP193"/>
    </row>
    <row r="194" spans="2:120" s="109" customFormat="1" ht="14.25">
      <c r="B194" s="301"/>
      <c r="C194" s="301"/>
      <c r="D194" s="118"/>
      <c r="E194" s="118"/>
      <c r="F194" s="118"/>
      <c r="G194" s="118"/>
      <c r="H194" s="118"/>
      <c r="I194" s="118"/>
      <c r="J194" s="118"/>
      <c r="K194" s="118"/>
      <c r="L194" s="118"/>
      <c r="M194" s="118"/>
      <c r="N194" s="118"/>
      <c r="O194" s="118"/>
      <c r="P194" s="118"/>
      <c r="Q194" s="118"/>
      <c r="R194" s="118"/>
      <c r="S194" s="118"/>
      <c r="T194" s="118"/>
      <c r="U194" s="118"/>
      <c r="V194" s="118"/>
      <c r="W194" s="118"/>
      <c r="X194" s="118"/>
      <c r="Y194" s="118"/>
      <c r="Z194" s="118"/>
      <c r="AA194" s="118"/>
      <c r="AB194" s="118"/>
      <c r="AC194" s="118"/>
      <c r="AD194" s="118"/>
      <c r="AE194" s="118"/>
      <c r="AF194" s="118"/>
      <c r="AG194" s="118"/>
      <c r="AH194" s="118"/>
      <c r="AI194" s="118"/>
      <c r="AJ194" s="118"/>
      <c r="AK194" s="118"/>
      <c r="AL194" s="118"/>
      <c r="AM194" s="118"/>
      <c r="AN194" s="118"/>
      <c r="AO194" s="118"/>
      <c r="AP194" s="118"/>
      <c r="AQ194" s="118"/>
      <c r="AR194" s="118"/>
      <c r="AS194" s="118"/>
      <c r="AT194" s="118"/>
      <c r="AU194" s="118"/>
      <c r="AV194" s="118"/>
      <c r="AW194" s="118"/>
      <c r="AX194" s="118"/>
      <c r="AY194" s="118"/>
      <c r="AZ194" s="118"/>
      <c r="BA194" s="118"/>
      <c r="BB194" s="118"/>
      <c r="BC194" s="118"/>
      <c r="BD194" s="118"/>
      <c r="BE194" s="118"/>
      <c r="BF194" s="118"/>
      <c r="BG194" s="118"/>
      <c r="BH194" s="118"/>
      <c r="BI194" s="118"/>
      <c r="BJ194" s="118"/>
      <c r="BK194" s="118"/>
      <c r="BL194" s="118"/>
      <c r="BM194" s="118"/>
      <c r="BN194" s="118"/>
      <c r="BO194" s="118"/>
      <c r="BP194" s="118"/>
      <c r="BQ194" s="118"/>
      <c r="BR194" s="118"/>
      <c r="BS194" s="118"/>
      <c r="BT194" s="118"/>
      <c r="BU194" s="118"/>
      <c r="BV194" s="118"/>
      <c r="BW194" s="118"/>
      <c r="BX194" s="118"/>
      <c r="BY194" s="118"/>
      <c r="BZ194" s="118"/>
      <c r="CA194" s="118"/>
      <c r="CB194" s="118"/>
      <c r="CC194" s="118"/>
      <c r="CD194" s="118"/>
      <c r="CE194" s="118"/>
      <c r="CF194" s="118"/>
      <c r="CG194" s="118"/>
      <c r="CH194" s="118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/>
      <c r="DL194"/>
      <c r="DM194"/>
      <c r="DN194"/>
      <c r="DO194"/>
      <c r="DP194"/>
    </row>
    <row r="195" spans="2:120" s="109" customFormat="1" ht="14.25">
      <c r="B195" s="301"/>
      <c r="C195" s="301"/>
      <c r="D195" s="118"/>
      <c r="E195" s="118"/>
      <c r="F195" s="118"/>
      <c r="G195" s="118"/>
      <c r="H195" s="118"/>
      <c r="I195" s="118"/>
      <c r="J195" s="118"/>
      <c r="K195" s="118"/>
      <c r="L195" s="118"/>
      <c r="M195" s="118"/>
      <c r="N195" s="118"/>
      <c r="O195" s="118"/>
      <c r="P195" s="118"/>
      <c r="Q195" s="118"/>
      <c r="R195" s="118"/>
      <c r="S195" s="118"/>
      <c r="T195" s="118"/>
      <c r="U195" s="118"/>
      <c r="V195" s="118"/>
      <c r="W195" s="118"/>
      <c r="X195" s="118"/>
      <c r="Y195" s="118"/>
      <c r="Z195" s="118"/>
      <c r="AA195" s="118"/>
      <c r="AB195" s="118"/>
      <c r="AC195" s="118"/>
      <c r="AD195" s="118"/>
      <c r="AE195" s="118"/>
      <c r="AF195" s="118"/>
      <c r="AG195" s="118"/>
      <c r="AH195" s="118"/>
      <c r="AI195" s="118"/>
      <c r="AJ195" s="118"/>
      <c r="AK195" s="118"/>
      <c r="AL195" s="118"/>
      <c r="AM195" s="118"/>
      <c r="AN195" s="118"/>
      <c r="AO195" s="118"/>
      <c r="AP195" s="118"/>
      <c r="AQ195" s="118"/>
      <c r="AR195" s="118"/>
      <c r="AS195" s="118"/>
      <c r="AT195" s="118"/>
      <c r="AU195" s="118"/>
      <c r="AV195" s="118"/>
      <c r="AW195" s="118"/>
      <c r="AX195" s="118"/>
      <c r="AY195" s="118"/>
      <c r="AZ195" s="118"/>
      <c r="BA195" s="118"/>
      <c r="BB195" s="118"/>
      <c r="BC195" s="118"/>
      <c r="BD195" s="118"/>
      <c r="BE195" s="118"/>
      <c r="BF195" s="118"/>
      <c r="BG195" s="118"/>
      <c r="BH195" s="118"/>
      <c r="BI195" s="118"/>
      <c r="BJ195" s="118"/>
      <c r="BK195" s="118"/>
      <c r="BL195" s="118"/>
      <c r="BM195" s="118"/>
      <c r="BN195" s="118"/>
      <c r="BO195" s="118"/>
      <c r="BP195" s="118"/>
      <c r="BQ195" s="118"/>
      <c r="BR195" s="118"/>
      <c r="BS195" s="118"/>
      <c r="BT195" s="118"/>
      <c r="BU195" s="118"/>
      <c r="BV195" s="118"/>
      <c r="BW195" s="118"/>
      <c r="BX195" s="118"/>
      <c r="BY195" s="118"/>
      <c r="BZ195" s="118"/>
      <c r="CA195" s="118"/>
      <c r="CB195" s="118"/>
      <c r="CC195" s="118"/>
      <c r="CD195" s="118"/>
      <c r="CE195" s="118"/>
      <c r="CF195" s="118"/>
      <c r="CG195" s="118"/>
      <c r="CH195" s="118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/>
      <c r="DL195"/>
      <c r="DM195"/>
      <c r="DN195"/>
      <c r="DO195"/>
      <c r="DP195"/>
    </row>
    <row r="196" spans="2:120" s="109" customFormat="1" ht="14.25">
      <c r="B196" s="301"/>
      <c r="C196" s="301"/>
      <c r="D196" s="118"/>
      <c r="E196" s="118"/>
      <c r="F196" s="118"/>
      <c r="G196" s="118"/>
      <c r="H196" s="118"/>
      <c r="I196" s="118"/>
      <c r="J196" s="118"/>
      <c r="K196" s="118"/>
      <c r="L196" s="118"/>
      <c r="M196" s="118"/>
      <c r="N196" s="118"/>
      <c r="O196" s="118"/>
      <c r="P196" s="118"/>
      <c r="Q196" s="118"/>
      <c r="R196" s="118"/>
      <c r="S196" s="118"/>
      <c r="T196" s="118"/>
      <c r="U196" s="118"/>
      <c r="V196" s="118"/>
      <c r="W196" s="118"/>
      <c r="X196" s="118"/>
      <c r="Y196" s="118"/>
      <c r="Z196" s="118"/>
      <c r="AA196" s="118"/>
      <c r="AB196" s="118"/>
      <c r="AC196" s="118"/>
      <c r="AD196" s="118"/>
      <c r="AE196" s="118"/>
      <c r="AF196" s="118"/>
      <c r="AG196" s="118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  <c r="AV196" s="118"/>
      <c r="AW196" s="118"/>
      <c r="AX196" s="118"/>
      <c r="AY196" s="118"/>
      <c r="AZ196" s="118"/>
      <c r="BA196" s="118"/>
      <c r="BB196" s="118"/>
      <c r="BC196" s="118"/>
      <c r="BD196" s="118"/>
      <c r="BE196" s="118"/>
      <c r="BF196" s="118"/>
      <c r="BG196" s="118"/>
      <c r="BH196" s="118"/>
      <c r="BI196" s="118"/>
      <c r="BJ196" s="118"/>
      <c r="BK196" s="118"/>
      <c r="BL196" s="118"/>
      <c r="BM196" s="118"/>
      <c r="BN196" s="118"/>
      <c r="BO196" s="118"/>
      <c r="BP196" s="118"/>
      <c r="BQ196" s="118"/>
      <c r="BR196" s="118"/>
      <c r="BS196" s="118"/>
      <c r="BT196" s="118"/>
      <c r="BU196" s="118"/>
      <c r="BV196" s="118"/>
      <c r="BW196" s="118"/>
      <c r="BX196" s="118"/>
      <c r="BY196" s="118"/>
      <c r="BZ196" s="118"/>
      <c r="CA196" s="118"/>
      <c r="CB196" s="118"/>
      <c r="CC196" s="118"/>
      <c r="CD196" s="118"/>
      <c r="CE196" s="118"/>
      <c r="CF196" s="118"/>
      <c r="CG196" s="118"/>
      <c r="CH196" s="118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/>
      <c r="DL196"/>
      <c r="DM196"/>
      <c r="DN196"/>
      <c r="DO196"/>
      <c r="DP196"/>
    </row>
    <row r="197" spans="2:120" s="109" customFormat="1" ht="14.25">
      <c r="B197" s="301"/>
      <c r="C197" s="301"/>
      <c r="D197" s="118"/>
      <c r="E197" s="118"/>
      <c r="F197" s="118"/>
      <c r="G197" s="118"/>
      <c r="H197" s="118"/>
      <c r="I197" s="118"/>
      <c r="J197" s="118"/>
      <c r="K197" s="118"/>
      <c r="L197" s="118"/>
      <c r="M197" s="118"/>
      <c r="N197" s="118"/>
      <c r="O197" s="118"/>
      <c r="P197" s="118"/>
      <c r="Q197" s="118"/>
      <c r="R197" s="118"/>
      <c r="S197" s="118"/>
      <c r="T197" s="118"/>
      <c r="U197" s="118"/>
      <c r="V197" s="118"/>
      <c r="W197" s="118"/>
      <c r="X197" s="118"/>
      <c r="Y197" s="118"/>
      <c r="Z197" s="118"/>
      <c r="AA197" s="118"/>
      <c r="AB197" s="118"/>
      <c r="AC197" s="118"/>
      <c r="AD197" s="118"/>
      <c r="AE197" s="118"/>
      <c r="AF197" s="118"/>
      <c r="AG197" s="118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  <c r="AV197" s="118"/>
      <c r="AW197" s="118"/>
      <c r="AX197" s="118"/>
      <c r="AY197" s="118"/>
      <c r="AZ197" s="118"/>
      <c r="BA197" s="118"/>
      <c r="BB197" s="118"/>
      <c r="BC197" s="118"/>
      <c r="BD197" s="118"/>
      <c r="BE197" s="118"/>
      <c r="BF197" s="118"/>
      <c r="BG197" s="118"/>
      <c r="BH197" s="118"/>
      <c r="BI197" s="118"/>
      <c r="BJ197" s="118"/>
      <c r="BK197" s="118"/>
      <c r="BL197" s="118"/>
      <c r="BM197" s="118"/>
      <c r="BN197" s="118"/>
      <c r="BO197" s="118"/>
      <c r="BP197" s="118"/>
      <c r="BQ197" s="118"/>
      <c r="BR197" s="118"/>
      <c r="BS197" s="118"/>
      <c r="BT197" s="118"/>
      <c r="BU197" s="118"/>
      <c r="BV197" s="118"/>
      <c r="BW197" s="118"/>
      <c r="BX197" s="118"/>
      <c r="BY197" s="118"/>
      <c r="BZ197" s="118"/>
      <c r="CA197" s="118"/>
      <c r="CB197" s="118"/>
      <c r="CC197" s="118"/>
      <c r="CD197" s="118"/>
      <c r="CE197" s="118"/>
      <c r="CF197" s="118"/>
      <c r="CG197" s="118"/>
      <c r="CH197" s="118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/>
      <c r="DL197"/>
      <c r="DM197"/>
      <c r="DN197"/>
      <c r="DO197"/>
      <c r="DP197"/>
    </row>
    <row r="198" spans="2:120" s="109" customFormat="1" ht="14.25">
      <c r="B198" s="301"/>
      <c r="C198" s="301"/>
      <c r="D198" s="118"/>
      <c r="E198" s="118"/>
      <c r="F198" s="118"/>
      <c r="G198" s="118"/>
      <c r="H198" s="118"/>
      <c r="I198" s="118"/>
      <c r="J198" s="118"/>
      <c r="K198" s="118"/>
      <c r="L198" s="118"/>
      <c r="M198" s="118"/>
      <c r="N198" s="118"/>
      <c r="O198" s="118"/>
      <c r="P198" s="118"/>
      <c r="Q198" s="118"/>
      <c r="R198" s="118"/>
      <c r="S198" s="118"/>
      <c r="T198" s="118"/>
      <c r="U198" s="118"/>
      <c r="V198" s="118"/>
      <c r="W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  <c r="AV198" s="118"/>
      <c r="AW198" s="118"/>
      <c r="AX198" s="118"/>
      <c r="AY198" s="118"/>
      <c r="AZ198" s="118"/>
      <c r="BA198" s="118"/>
      <c r="BB198" s="118"/>
      <c r="BC198" s="118"/>
      <c r="BD198" s="118"/>
      <c r="BE198" s="118"/>
      <c r="BF198" s="118"/>
      <c r="BG198" s="118"/>
      <c r="BH198" s="118"/>
      <c r="BI198" s="118"/>
      <c r="BJ198" s="118"/>
      <c r="BK198" s="118"/>
      <c r="BL198" s="118"/>
      <c r="BM198" s="118"/>
      <c r="BN198" s="118"/>
      <c r="BO198" s="118"/>
      <c r="BP198" s="118"/>
      <c r="BQ198" s="118"/>
      <c r="BR198" s="118"/>
      <c r="BS198" s="118"/>
      <c r="BT198" s="118"/>
      <c r="BU198" s="118"/>
      <c r="BV198" s="118"/>
      <c r="BW198" s="118"/>
      <c r="BX198" s="118"/>
      <c r="BY198" s="118"/>
      <c r="BZ198" s="118"/>
      <c r="CA198" s="118"/>
      <c r="CB198" s="118"/>
      <c r="CC198" s="118"/>
      <c r="CD198" s="118"/>
      <c r="CE198" s="118"/>
      <c r="CF198" s="118"/>
      <c r="CG198" s="118"/>
      <c r="CH198" s="118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/>
      <c r="DL198"/>
      <c r="DM198"/>
      <c r="DN198"/>
      <c r="DO198"/>
      <c r="DP198"/>
    </row>
    <row r="199" spans="2:120" s="109" customFormat="1" ht="14.25">
      <c r="B199" s="301"/>
      <c r="C199" s="301"/>
      <c r="D199" s="118"/>
      <c r="E199" s="118"/>
      <c r="F199" s="118"/>
      <c r="G199" s="118"/>
      <c r="H199" s="118"/>
      <c r="I199" s="118"/>
      <c r="J199" s="118"/>
      <c r="K199" s="118"/>
      <c r="L199" s="118"/>
      <c r="M199" s="118"/>
      <c r="N199" s="118"/>
      <c r="O199" s="118"/>
      <c r="P199" s="118"/>
      <c r="Q199" s="118"/>
      <c r="R199" s="118"/>
      <c r="S199" s="118"/>
      <c r="T199" s="118"/>
      <c r="U199" s="118"/>
      <c r="V199" s="118"/>
      <c r="W199" s="118"/>
      <c r="X199" s="118"/>
      <c r="Y199" s="118"/>
      <c r="Z199" s="118"/>
      <c r="AA199" s="118"/>
      <c r="AB199" s="118"/>
      <c r="AC199" s="118"/>
      <c r="AD199" s="118"/>
      <c r="AE199" s="118"/>
      <c r="AF199" s="118"/>
      <c r="AG199" s="118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  <c r="AV199" s="118"/>
      <c r="AW199" s="118"/>
      <c r="AX199" s="118"/>
      <c r="AY199" s="118"/>
      <c r="AZ199" s="118"/>
      <c r="BA199" s="118"/>
      <c r="BB199" s="118"/>
      <c r="BC199" s="118"/>
      <c r="BD199" s="118"/>
      <c r="BE199" s="118"/>
      <c r="BF199" s="118"/>
      <c r="BG199" s="118"/>
      <c r="BH199" s="118"/>
      <c r="BI199" s="118"/>
      <c r="BJ199" s="118"/>
      <c r="BK199" s="118"/>
      <c r="BL199" s="118"/>
      <c r="BM199" s="118"/>
      <c r="BN199" s="118"/>
      <c r="BO199" s="118"/>
      <c r="BP199" s="118"/>
      <c r="BQ199" s="118"/>
      <c r="BR199" s="118"/>
      <c r="BS199" s="118"/>
      <c r="BT199" s="118"/>
      <c r="BU199" s="118"/>
      <c r="BV199" s="118"/>
      <c r="BW199" s="118"/>
      <c r="BX199" s="118"/>
      <c r="BY199" s="118"/>
      <c r="BZ199" s="118"/>
      <c r="CA199" s="118"/>
      <c r="CB199" s="118"/>
      <c r="CC199" s="118"/>
      <c r="CD199" s="118"/>
      <c r="CE199" s="118"/>
      <c r="CF199" s="118"/>
      <c r="CG199" s="118"/>
      <c r="CH199" s="118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/>
      <c r="DL199"/>
      <c r="DM199"/>
      <c r="DN199"/>
      <c r="DO199"/>
      <c r="DP199"/>
    </row>
    <row r="200" spans="2:120" s="109" customFormat="1" ht="14.25">
      <c r="B200" s="301"/>
      <c r="C200" s="301"/>
      <c r="D200" s="118"/>
      <c r="E200" s="118"/>
      <c r="F200" s="118"/>
      <c r="G200" s="118"/>
      <c r="H200" s="118"/>
      <c r="I200" s="118"/>
      <c r="J200" s="118"/>
      <c r="K200" s="118"/>
      <c r="L200" s="118"/>
      <c r="M200" s="118"/>
      <c r="N200" s="118"/>
      <c r="O200" s="118"/>
      <c r="P200" s="118"/>
      <c r="Q200" s="118"/>
      <c r="R200" s="118"/>
      <c r="S200" s="118"/>
      <c r="T200" s="118"/>
      <c r="U200" s="118"/>
      <c r="V200" s="118"/>
      <c r="W200" s="118"/>
      <c r="X200" s="118"/>
      <c r="Y200" s="118"/>
      <c r="Z200" s="118"/>
      <c r="AA200" s="118"/>
      <c r="AB200" s="118"/>
      <c r="AC200" s="118"/>
      <c r="AD200" s="118"/>
      <c r="AE200" s="118"/>
      <c r="AF200" s="118"/>
      <c r="AG200" s="118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  <c r="AV200" s="118"/>
      <c r="AW200" s="118"/>
      <c r="AX200" s="118"/>
      <c r="AY200" s="118"/>
      <c r="AZ200" s="118"/>
      <c r="BA200" s="118"/>
      <c r="BB200" s="118"/>
      <c r="BC200" s="118"/>
      <c r="BD200" s="118"/>
      <c r="BE200" s="118"/>
      <c r="BF200" s="118"/>
      <c r="BG200" s="118"/>
      <c r="BH200" s="118"/>
      <c r="BI200" s="118"/>
      <c r="BJ200" s="118"/>
      <c r="BK200" s="118"/>
      <c r="BL200" s="118"/>
      <c r="BM200" s="118"/>
      <c r="BN200" s="118"/>
      <c r="BO200" s="118"/>
      <c r="BP200" s="118"/>
      <c r="BQ200" s="118"/>
      <c r="BR200" s="118"/>
      <c r="BS200" s="118"/>
      <c r="BT200" s="118"/>
      <c r="BU200" s="118"/>
      <c r="BV200" s="118"/>
      <c r="BW200" s="118"/>
      <c r="BX200" s="118"/>
      <c r="BY200" s="118"/>
      <c r="BZ200" s="118"/>
      <c r="CA200" s="118"/>
      <c r="CB200" s="118"/>
      <c r="CC200" s="118"/>
      <c r="CD200" s="118"/>
      <c r="CE200" s="118"/>
      <c r="CF200" s="118"/>
      <c r="CG200" s="118"/>
      <c r="CH200" s="118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/>
      <c r="DL200"/>
      <c r="DM200"/>
      <c r="DN200"/>
      <c r="DO200"/>
      <c r="DP200"/>
    </row>
    <row r="201" spans="2:120" s="109" customFormat="1" ht="14.25">
      <c r="B201" s="301"/>
      <c r="C201" s="301"/>
      <c r="D201" s="118"/>
      <c r="E201" s="118"/>
      <c r="F201" s="118"/>
      <c r="G201" s="118"/>
      <c r="H201" s="118"/>
      <c r="I201" s="118"/>
      <c r="J201" s="118"/>
      <c r="K201" s="118"/>
      <c r="L201" s="118"/>
      <c r="M201" s="118"/>
      <c r="N201" s="118"/>
      <c r="O201" s="118"/>
      <c r="P201" s="118"/>
      <c r="Q201" s="118"/>
      <c r="R201" s="118"/>
      <c r="S201" s="118"/>
      <c r="T201" s="118"/>
      <c r="U201" s="118"/>
      <c r="V201" s="118"/>
      <c r="W201" s="118"/>
      <c r="X201" s="118"/>
      <c r="Y201" s="118"/>
      <c r="Z201" s="118"/>
      <c r="AA201" s="118"/>
      <c r="AB201" s="118"/>
      <c r="AC201" s="118"/>
      <c r="AD201" s="118"/>
      <c r="AE201" s="118"/>
      <c r="AF201" s="118"/>
      <c r="AG201" s="118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  <c r="AV201" s="118"/>
      <c r="AW201" s="118"/>
      <c r="AX201" s="118"/>
      <c r="AY201" s="118"/>
      <c r="AZ201" s="118"/>
      <c r="BA201" s="118"/>
      <c r="BB201" s="118"/>
      <c r="BC201" s="118"/>
      <c r="BD201" s="118"/>
      <c r="BE201" s="118"/>
      <c r="BF201" s="118"/>
      <c r="BG201" s="118"/>
      <c r="BH201" s="118"/>
      <c r="BI201" s="118"/>
      <c r="BJ201" s="118"/>
      <c r="BK201" s="118"/>
      <c r="BL201" s="118"/>
      <c r="BM201" s="118"/>
      <c r="BN201" s="118"/>
      <c r="BO201" s="118"/>
      <c r="BP201" s="118"/>
      <c r="BQ201" s="118"/>
      <c r="BR201" s="118"/>
      <c r="BS201" s="118"/>
      <c r="BT201" s="118"/>
      <c r="BU201" s="118"/>
      <c r="BV201" s="118"/>
      <c r="BW201" s="118"/>
      <c r="BX201" s="118"/>
      <c r="BY201" s="118"/>
      <c r="BZ201" s="118"/>
      <c r="CA201" s="118"/>
      <c r="CB201" s="118"/>
      <c r="CC201" s="118"/>
      <c r="CD201" s="118"/>
      <c r="CE201" s="118"/>
      <c r="CF201" s="118"/>
      <c r="CG201" s="118"/>
      <c r="CH201" s="118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/>
      <c r="DL201"/>
      <c r="DM201"/>
      <c r="DN201"/>
      <c r="DO201"/>
      <c r="DP201"/>
    </row>
    <row r="202" spans="2:120" s="109" customFormat="1" ht="14.25">
      <c r="B202" s="301"/>
      <c r="C202" s="301"/>
      <c r="D202" s="118"/>
      <c r="E202" s="118"/>
      <c r="F202" s="118"/>
      <c r="G202" s="118"/>
      <c r="H202" s="118"/>
      <c r="I202" s="118"/>
      <c r="J202" s="118"/>
      <c r="K202" s="118"/>
      <c r="L202" s="118"/>
      <c r="M202" s="118"/>
      <c r="N202" s="118"/>
      <c r="O202" s="118"/>
      <c r="P202" s="118"/>
      <c r="Q202" s="118"/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8"/>
      <c r="AC202" s="118"/>
      <c r="AD202" s="118"/>
      <c r="AE202" s="118"/>
      <c r="AF202" s="118"/>
      <c r="AG202" s="118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  <c r="AV202" s="118"/>
      <c r="AW202" s="118"/>
      <c r="AX202" s="118"/>
      <c r="AY202" s="118"/>
      <c r="AZ202" s="118"/>
      <c r="BA202" s="118"/>
      <c r="BB202" s="118"/>
      <c r="BC202" s="118"/>
      <c r="BD202" s="118"/>
      <c r="BE202" s="118"/>
      <c r="BF202" s="118"/>
      <c r="BG202" s="118"/>
      <c r="BH202" s="118"/>
      <c r="BI202" s="118"/>
      <c r="BJ202" s="118"/>
      <c r="BK202" s="118"/>
      <c r="BL202" s="118"/>
      <c r="BM202" s="118"/>
      <c r="BN202" s="118"/>
      <c r="BO202" s="118"/>
      <c r="BP202" s="118"/>
      <c r="BQ202" s="118"/>
      <c r="BR202" s="118"/>
      <c r="BS202" s="118"/>
      <c r="BT202" s="118"/>
      <c r="BU202" s="118"/>
      <c r="BV202" s="118"/>
      <c r="BW202" s="118"/>
      <c r="BX202" s="118"/>
      <c r="BY202" s="118"/>
      <c r="BZ202" s="118"/>
      <c r="CA202" s="118"/>
      <c r="CB202" s="118"/>
      <c r="CC202" s="118"/>
      <c r="CD202" s="118"/>
      <c r="CE202" s="118"/>
      <c r="CF202" s="118"/>
      <c r="CG202" s="118"/>
      <c r="CH202" s="118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/>
      <c r="DL202"/>
      <c r="DM202"/>
      <c r="DN202"/>
      <c r="DO202"/>
      <c r="DP202"/>
    </row>
    <row r="203" spans="2:120" s="109" customFormat="1" ht="14.25">
      <c r="B203" s="301"/>
      <c r="C203" s="301"/>
      <c r="D203" s="118"/>
      <c r="E203" s="118"/>
      <c r="F203" s="118"/>
      <c r="G203" s="118"/>
      <c r="H203" s="118"/>
      <c r="I203" s="118"/>
      <c r="J203" s="118"/>
      <c r="K203" s="118"/>
      <c r="L203" s="118"/>
      <c r="M203" s="118"/>
      <c r="N203" s="118"/>
      <c r="O203" s="118"/>
      <c r="P203" s="118"/>
      <c r="Q203" s="118"/>
      <c r="R203" s="118"/>
      <c r="S203" s="118"/>
      <c r="T203" s="118"/>
      <c r="U203" s="118"/>
      <c r="V203" s="118"/>
      <c r="W203" s="118"/>
      <c r="X203" s="118"/>
      <c r="Y203" s="118"/>
      <c r="Z203" s="118"/>
      <c r="AA203" s="118"/>
      <c r="AB203" s="118"/>
      <c r="AC203" s="118"/>
      <c r="AD203" s="118"/>
      <c r="AE203" s="118"/>
      <c r="AF203" s="118"/>
      <c r="AG203" s="118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  <c r="AV203" s="118"/>
      <c r="AW203" s="118"/>
      <c r="AX203" s="118"/>
      <c r="AY203" s="118"/>
      <c r="AZ203" s="118"/>
      <c r="BA203" s="118"/>
      <c r="BB203" s="118"/>
      <c r="BC203" s="118"/>
      <c r="BD203" s="118"/>
      <c r="BE203" s="118"/>
      <c r="BF203" s="118"/>
      <c r="BG203" s="118"/>
      <c r="BH203" s="118"/>
      <c r="BI203" s="118"/>
      <c r="BJ203" s="118"/>
      <c r="BK203" s="118"/>
      <c r="BL203" s="118"/>
      <c r="BM203" s="118"/>
      <c r="BN203" s="118"/>
      <c r="BO203" s="118"/>
      <c r="BP203" s="118"/>
      <c r="BQ203" s="118"/>
      <c r="BR203" s="118"/>
      <c r="BS203" s="118"/>
      <c r="BT203" s="118"/>
      <c r="BU203" s="118"/>
      <c r="BV203" s="118"/>
      <c r="BW203" s="118"/>
      <c r="BX203" s="118"/>
      <c r="BY203" s="118"/>
      <c r="BZ203" s="118"/>
      <c r="CA203" s="118"/>
      <c r="CB203" s="118"/>
      <c r="CC203" s="118"/>
      <c r="CD203" s="118"/>
      <c r="CE203" s="118"/>
      <c r="CF203" s="118"/>
      <c r="CG203" s="118"/>
      <c r="CH203" s="118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/>
      <c r="DL203"/>
      <c r="DM203"/>
      <c r="DN203"/>
      <c r="DO203"/>
      <c r="DP203"/>
    </row>
    <row r="204" spans="2:120" s="109" customFormat="1" ht="14.25">
      <c r="B204" s="301"/>
      <c r="C204" s="301"/>
      <c r="D204" s="118"/>
      <c r="E204" s="118"/>
      <c r="F204" s="118"/>
      <c r="G204" s="118"/>
      <c r="H204" s="118"/>
      <c r="I204" s="118"/>
      <c r="J204" s="118"/>
      <c r="K204" s="118"/>
      <c r="L204" s="118"/>
      <c r="M204" s="118"/>
      <c r="N204" s="118"/>
      <c r="O204" s="118"/>
      <c r="P204" s="118"/>
      <c r="Q204" s="118"/>
      <c r="R204" s="118"/>
      <c r="S204" s="118"/>
      <c r="T204" s="118"/>
      <c r="U204" s="118"/>
      <c r="V204" s="118"/>
      <c r="W204" s="118"/>
      <c r="X204" s="118"/>
      <c r="Y204" s="118"/>
      <c r="Z204" s="118"/>
      <c r="AA204" s="118"/>
      <c r="AB204" s="118"/>
      <c r="AC204" s="118"/>
      <c r="AD204" s="118"/>
      <c r="AE204" s="118"/>
      <c r="AF204" s="118"/>
      <c r="AG204" s="118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  <c r="AV204" s="118"/>
      <c r="AW204" s="118"/>
      <c r="AX204" s="118"/>
      <c r="AY204" s="118"/>
      <c r="AZ204" s="118"/>
      <c r="BA204" s="118"/>
      <c r="BB204" s="118"/>
      <c r="BC204" s="118"/>
      <c r="BD204" s="118"/>
      <c r="BE204" s="118"/>
      <c r="BF204" s="118"/>
      <c r="BG204" s="118"/>
      <c r="BH204" s="118"/>
      <c r="BI204" s="118"/>
      <c r="BJ204" s="118"/>
      <c r="BK204" s="118"/>
      <c r="BL204" s="118"/>
      <c r="BM204" s="118"/>
      <c r="BN204" s="118"/>
      <c r="BO204" s="118"/>
      <c r="BP204" s="118"/>
      <c r="BQ204" s="118"/>
      <c r="BR204" s="118"/>
      <c r="BS204" s="118"/>
      <c r="BT204" s="118"/>
      <c r="BU204" s="118"/>
      <c r="BV204" s="118"/>
      <c r="BW204" s="118"/>
      <c r="BX204" s="118"/>
      <c r="BY204" s="118"/>
      <c r="BZ204" s="118"/>
      <c r="CA204" s="118"/>
      <c r="CB204" s="118"/>
      <c r="CC204" s="118"/>
      <c r="CD204" s="118"/>
      <c r="CE204" s="118"/>
      <c r="CF204" s="118"/>
      <c r="CG204" s="118"/>
      <c r="CH204" s="118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/>
      <c r="DL204"/>
      <c r="DM204"/>
      <c r="DN204"/>
      <c r="DO204"/>
      <c r="DP204"/>
    </row>
    <row r="205" spans="2:120" s="109" customFormat="1" ht="14.25">
      <c r="B205" s="301"/>
      <c r="C205" s="301"/>
      <c r="D205" s="118"/>
      <c r="E205" s="118"/>
      <c r="F205" s="118"/>
      <c r="G205" s="118"/>
      <c r="H205" s="118"/>
      <c r="I205" s="118"/>
      <c r="J205" s="118"/>
      <c r="K205" s="118"/>
      <c r="L205" s="118"/>
      <c r="M205" s="118"/>
      <c r="N205" s="118"/>
      <c r="O205" s="118"/>
      <c r="P205" s="118"/>
      <c r="Q205" s="118"/>
      <c r="R205" s="118"/>
      <c r="S205" s="118"/>
      <c r="T205" s="118"/>
      <c r="U205" s="118"/>
      <c r="V205" s="118"/>
      <c r="W205" s="118"/>
      <c r="X205" s="118"/>
      <c r="Y205" s="118"/>
      <c r="Z205" s="118"/>
      <c r="AA205" s="118"/>
      <c r="AB205" s="118"/>
      <c r="AC205" s="118"/>
      <c r="AD205" s="118"/>
      <c r="AE205" s="118"/>
      <c r="AF205" s="118"/>
      <c r="AG205" s="118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  <c r="AV205" s="118"/>
      <c r="AW205" s="118"/>
      <c r="AX205" s="118"/>
      <c r="AY205" s="118"/>
      <c r="AZ205" s="118"/>
      <c r="BA205" s="118"/>
      <c r="BB205" s="118"/>
      <c r="BC205" s="118"/>
      <c r="BD205" s="118"/>
      <c r="BE205" s="118"/>
      <c r="BF205" s="118"/>
      <c r="BG205" s="118"/>
      <c r="BH205" s="118"/>
      <c r="BI205" s="118"/>
      <c r="BJ205" s="118"/>
      <c r="BK205" s="118"/>
      <c r="BL205" s="118"/>
      <c r="BM205" s="118"/>
      <c r="BN205" s="118"/>
      <c r="BO205" s="118"/>
      <c r="BP205" s="118"/>
      <c r="BQ205" s="118"/>
      <c r="BR205" s="118"/>
      <c r="BS205" s="118"/>
      <c r="BT205" s="118"/>
      <c r="BU205" s="118"/>
      <c r="BV205" s="118"/>
      <c r="BW205" s="118"/>
      <c r="BX205" s="118"/>
      <c r="BY205" s="118"/>
      <c r="BZ205" s="118"/>
      <c r="CA205" s="118"/>
      <c r="CB205" s="118"/>
      <c r="CC205" s="118"/>
      <c r="CD205" s="118"/>
      <c r="CE205" s="118"/>
      <c r="CF205" s="118"/>
      <c r="CG205" s="118"/>
      <c r="CH205" s="118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/>
      <c r="DL205"/>
      <c r="DM205"/>
      <c r="DN205"/>
      <c r="DO205"/>
      <c r="DP205"/>
    </row>
    <row r="206" spans="2:120" s="109" customFormat="1" ht="14.25">
      <c r="B206" s="301"/>
      <c r="C206" s="301"/>
      <c r="D206" s="118"/>
      <c r="E206" s="118"/>
      <c r="F206" s="118"/>
      <c r="G206" s="118"/>
      <c r="H206" s="118"/>
      <c r="I206" s="118"/>
      <c r="J206" s="118"/>
      <c r="K206" s="118"/>
      <c r="L206" s="118"/>
      <c r="M206" s="118"/>
      <c r="N206" s="118"/>
      <c r="O206" s="118"/>
      <c r="P206" s="118"/>
      <c r="Q206" s="118"/>
      <c r="R206" s="118"/>
      <c r="S206" s="118"/>
      <c r="T206" s="118"/>
      <c r="U206" s="118"/>
      <c r="V206" s="118"/>
      <c r="W206" s="118"/>
      <c r="X206" s="118"/>
      <c r="Y206" s="118"/>
      <c r="Z206" s="118"/>
      <c r="AA206" s="118"/>
      <c r="AB206" s="118"/>
      <c r="AC206" s="118"/>
      <c r="AD206" s="118"/>
      <c r="AE206" s="118"/>
      <c r="AF206" s="118"/>
      <c r="AG206" s="118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  <c r="AV206" s="118"/>
      <c r="AW206" s="118"/>
      <c r="AX206" s="118"/>
      <c r="AY206" s="118"/>
      <c r="AZ206" s="118"/>
      <c r="BA206" s="118"/>
      <c r="BB206" s="118"/>
      <c r="BC206" s="118"/>
      <c r="BD206" s="118"/>
      <c r="BE206" s="118"/>
      <c r="BF206" s="118"/>
      <c r="BG206" s="118"/>
      <c r="BH206" s="118"/>
      <c r="BI206" s="118"/>
      <c r="BJ206" s="118"/>
      <c r="BK206" s="118"/>
      <c r="BL206" s="118"/>
      <c r="BM206" s="118"/>
      <c r="BN206" s="118"/>
      <c r="BO206" s="118"/>
      <c r="BP206" s="118"/>
      <c r="BQ206" s="118"/>
      <c r="BR206" s="118"/>
      <c r="BS206" s="118"/>
      <c r="BT206" s="118"/>
      <c r="BU206" s="118"/>
      <c r="BV206" s="118"/>
      <c r="BW206" s="118"/>
      <c r="BX206" s="118"/>
      <c r="BY206" s="118"/>
      <c r="BZ206" s="118"/>
      <c r="CA206" s="118"/>
      <c r="CB206" s="118"/>
      <c r="CC206" s="118"/>
      <c r="CD206" s="118"/>
      <c r="CE206" s="118"/>
      <c r="CF206" s="118"/>
      <c r="CG206" s="118"/>
      <c r="CH206" s="118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/>
      <c r="DL206"/>
      <c r="DM206"/>
      <c r="DN206"/>
      <c r="DO206"/>
      <c r="DP206"/>
    </row>
    <row r="207" spans="2:120" s="109" customFormat="1" ht="14.25">
      <c r="B207" s="301"/>
      <c r="C207" s="301"/>
      <c r="D207" s="118"/>
      <c r="E207" s="118"/>
      <c r="F207" s="118"/>
      <c r="G207" s="118"/>
      <c r="H207" s="118"/>
      <c r="I207" s="118"/>
      <c r="J207" s="118"/>
      <c r="K207" s="118"/>
      <c r="L207" s="118"/>
      <c r="M207" s="118"/>
      <c r="N207" s="118"/>
      <c r="O207" s="118"/>
      <c r="P207" s="118"/>
      <c r="Q207" s="118"/>
      <c r="R207" s="118"/>
      <c r="S207" s="118"/>
      <c r="T207" s="118"/>
      <c r="U207" s="118"/>
      <c r="V207" s="118"/>
      <c r="W207" s="118"/>
      <c r="X207" s="118"/>
      <c r="Y207" s="118"/>
      <c r="Z207" s="118"/>
      <c r="AA207" s="118"/>
      <c r="AB207" s="118"/>
      <c r="AC207" s="118"/>
      <c r="AD207" s="118"/>
      <c r="AE207" s="118"/>
      <c r="AF207" s="118"/>
      <c r="AG207" s="118"/>
      <c r="AH207" s="118"/>
      <c r="AI207" s="118"/>
      <c r="AJ207" s="118"/>
      <c r="AK207" s="118"/>
      <c r="AL207" s="118"/>
      <c r="AM207" s="118"/>
      <c r="AN207" s="118"/>
      <c r="AO207" s="118"/>
      <c r="AP207" s="118"/>
      <c r="AQ207" s="118"/>
      <c r="AR207" s="118"/>
      <c r="AS207" s="118"/>
      <c r="AT207" s="118"/>
      <c r="AU207" s="118"/>
      <c r="AV207" s="118"/>
      <c r="AW207" s="118"/>
      <c r="AX207" s="118"/>
      <c r="AY207" s="118"/>
      <c r="AZ207" s="118"/>
      <c r="BA207" s="118"/>
      <c r="BB207" s="118"/>
      <c r="BC207" s="118"/>
      <c r="BD207" s="118"/>
      <c r="BE207" s="118"/>
      <c r="BF207" s="118"/>
      <c r="BG207" s="118"/>
      <c r="BH207" s="118"/>
      <c r="BI207" s="118"/>
      <c r="BJ207" s="118"/>
      <c r="BK207" s="118"/>
      <c r="BL207" s="118"/>
      <c r="BM207" s="118"/>
      <c r="BN207" s="118"/>
      <c r="BO207" s="118"/>
      <c r="BP207" s="118"/>
      <c r="BQ207" s="118"/>
      <c r="BR207" s="118"/>
      <c r="BS207" s="118"/>
      <c r="BT207" s="118"/>
      <c r="BU207" s="118"/>
      <c r="BV207" s="118"/>
      <c r="BW207" s="118"/>
      <c r="BX207" s="118"/>
      <c r="BY207" s="118"/>
      <c r="BZ207" s="118"/>
      <c r="CA207" s="118"/>
      <c r="CB207" s="118"/>
      <c r="CC207" s="118"/>
      <c r="CD207" s="118"/>
      <c r="CE207" s="118"/>
      <c r="CF207" s="118"/>
      <c r="CG207" s="118"/>
      <c r="CH207" s="118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/>
      <c r="DL207"/>
      <c r="DM207"/>
      <c r="DN207"/>
      <c r="DO207"/>
      <c r="DP207"/>
    </row>
    <row r="208" spans="2:120" s="109" customFormat="1" ht="14.25">
      <c r="B208" s="301"/>
      <c r="C208" s="301"/>
      <c r="D208" s="118"/>
      <c r="E208" s="118"/>
      <c r="F208" s="118"/>
      <c r="G208" s="118"/>
      <c r="H208" s="118"/>
      <c r="I208" s="118"/>
      <c r="J208" s="118"/>
      <c r="K208" s="118"/>
      <c r="L208" s="118"/>
      <c r="M208" s="118"/>
      <c r="N208" s="118"/>
      <c r="O208" s="118"/>
      <c r="P208" s="118"/>
      <c r="Q208" s="118"/>
      <c r="R208" s="118"/>
      <c r="S208" s="118"/>
      <c r="T208" s="118"/>
      <c r="U208" s="118"/>
      <c r="V208" s="118"/>
      <c r="W208" s="118"/>
      <c r="X208" s="118"/>
      <c r="Y208" s="118"/>
      <c r="Z208" s="118"/>
      <c r="AA208" s="118"/>
      <c r="AB208" s="118"/>
      <c r="AC208" s="118"/>
      <c r="AD208" s="118"/>
      <c r="AE208" s="118"/>
      <c r="AF208" s="118"/>
      <c r="AG208" s="118"/>
      <c r="AH208" s="118"/>
      <c r="AI208" s="118"/>
      <c r="AJ208" s="118"/>
      <c r="AK208" s="118"/>
      <c r="AL208" s="118"/>
      <c r="AM208" s="118"/>
      <c r="AN208" s="118"/>
      <c r="AO208" s="118"/>
      <c r="AP208" s="118"/>
      <c r="AQ208" s="118"/>
      <c r="AR208" s="118"/>
      <c r="AS208" s="118"/>
      <c r="AT208" s="118"/>
      <c r="AU208" s="118"/>
      <c r="AV208" s="118"/>
      <c r="AW208" s="118"/>
      <c r="AX208" s="118"/>
      <c r="AY208" s="118"/>
      <c r="AZ208" s="118"/>
      <c r="BA208" s="118"/>
      <c r="BB208" s="118"/>
      <c r="BC208" s="118"/>
      <c r="BD208" s="118"/>
      <c r="BE208" s="118"/>
      <c r="BF208" s="118"/>
      <c r="BG208" s="118"/>
      <c r="BH208" s="118"/>
      <c r="BI208" s="118"/>
      <c r="BJ208" s="118"/>
      <c r="BK208" s="118"/>
      <c r="BL208" s="118"/>
      <c r="BM208" s="118"/>
      <c r="BN208" s="118"/>
      <c r="BO208" s="118"/>
      <c r="BP208" s="118"/>
      <c r="BQ208" s="118"/>
      <c r="BR208" s="118"/>
      <c r="BS208" s="118"/>
      <c r="BT208" s="118"/>
      <c r="BU208" s="118"/>
      <c r="BV208" s="118"/>
      <c r="BW208" s="118"/>
      <c r="BX208" s="118"/>
      <c r="BY208" s="118"/>
      <c r="BZ208" s="118"/>
      <c r="CA208" s="118"/>
      <c r="CB208" s="118"/>
      <c r="CC208" s="118"/>
      <c r="CD208" s="118"/>
      <c r="CE208" s="118"/>
      <c r="CF208" s="118"/>
      <c r="CG208" s="118"/>
      <c r="CH208" s="118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/>
      <c r="DL208"/>
      <c r="DM208"/>
      <c r="DN208"/>
      <c r="DO208"/>
      <c r="DP208"/>
    </row>
    <row r="209" spans="2:120" s="109" customFormat="1" ht="14.25">
      <c r="B209" s="301"/>
      <c r="C209" s="301"/>
      <c r="D209" s="118"/>
      <c r="E209" s="118"/>
      <c r="F209" s="118"/>
      <c r="G209" s="118"/>
      <c r="H209" s="118"/>
      <c r="I209" s="118"/>
      <c r="J209" s="118"/>
      <c r="K209" s="118"/>
      <c r="L209" s="118"/>
      <c r="M209" s="118"/>
      <c r="N209" s="118"/>
      <c r="O209" s="118"/>
      <c r="P209" s="118"/>
      <c r="Q209" s="118"/>
      <c r="R209" s="118"/>
      <c r="S209" s="118"/>
      <c r="T209" s="118"/>
      <c r="U209" s="118"/>
      <c r="V209" s="118"/>
      <c r="W209" s="118"/>
      <c r="X209" s="118"/>
      <c r="Y209" s="118"/>
      <c r="Z209" s="118"/>
      <c r="AA209" s="118"/>
      <c r="AB209" s="118"/>
      <c r="AC209" s="118"/>
      <c r="AD209" s="118"/>
      <c r="AE209" s="118"/>
      <c r="AF209" s="118"/>
      <c r="AG209" s="118"/>
      <c r="AH209" s="118"/>
      <c r="AI209" s="118"/>
      <c r="AJ209" s="118"/>
      <c r="AK209" s="118"/>
      <c r="AL209" s="118"/>
      <c r="AM209" s="118"/>
      <c r="AN209" s="118"/>
      <c r="AO209" s="118"/>
      <c r="AP209" s="118"/>
      <c r="AQ209" s="118"/>
      <c r="AR209" s="118"/>
      <c r="AS209" s="118"/>
      <c r="AT209" s="118"/>
      <c r="AU209" s="118"/>
      <c r="AV209" s="118"/>
      <c r="AW209" s="118"/>
      <c r="AX209" s="118"/>
      <c r="AY209" s="118"/>
      <c r="AZ209" s="118"/>
      <c r="BA209" s="118"/>
      <c r="BB209" s="118"/>
      <c r="BC209" s="118"/>
      <c r="BD209" s="118"/>
      <c r="BE209" s="118"/>
      <c r="BF209" s="118"/>
      <c r="BG209" s="118"/>
      <c r="BH209" s="118"/>
      <c r="BI209" s="118"/>
      <c r="BJ209" s="118"/>
      <c r="BK209" s="118"/>
      <c r="BL209" s="118"/>
      <c r="BM209" s="118"/>
      <c r="BN209" s="118"/>
      <c r="BO209" s="118"/>
      <c r="BP209" s="118"/>
      <c r="BQ209" s="118"/>
      <c r="BR209" s="118"/>
      <c r="BS209" s="118"/>
      <c r="BT209" s="118"/>
      <c r="BU209" s="118"/>
      <c r="BV209" s="118"/>
      <c r="BW209" s="118"/>
      <c r="BX209" s="118"/>
      <c r="BY209" s="118"/>
      <c r="BZ209" s="118"/>
      <c r="CA209" s="118"/>
      <c r="CB209" s="118"/>
      <c r="CC209" s="118"/>
      <c r="CD209" s="118"/>
      <c r="CE209" s="118"/>
      <c r="CF209" s="118"/>
      <c r="CG209" s="118"/>
      <c r="CH209" s="118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/>
      <c r="DL209"/>
      <c r="DM209"/>
      <c r="DN209"/>
      <c r="DO209"/>
      <c r="DP209"/>
    </row>
    <row r="210" spans="2:120" s="109" customFormat="1" ht="14.25">
      <c r="B210" s="301"/>
      <c r="C210" s="301"/>
      <c r="D210" s="118"/>
      <c r="E210" s="118"/>
      <c r="F210" s="118"/>
      <c r="G210" s="118"/>
      <c r="H210" s="118"/>
      <c r="I210" s="118"/>
      <c r="J210" s="118"/>
      <c r="K210" s="118"/>
      <c r="L210" s="118"/>
      <c r="M210" s="118"/>
      <c r="N210" s="118"/>
      <c r="O210" s="118"/>
      <c r="P210" s="118"/>
      <c r="Q210" s="118"/>
      <c r="R210" s="118"/>
      <c r="S210" s="118"/>
      <c r="T210" s="118"/>
      <c r="U210" s="118"/>
      <c r="V210" s="118"/>
      <c r="W210" s="118"/>
      <c r="X210" s="118"/>
      <c r="Y210" s="118"/>
      <c r="Z210" s="118"/>
      <c r="AA210" s="118"/>
      <c r="AB210" s="118"/>
      <c r="AC210" s="118"/>
      <c r="AD210" s="118"/>
      <c r="AE210" s="118"/>
      <c r="AF210" s="118"/>
      <c r="AG210" s="118"/>
      <c r="AH210" s="118"/>
      <c r="AI210" s="118"/>
      <c r="AJ210" s="118"/>
      <c r="AK210" s="118"/>
      <c r="AL210" s="118"/>
      <c r="AM210" s="118"/>
      <c r="AN210" s="118"/>
      <c r="AO210" s="118"/>
      <c r="AP210" s="118"/>
      <c r="AQ210" s="118"/>
      <c r="AR210" s="118"/>
      <c r="AS210" s="118"/>
      <c r="AT210" s="118"/>
      <c r="AU210" s="118"/>
      <c r="AV210" s="118"/>
      <c r="AW210" s="118"/>
      <c r="AX210" s="118"/>
      <c r="AY210" s="118"/>
      <c r="AZ210" s="118"/>
      <c r="BA210" s="118"/>
      <c r="BB210" s="118"/>
      <c r="BC210" s="118"/>
      <c r="BD210" s="118"/>
      <c r="BE210" s="118"/>
      <c r="BF210" s="118"/>
      <c r="BG210" s="118"/>
      <c r="BH210" s="118"/>
      <c r="BI210" s="118"/>
      <c r="BJ210" s="118"/>
      <c r="BK210" s="118"/>
      <c r="BL210" s="118"/>
      <c r="BM210" s="118"/>
      <c r="BN210" s="118"/>
      <c r="BO210" s="118"/>
      <c r="BP210" s="118"/>
      <c r="BQ210" s="118"/>
      <c r="BR210" s="118"/>
      <c r="BS210" s="118"/>
      <c r="BT210" s="118"/>
      <c r="BU210" s="118"/>
      <c r="BV210" s="118"/>
      <c r="BW210" s="118"/>
      <c r="BX210" s="118"/>
      <c r="BY210" s="118"/>
      <c r="BZ210" s="118"/>
      <c r="CA210" s="118"/>
      <c r="CB210" s="118"/>
      <c r="CC210" s="118"/>
      <c r="CD210" s="118"/>
      <c r="CE210" s="118"/>
      <c r="CF210" s="118"/>
      <c r="CG210" s="118"/>
      <c r="CH210" s="118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/>
      <c r="DL210"/>
      <c r="DM210"/>
      <c r="DN210"/>
      <c r="DO210"/>
      <c r="DP210"/>
    </row>
    <row r="211" spans="2:120" s="109" customFormat="1" ht="14.25">
      <c r="B211" s="301"/>
      <c r="C211" s="301"/>
      <c r="D211" s="118"/>
      <c r="E211" s="118"/>
      <c r="F211" s="118"/>
      <c r="G211" s="118"/>
      <c r="H211" s="118"/>
      <c r="I211" s="118"/>
      <c r="J211" s="118"/>
      <c r="K211" s="118"/>
      <c r="L211" s="118"/>
      <c r="M211" s="118"/>
      <c r="N211" s="118"/>
      <c r="O211" s="118"/>
      <c r="P211" s="118"/>
      <c r="Q211" s="118"/>
      <c r="R211" s="118"/>
      <c r="S211" s="118"/>
      <c r="T211" s="118"/>
      <c r="U211" s="118"/>
      <c r="V211" s="118"/>
      <c r="W211" s="118"/>
      <c r="X211" s="118"/>
      <c r="Y211" s="118"/>
      <c r="Z211" s="118"/>
      <c r="AA211" s="118"/>
      <c r="AB211" s="118"/>
      <c r="AC211" s="118"/>
      <c r="AD211" s="118"/>
      <c r="AE211" s="118"/>
      <c r="AF211" s="118"/>
      <c r="AG211" s="118"/>
      <c r="AH211" s="118"/>
      <c r="AI211" s="118"/>
      <c r="AJ211" s="118"/>
      <c r="AK211" s="118"/>
      <c r="AL211" s="118"/>
      <c r="AM211" s="118"/>
      <c r="AN211" s="118"/>
      <c r="AO211" s="118"/>
      <c r="AP211" s="118"/>
      <c r="AQ211" s="118"/>
      <c r="AR211" s="118"/>
      <c r="AS211" s="118"/>
      <c r="AT211" s="118"/>
      <c r="AU211" s="118"/>
      <c r="AV211" s="118"/>
      <c r="AW211" s="118"/>
      <c r="AX211" s="118"/>
      <c r="AY211" s="118"/>
      <c r="AZ211" s="118"/>
      <c r="BA211" s="118"/>
      <c r="BB211" s="118"/>
      <c r="BC211" s="118"/>
      <c r="BD211" s="118"/>
      <c r="BE211" s="118"/>
      <c r="BF211" s="118"/>
      <c r="BG211" s="118"/>
      <c r="BH211" s="118"/>
      <c r="BI211" s="118"/>
      <c r="BJ211" s="118"/>
      <c r="BK211" s="118"/>
      <c r="BL211" s="118"/>
      <c r="BM211" s="118"/>
      <c r="BN211" s="118"/>
      <c r="BO211" s="118"/>
      <c r="BP211" s="118"/>
      <c r="BQ211" s="118"/>
      <c r="BR211" s="118"/>
      <c r="BS211" s="118"/>
      <c r="BT211" s="118"/>
      <c r="BU211" s="118"/>
      <c r="BV211" s="118"/>
      <c r="BW211" s="118"/>
      <c r="BX211" s="118"/>
      <c r="BY211" s="118"/>
      <c r="BZ211" s="118"/>
      <c r="CA211" s="118"/>
      <c r="CB211" s="118"/>
      <c r="CC211" s="118"/>
      <c r="CD211" s="118"/>
      <c r="CE211" s="118"/>
      <c r="CF211" s="118"/>
      <c r="CG211" s="118"/>
      <c r="CH211" s="118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/>
      <c r="DL211"/>
      <c r="DM211"/>
      <c r="DN211"/>
      <c r="DO211"/>
      <c r="DP211"/>
    </row>
    <row r="212" spans="2:120" s="109" customFormat="1" ht="14.25">
      <c r="B212" s="301"/>
      <c r="C212" s="301"/>
      <c r="D212" s="118"/>
      <c r="E212" s="118"/>
      <c r="F212" s="118"/>
      <c r="G212" s="118"/>
      <c r="H212" s="118"/>
      <c r="I212" s="118"/>
      <c r="J212" s="118"/>
      <c r="K212" s="118"/>
      <c r="L212" s="118"/>
      <c r="M212" s="118"/>
      <c r="N212" s="118"/>
      <c r="O212" s="118"/>
      <c r="P212" s="118"/>
      <c r="Q212" s="118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18"/>
      <c r="AH212" s="118"/>
      <c r="AI212" s="118"/>
      <c r="AJ212" s="118"/>
      <c r="AK212" s="118"/>
      <c r="AL212" s="118"/>
      <c r="AM212" s="118"/>
      <c r="AN212" s="118"/>
      <c r="AO212" s="118"/>
      <c r="AP212" s="118"/>
      <c r="AQ212" s="118"/>
      <c r="AR212" s="118"/>
      <c r="AS212" s="118"/>
      <c r="AT212" s="118"/>
      <c r="AU212" s="118"/>
      <c r="AV212" s="118"/>
      <c r="AW212" s="118"/>
      <c r="AX212" s="118"/>
      <c r="AY212" s="118"/>
      <c r="AZ212" s="118"/>
      <c r="BA212" s="118"/>
      <c r="BB212" s="118"/>
      <c r="BC212" s="118"/>
      <c r="BD212" s="118"/>
      <c r="BE212" s="118"/>
      <c r="BF212" s="118"/>
      <c r="BG212" s="118"/>
      <c r="BH212" s="118"/>
      <c r="BI212" s="118"/>
      <c r="BJ212" s="118"/>
      <c r="BK212" s="118"/>
      <c r="BL212" s="118"/>
      <c r="BM212" s="118"/>
      <c r="BN212" s="118"/>
      <c r="BO212" s="118"/>
      <c r="BP212" s="118"/>
      <c r="BQ212" s="118"/>
      <c r="BR212" s="118"/>
      <c r="BS212" s="118"/>
      <c r="BT212" s="118"/>
      <c r="BU212" s="118"/>
      <c r="BV212" s="118"/>
      <c r="BW212" s="118"/>
      <c r="BX212" s="118"/>
      <c r="BY212" s="118"/>
      <c r="BZ212" s="118"/>
      <c r="CA212" s="118"/>
      <c r="CB212" s="118"/>
      <c r="CC212" s="118"/>
      <c r="CD212" s="118"/>
      <c r="CE212" s="118"/>
      <c r="CF212" s="118"/>
      <c r="CG212" s="118"/>
      <c r="CH212" s="118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/>
      <c r="DL212"/>
      <c r="DM212"/>
      <c r="DN212"/>
      <c r="DO212"/>
      <c r="DP212"/>
    </row>
    <row r="213" spans="2:120" s="109" customFormat="1" ht="14.25">
      <c r="B213" s="301"/>
      <c r="C213" s="301"/>
      <c r="D213" s="118"/>
      <c r="E213" s="118"/>
      <c r="F213" s="118"/>
      <c r="G213" s="118"/>
      <c r="H213" s="118"/>
      <c r="I213" s="118"/>
      <c r="J213" s="118"/>
      <c r="K213" s="118"/>
      <c r="L213" s="118"/>
      <c r="M213" s="118"/>
      <c r="N213" s="118"/>
      <c r="O213" s="118"/>
      <c r="P213" s="118"/>
      <c r="Q213" s="118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18"/>
      <c r="AH213" s="118"/>
      <c r="AI213" s="118"/>
      <c r="AJ213" s="118"/>
      <c r="AK213" s="118"/>
      <c r="AL213" s="118"/>
      <c r="AM213" s="118"/>
      <c r="AN213" s="118"/>
      <c r="AO213" s="118"/>
      <c r="AP213" s="118"/>
      <c r="AQ213" s="118"/>
      <c r="AR213" s="118"/>
      <c r="AS213" s="118"/>
      <c r="AT213" s="118"/>
      <c r="AU213" s="118"/>
      <c r="AV213" s="118"/>
      <c r="AW213" s="118"/>
      <c r="AX213" s="118"/>
      <c r="AY213" s="118"/>
      <c r="AZ213" s="118"/>
      <c r="BA213" s="118"/>
      <c r="BB213" s="118"/>
      <c r="BC213" s="118"/>
      <c r="BD213" s="118"/>
      <c r="BE213" s="118"/>
      <c r="BF213" s="118"/>
      <c r="BG213" s="118"/>
      <c r="BH213" s="118"/>
      <c r="BI213" s="118"/>
      <c r="BJ213" s="118"/>
      <c r="BK213" s="118"/>
      <c r="BL213" s="118"/>
      <c r="BM213" s="118"/>
      <c r="BN213" s="118"/>
      <c r="BO213" s="118"/>
      <c r="BP213" s="118"/>
      <c r="BQ213" s="118"/>
      <c r="BR213" s="118"/>
      <c r="BS213" s="118"/>
      <c r="BT213" s="118"/>
      <c r="BU213" s="118"/>
      <c r="BV213" s="118"/>
      <c r="BW213" s="118"/>
      <c r="BX213" s="118"/>
      <c r="BY213" s="118"/>
      <c r="BZ213" s="118"/>
      <c r="CA213" s="118"/>
      <c r="CB213" s="118"/>
      <c r="CC213" s="118"/>
      <c r="CD213" s="118"/>
      <c r="CE213" s="118"/>
      <c r="CF213" s="118"/>
      <c r="CG213" s="118"/>
      <c r="CH213" s="118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/>
      <c r="DL213"/>
      <c r="DM213"/>
      <c r="DN213"/>
      <c r="DO213"/>
      <c r="DP213"/>
    </row>
    <row r="214" spans="2:120" s="109" customFormat="1" ht="14.25">
      <c r="B214" s="301"/>
      <c r="C214" s="301"/>
      <c r="D214" s="118"/>
      <c r="E214" s="118"/>
      <c r="F214" s="118"/>
      <c r="G214" s="118"/>
      <c r="H214" s="118"/>
      <c r="I214" s="118"/>
      <c r="J214" s="118"/>
      <c r="K214" s="118"/>
      <c r="L214" s="118"/>
      <c r="M214" s="118"/>
      <c r="N214" s="118"/>
      <c r="O214" s="118"/>
      <c r="P214" s="118"/>
      <c r="Q214" s="118"/>
      <c r="R214" s="118"/>
      <c r="S214" s="118"/>
      <c r="T214" s="118"/>
      <c r="U214" s="118"/>
      <c r="V214" s="118"/>
      <c r="W214" s="118"/>
      <c r="X214" s="118"/>
      <c r="Y214" s="118"/>
      <c r="Z214" s="118"/>
      <c r="AA214" s="118"/>
      <c r="AB214" s="118"/>
      <c r="AC214" s="118"/>
      <c r="AD214" s="118"/>
      <c r="AE214" s="118"/>
      <c r="AF214" s="118"/>
      <c r="AG214" s="118"/>
      <c r="AH214" s="118"/>
      <c r="AI214" s="118"/>
      <c r="AJ214" s="118"/>
      <c r="AK214" s="118"/>
      <c r="AL214" s="118"/>
      <c r="AM214" s="118"/>
      <c r="AN214" s="118"/>
      <c r="AO214" s="118"/>
      <c r="AP214" s="118"/>
      <c r="AQ214" s="118"/>
      <c r="AR214" s="118"/>
      <c r="AS214" s="118"/>
      <c r="AT214" s="118"/>
      <c r="AU214" s="118"/>
      <c r="AV214" s="118"/>
      <c r="AW214" s="118"/>
      <c r="AX214" s="118"/>
      <c r="AY214" s="118"/>
      <c r="AZ214" s="118"/>
      <c r="BA214" s="118"/>
      <c r="BB214" s="118"/>
      <c r="BC214" s="118"/>
      <c r="BD214" s="118"/>
      <c r="BE214" s="118"/>
      <c r="BF214" s="118"/>
      <c r="BG214" s="118"/>
      <c r="BH214" s="118"/>
      <c r="BI214" s="118"/>
      <c r="BJ214" s="118"/>
      <c r="BK214" s="118"/>
      <c r="BL214" s="118"/>
      <c r="BM214" s="118"/>
      <c r="BN214" s="118"/>
      <c r="BO214" s="118"/>
      <c r="BP214" s="118"/>
      <c r="BQ214" s="118"/>
      <c r="BR214" s="118"/>
      <c r="BS214" s="118"/>
      <c r="BT214" s="118"/>
      <c r="BU214" s="118"/>
      <c r="BV214" s="118"/>
      <c r="BW214" s="118"/>
      <c r="BX214" s="118"/>
      <c r="BY214" s="118"/>
      <c r="BZ214" s="118"/>
      <c r="CA214" s="118"/>
      <c r="CB214" s="118"/>
      <c r="CC214" s="118"/>
      <c r="CD214" s="118"/>
      <c r="CE214" s="118"/>
      <c r="CF214" s="118"/>
      <c r="CG214" s="118"/>
      <c r="CH214" s="118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/>
      <c r="DL214"/>
      <c r="DM214"/>
      <c r="DN214"/>
      <c r="DO214"/>
      <c r="DP214"/>
    </row>
    <row r="215" spans="2:120" s="109" customFormat="1" ht="14.25">
      <c r="B215" s="301"/>
      <c r="C215" s="301"/>
      <c r="D215" s="118"/>
      <c r="E215" s="118"/>
      <c r="F215" s="118"/>
      <c r="G215" s="118"/>
      <c r="H215" s="118"/>
      <c r="I215" s="118"/>
      <c r="J215" s="118"/>
      <c r="K215" s="118"/>
      <c r="L215" s="118"/>
      <c r="M215" s="118"/>
      <c r="N215" s="118"/>
      <c r="O215" s="118"/>
      <c r="P215" s="118"/>
      <c r="Q215" s="118"/>
      <c r="R215" s="118"/>
      <c r="S215" s="118"/>
      <c r="T215" s="118"/>
      <c r="U215" s="118"/>
      <c r="V215" s="118"/>
      <c r="W215" s="118"/>
      <c r="X215" s="118"/>
      <c r="Y215" s="118"/>
      <c r="Z215" s="118"/>
      <c r="AA215" s="118"/>
      <c r="AB215" s="118"/>
      <c r="AC215" s="118"/>
      <c r="AD215" s="118"/>
      <c r="AE215" s="118"/>
      <c r="AF215" s="118"/>
      <c r="AG215" s="118"/>
      <c r="AH215" s="118"/>
      <c r="AI215" s="118"/>
      <c r="AJ215" s="118"/>
      <c r="AK215" s="118"/>
      <c r="AL215" s="118"/>
      <c r="AM215" s="118"/>
      <c r="AN215" s="118"/>
      <c r="AO215" s="118"/>
      <c r="AP215" s="118"/>
      <c r="AQ215" s="118"/>
      <c r="AR215" s="118"/>
      <c r="AS215" s="118"/>
      <c r="AT215" s="118"/>
      <c r="AU215" s="118"/>
      <c r="AV215" s="118"/>
      <c r="AW215" s="118"/>
      <c r="AX215" s="118"/>
      <c r="AY215" s="118"/>
      <c r="AZ215" s="118"/>
      <c r="BA215" s="118"/>
      <c r="BB215" s="118"/>
      <c r="BC215" s="118"/>
      <c r="BD215" s="118"/>
      <c r="BE215" s="118"/>
      <c r="BF215" s="118"/>
      <c r="BG215" s="118"/>
      <c r="BH215" s="118"/>
      <c r="BI215" s="118"/>
      <c r="BJ215" s="118"/>
      <c r="BK215" s="118"/>
      <c r="BL215" s="118"/>
      <c r="BM215" s="118"/>
      <c r="BN215" s="118"/>
      <c r="BO215" s="118"/>
      <c r="BP215" s="118"/>
      <c r="BQ215" s="118"/>
      <c r="BR215" s="118"/>
      <c r="BS215" s="118"/>
      <c r="BT215" s="118"/>
      <c r="BU215" s="118"/>
      <c r="BV215" s="118"/>
      <c r="BW215" s="118"/>
      <c r="BX215" s="118"/>
      <c r="BY215" s="118"/>
      <c r="BZ215" s="118"/>
      <c r="CA215" s="118"/>
      <c r="CB215" s="118"/>
      <c r="CC215" s="118"/>
      <c r="CD215" s="118"/>
      <c r="CE215" s="118"/>
      <c r="CF215" s="118"/>
      <c r="CG215" s="118"/>
      <c r="CH215" s="118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/>
      <c r="DL215"/>
      <c r="DM215"/>
      <c r="DN215"/>
      <c r="DO215"/>
      <c r="DP215"/>
    </row>
    <row r="216" spans="2:120" s="109" customFormat="1" ht="14.25">
      <c r="B216" s="301"/>
      <c r="C216" s="301"/>
      <c r="D216" s="118"/>
      <c r="E216" s="118"/>
      <c r="F216" s="118"/>
      <c r="G216" s="118"/>
      <c r="H216" s="118"/>
      <c r="I216" s="118"/>
      <c r="J216" s="118"/>
      <c r="K216" s="118"/>
      <c r="L216" s="118"/>
      <c r="M216" s="118"/>
      <c r="N216" s="118"/>
      <c r="O216" s="118"/>
      <c r="P216" s="118"/>
      <c r="Q216" s="118"/>
      <c r="R216" s="118"/>
      <c r="S216" s="118"/>
      <c r="T216" s="118"/>
      <c r="U216" s="118"/>
      <c r="V216" s="118"/>
      <c r="W216" s="118"/>
      <c r="X216" s="118"/>
      <c r="Y216" s="118"/>
      <c r="Z216" s="118"/>
      <c r="AA216" s="118"/>
      <c r="AB216" s="118"/>
      <c r="AC216" s="118"/>
      <c r="AD216" s="118"/>
      <c r="AE216" s="118"/>
      <c r="AF216" s="118"/>
      <c r="AG216" s="118"/>
      <c r="AH216" s="118"/>
      <c r="AI216" s="118"/>
      <c r="AJ216" s="118"/>
      <c r="AK216" s="118"/>
      <c r="AL216" s="118"/>
      <c r="AM216" s="118"/>
      <c r="AN216" s="118"/>
      <c r="AO216" s="118"/>
      <c r="AP216" s="118"/>
      <c r="AQ216" s="118"/>
      <c r="AR216" s="118"/>
      <c r="AS216" s="118"/>
      <c r="AT216" s="118"/>
      <c r="AU216" s="118"/>
      <c r="AV216" s="118"/>
      <c r="AW216" s="118"/>
      <c r="AX216" s="118"/>
      <c r="AY216" s="118"/>
      <c r="AZ216" s="118"/>
      <c r="BA216" s="118"/>
      <c r="BB216" s="118"/>
      <c r="BC216" s="118"/>
      <c r="BD216" s="118"/>
      <c r="BE216" s="118"/>
      <c r="BF216" s="118"/>
      <c r="BG216" s="118"/>
      <c r="BH216" s="118"/>
      <c r="BI216" s="118"/>
      <c r="BJ216" s="118"/>
      <c r="BK216" s="118"/>
      <c r="BL216" s="118"/>
      <c r="BM216" s="118"/>
      <c r="BN216" s="118"/>
      <c r="BO216" s="118"/>
      <c r="BP216" s="118"/>
      <c r="BQ216" s="118"/>
      <c r="BR216" s="118"/>
      <c r="BS216" s="118"/>
      <c r="BT216" s="118"/>
      <c r="BU216" s="118"/>
      <c r="BV216" s="118"/>
      <c r="BW216" s="118"/>
      <c r="BX216" s="118"/>
      <c r="BY216" s="118"/>
      <c r="BZ216" s="118"/>
      <c r="CA216" s="118"/>
      <c r="CB216" s="118"/>
      <c r="CC216" s="118"/>
      <c r="CD216" s="118"/>
      <c r="CE216" s="118"/>
      <c r="CF216" s="118"/>
      <c r="CG216" s="118"/>
      <c r="CH216" s="118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/>
      <c r="DL216"/>
      <c r="DM216"/>
      <c r="DN216"/>
      <c r="DO216"/>
      <c r="DP216"/>
    </row>
    <row r="217" spans="2:120" s="109" customFormat="1" ht="14.25">
      <c r="B217" s="301"/>
      <c r="C217" s="301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118"/>
      <c r="W217" s="118"/>
      <c r="X217" s="118"/>
      <c r="Y217" s="118"/>
      <c r="Z217" s="118"/>
      <c r="AA217" s="118"/>
      <c r="AB217" s="118"/>
      <c r="AC217" s="118"/>
      <c r="AD217" s="118"/>
      <c r="AE217" s="118"/>
      <c r="AF217" s="118"/>
      <c r="AG217" s="118"/>
      <c r="AH217" s="118"/>
      <c r="AI217" s="118"/>
      <c r="AJ217" s="118"/>
      <c r="AK217" s="118"/>
      <c r="AL217" s="118"/>
      <c r="AM217" s="118"/>
      <c r="AN217" s="118"/>
      <c r="AO217" s="118"/>
      <c r="AP217" s="118"/>
      <c r="AQ217" s="118"/>
      <c r="AR217" s="118"/>
      <c r="AS217" s="118"/>
      <c r="AT217" s="118"/>
      <c r="AU217" s="118"/>
      <c r="AV217" s="118"/>
      <c r="AW217" s="118"/>
      <c r="AX217" s="118"/>
      <c r="AY217" s="118"/>
      <c r="AZ217" s="118"/>
      <c r="BA217" s="118"/>
      <c r="BB217" s="118"/>
      <c r="BC217" s="118"/>
      <c r="BD217" s="118"/>
      <c r="BE217" s="118"/>
      <c r="BF217" s="118"/>
      <c r="BG217" s="118"/>
      <c r="BH217" s="118"/>
      <c r="BI217" s="118"/>
      <c r="BJ217" s="118"/>
      <c r="BK217" s="118"/>
      <c r="BL217" s="118"/>
      <c r="BM217" s="118"/>
      <c r="BN217" s="118"/>
      <c r="BO217" s="118"/>
      <c r="BP217" s="118"/>
      <c r="BQ217" s="118"/>
      <c r="BR217" s="118"/>
      <c r="BS217" s="118"/>
      <c r="BT217" s="118"/>
      <c r="BU217" s="118"/>
      <c r="BV217" s="118"/>
      <c r="BW217" s="118"/>
      <c r="BX217" s="118"/>
      <c r="BY217" s="118"/>
      <c r="BZ217" s="118"/>
      <c r="CA217" s="118"/>
      <c r="CB217" s="118"/>
      <c r="CC217" s="118"/>
      <c r="CD217" s="118"/>
      <c r="CE217" s="118"/>
      <c r="CF217" s="118"/>
      <c r="CG217" s="118"/>
      <c r="CH217" s="118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/>
      <c r="DL217"/>
      <c r="DM217"/>
      <c r="DN217"/>
      <c r="DO217"/>
      <c r="DP217"/>
    </row>
    <row r="218" spans="2:120" s="109" customFormat="1" ht="14.25">
      <c r="B218" s="301"/>
      <c r="C218" s="301"/>
      <c r="D218" s="118"/>
      <c r="E218" s="118"/>
      <c r="F218" s="118"/>
      <c r="G218" s="118"/>
      <c r="H218" s="118"/>
      <c r="I218" s="118"/>
      <c r="J218" s="118"/>
      <c r="K218" s="118"/>
      <c r="L218" s="118"/>
      <c r="M218" s="118"/>
      <c r="N218" s="118"/>
      <c r="O218" s="118"/>
      <c r="P218" s="118"/>
      <c r="Q218" s="118"/>
      <c r="R218" s="118"/>
      <c r="S218" s="118"/>
      <c r="T218" s="118"/>
      <c r="U218" s="118"/>
      <c r="V218" s="118"/>
      <c r="W218" s="118"/>
      <c r="X218" s="118"/>
      <c r="Y218" s="118"/>
      <c r="Z218" s="118"/>
      <c r="AA218" s="118"/>
      <c r="AB218" s="118"/>
      <c r="AC218" s="118"/>
      <c r="AD218" s="118"/>
      <c r="AE218" s="118"/>
      <c r="AF218" s="118"/>
      <c r="AG218" s="118"/>
      <c r="AH218" s="118"/>
      <c r="AI218" s="118"/>
      <c r="AJ218" s="118"/>
      <c r="AK218" s="118"/>
      <c r="AL218" s="118"/>
      <c r="AM218" s="118"/>
      <c r="AN218" s="118"/>
      <c r="AO218" s="118"/>
      <c r="AP218" s="118"/>
      <c r="AQ218" s="118"/>
      <c r="AR218" s="118"/>
      <c r="AS218" s="118"/>
      <c r="AT218" s="118"/>
      <c r="AU218" s="118"/>
      <c r="AV218" s="118"/>
      <c r="AW218" s="118"/>
      <c r="AX218" s="118"/>
      <c r="AY218" s="118"/>
      <c r="AZ218" s="118"/>
      <c r="BA218" s="118"/>
      <c r="BB218" s="118"/>
      <c r="BC218" s="118"/>
      <c r="BD218" s="118"/>
      <c r="BE218" s="118"/>
      <c r="BF218" s="118"/>
      <c r="BG218" s="118"/>
      <c r="BH218" s="118"/>
      <c r="BI218" s="118"/>
      <c r="BJ218" s="118"/>
      <c r="BK218" s="118"/>
      <c r="BL218" s="118"/>
      <c r="BM218" s="118"/>
      <c r="BN218" s="118"/>
      <c r="BO218" s="118"/>
      <c r="BP218" s="118"/>
      <c r="BQ218" s="118"/>
      <c r="BR218" s="118"/>
      <c r="BS218" s="118"/>
      <c r="BT218" s="118"/>
      <c r="BU218" s="118"/>
      <c r="BV218" s="118"/>
      <c r="BW218" s="118"/>
      <c r="BX218" s="118"/>
      <c r="BY218" s="118"/>
      <c r="BZ218" s="118"/>
      <c r="CA218" s="118"/>
      <c r="CB218" s="118"/>
      <c r="CC218" s="118"/>
      <c r="CD218" s="118"/>
      <c r="CE218" s="118"/>
      <c r="CF218" s="118"/>
      <c r="CG218" s="118"/>
      <c r="CH218" s="118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/>
      <c r="DL218"/>
      <c r="DM218"/>
      <c r="DN218"/>
      <c r="DO218"/>
      <c r="DP218"/>
    </row>
    <row r="219" spans="2:120" s="109" customFormat="1" ht="14.25">
      <c r="B219" s="301"/>
      <c r="C219" s="301"/>
      <c r="D219" s="118"/>
      <c r="E219" s="118"/>
      <c r="F219" s="118"/>
      <c r="G219" s="118"/>
      <c r="H219" s="118"/>
      <c r="I219" s="118"/>
      <c r="J219" s="118"/>
      <c r="K219" s="118"/>
      <c r="L219" s="118"/>
      <c r="M219" s="118"/>
      <c r="N219" s="118"/>
      <c r="O219" s="118"/>
      <c r="P219" s="118"/>
      <c r="Q219" s="118"/>
      <c r="R219" s="118"/>
      <c r="S219" s="118"/>
      <c r="T219" s="118"/>
      <c r="U219" s="118"/>
      <c r="V219" s="118"/>
      <c r="W219" s="118"/>
      <c r="X219" s="118"/>
      <c r="Y219" s="118"/>
      <c r="Z219" s="118"/>
      <c r="AA219" s="118"/>
      <c r="AB219" s="118"/>
      <c r="AC219" s="118"/>
      <c r="AD219" s="118"/>
      <c r="AE219" s="118"/>
      <c r="AF219" s="118"/>
      <c r="AG219" s="118"/>
      <c r="AH219" s="118"/>
      <c r="AI219" s="118"/>
      <c r="AJ219" s="118"/>
      <c r="AK219" s="118"/>
      <c r="AL219" s="118"/>
      <c r="AM219" s="118"/>
      <c r="AN219" s="118"/>
      <c r="AO219" s="118"/>
      <c r="AP219" s="118"/>
      <c r="AQ219" s="118"/>
      <c r="AR219" s="118"/>
      <c r="AS219" s="118"/>
      <c r="AT219" s="118"/>
      <c r="AU219" s="118"/>
      <c r="AV219" s="118"/>
      <c r="AW219" s="118"/>
      <c r="AX219" s="118"/>
      <c r="AY219" s="118"/>
      <c r="AZ219" s="118"/>
      <c r="BA219" s="118"/>
      <c r="BB219" s="118"/>
      <c r="BC219" s="118"/>
      <c r="BD219" s="118"/>
      <c r="BE219" s="118"/>
      <c r="BF219" s="118"/>
      <c r="BG219" s="118"/>
      <c r="BH219" s="118"/>
      <c r="BI219" s="118"/>
      <c r="BJ219" s="118"/>
      <c r="BK219" s="118"/>
      <c r="BL219" s="118"/>
      <c r="BM219" s="118"/>
      <c r="BN219" s="118"/>
      <c r="BO219" s="118"/>
      <c r="BP219" s="118"/>
      <c r="BQ219" s="118"/>
      <c r="BR219" s="118"/>
      <c r="BS219" s="118"/>
      <c r="BT219" s="118"/>
      <c r="BU219" s="118"/>
      <c r="BV219" s="118"/>
      <c r="BW219" s="118"/>
      <c r="BX219" s="118"/>
      <c r="BY219" s="118"/>
      <c r="BZ219" s="118"/>
      <c r="CA219" s="118"/>
      <c r="CB219" s="118"/>
      <c r="CC219" s="118"/>
      <c r="CD219" s="118"/>
      <c r="CE219" s="118"/>
      <c r="CF219" s="118"/>
      <c r="CG219" s="118"/>
      <c r="CH219" s="118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/>
      <c r="DL219"/>
      <c r="DM219"/>
      <c r="DN219"/>
      <c r="DO219"/>
      <c r="DP219"/>
    </row>
    <row r="220" spans="2:120" s="109" customFormat="1" ht="14.25">
      <c r="B220" s="301"/>
      <c r="C220" s="301"/>
      <c r="D220" s="118"/>
      <c r="E220" s="118"/>
      <c r="F220" s="118"/>
      <c r="G220" s="118"/>
      <c r="H220" s="118"/>
      <c r="I220" s="118"/>
      <c r="J220" s="118"/>
      <c r="K220" s="118"/>
      <c r="L220" s="118"/>
      <c r="M220" s="118"/>
      <c r="N220" s="118"/>
      <c r="O220" s="118"/>
      <c r="P220" s="118"/>
      <c r="Q220" s="118"/>
      <c r="R220" s="118"/>
      <c r="S220" s="118"/>
      <c r="T220" s="118"/>
      <c r="U220" s="118"/>
      <c r="V220" s="118"/>
      <c r="W220" s="118"/>
      <c r="X220" s="118"/>
      <c r="Y220" s="118"/>
      <c r="Z220" s="118"/>
      <c r="AA220" s="118"/>
      <c r="AB220" s="118"/>
      <c r="AC220" s="118"/>
      <c r="AD220" s="118"/>
      <c r="AE220" s="118"/>
      <c r="AF220" s="118"/>
      <c r="AG220" s="118"/>
      <c r="AH220" s="118"/>
      <c r="AI220" s="118"/>
      <c r="AJ220" s="118"/>
      <c r="AK220" s="118"/>
      <c r="AL220" s="118"/>
      <c r="AM220" s="118"/>
      <c r="AN220" s="118"/>
      <c r="AO220" s="118"/>
      <c r="AP220" s="118"/>
      <c r="AQ220" s="118"/>
      <c r="AR220" s="118"/>
      <c r="AS220" s="118"/>
      <c r="AT220" s="118"/>
      <c r="AU220" s="118"/>
      <c r="AV220" s="118"/>
      <c r="AW220" s="118"/>
      <c r="AX220" s="118"/>
      <c r="AY220" s="118"/>
      <c r="AZ220" s="118"/>
      <c r="BA220" s="118"/>
      <c r="BB220" s="118"/>
      <c r="BC220" s="118"/>
      <c r="BD220" s="118"/>
      <c r="BE220" s="118"/>
      <c r="BF220" s="118"/>
      <c r="BG220" s="118"/>
      <c r="BH220" s="118"/>
      <c r="BI220" s="118"/>
      <c r="BJ220" s="118"/>
      <c r="BK220" s="118"/>
      <c r="BL220" s="118"/>
      <c r="BM220" s="118"/>
      <c r="BN220" s="118"/>
      <c r="BO220" s="118"/>
      <c r="BP220" s="118"/>
      <c r="BQ220" s="118"/>
      <c r="BR220" s="118"/>
      <c r="BS220" s="118"/>
      <c r="BT220" s="118"/>
      <c r="BU220" s="118"/>
      <c r="BV220" s="118"/>
      <c r="BW220" s="118"/>
      <c r="BX220" s="118"/>
      <c r="BY220" s="118"/>
      <c r="BZ220" s="118"/>
      <c r="CA220" s="118"/>
      <c r="CB220" s="118"/>
      <c r="CC220" s="118"/>
      <c r="CD220" s="118"/>
      <c r="CE220" s="118"/>
      <c r="CF220" s="118"/>
      <c r="CG220" s="118"/>
      <c r="CH220" s="118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/>
      <c r="DL220"/>
      <c r="DM220"/>
      <c r="DN220"/>
      <c r="DO220"/>
      <c r="DP220"/>
    </row>
    <row r="221" spans="2:120" s="109" customFormat="1" ht="14.25">
      <c r="B221" s="301"/>
      <c r="C221" s="301"/>
      <c r="D221" s="118"/>
      <c r="E221" s="118"/>
      <c r="F221" s="118"/>
      <c r="G221" s="118"/>
      <c r="H221" s="118"/>
      <c r="I221" s="118"/>
      <c r="J221" s="118"/>
      <c r="K221" s="118"/>
      <c r="L221" s="118"/>
      <c r="M221" s="118"/>
      <c r="N221" s="118"/>
      <c r="O221" s="118"/>
      <c r="P221" s="118"/>
      <c r="Q221" s="118"/>
      <c r="R221" s="118"/>
      <c r="S221" s="118"/>
      <c r="T221" s="118"/>
      <c r="U221" s="118"/>
      <c r="V221" s="118"/>
      <c r="W221" s="118"/>
      <c r="X221" s="118"/>
      <c r="Y221" s="118"/>
      <c r="Z221" s="118"/>
      <c r="AA221" s="118"/>
      <c r="AB221" s="118"/>
      <c r="AC221" s="118"/>
      <c r="AD221" s="118"/>
      <c r="AE221" s="118"/>
      <c r="AF221" s="118"/>
      <c r="AG221" s="118"/>
      <c r="AH221" s="118"/>
      <c r="AI221" s="118"/>
      <c r="AJ221" s="118"/>
      <c r="AK221" s="118"/>
      <c r="AL221" s="118"/>
      <c r="AM221" s="118"/>
      <c r="AN221" s="118"/>
      <c r="AO221" s="118"/>
      <c r="AP221" s="118"/>
      <c r="AQ221" s="118"/>
      <c r="AR221" s="118"/>
      <c r="AS221" s="118"/>
      <c r="AT221" s="118"/>
      <c r="AU221" s="118"/>
      <c r="AV221" s="118"/>
      <c r="AW221" s="118"/>
      <c r="AX221" s="118"/>
      <c r="AY221" s="118"/>
      <c r="AZ221" s="118"/>
      <c r="BA221" s="118"/>
      <c r="BB221" s="118"/>
      <c r="BC221" s="118"/>
      <c r="BD221" s="118"/>
      <c r="BE221" s="118"/>
      <c r="BF221" s="118"/>
      <c r="BG221" s="118"/>
      <c r="BH221" s="118"/>
      <c r="BI221" s="118"/>
      <c r="BJ221" s="118"/>
      <c r="BK221" s="118"/>
      <c r="BL221" s="118"/>
      <c r="BM221" s="118"/>
      <c r="BN221" s="118"/>
      <c r="BO221" s="118"/>
      <c r="BP221" s="118"/>
      <c r="BQ221" s="118"/>
      <c r="BR221" s="118"/>
      <c r="BS221" s="118"/>
      <c r="BT221" s="118"/>
      <c r="BU221" s="118"/>
      <c r="BV221" s="118"/>
      <c r="BW221" s="118"/>
      <c r="BX221" s="118"/>
      <c r="BY221" s="118"/>
      <c r="BZ221" s="118"/>
      <c r="CA221" s="118"/>
      <c r="CB221" s="118"/>
      <c r="CC221" s="118"/>
      <c r="CD221" s="118"/>
      <c r="CE221" s="118"/>
      <c r="CF221" s="118"/>
      <c r="CG221" s="118"/>
      <c r="CH221" s="118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/>
      <c r="DL221"/>
      <c r="DM221"/>
      <c r="DN221"/>
      <c r="DO221"/>
      <c r="DP221"/>
    </row>
    <row r="222" spans="2:120" s="109" customFormat="1" ht="14.25">
      <c r="B222" s="301"/>
      <c r="C222" s="301"/>
      <c r="D222" s="118"/>
      <c r="E222" s="118"/>
      <c r="F222" s="118"/>
      <c r="G222" s="118"/>
      <c r="H222" s="118"/>
      <c r="I222" s="118"/>
      <c r="J222" s="118"/>
      <c r="K222" s="118"/>
      <c r="L222" s="118"/>
      <c r="M222" s="118"/>
      <c r="N222" s="118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18"/>
      <c r="AD222" s="118"/>
      <c r="AE222" s="118"/>
      <c r="AF222" s="118"/>
      <c r="AG222" s="118"/>
      <c r="AH222" s="118"/>
      <c r="AI222" s="118"/>
      <c r="AJ222" s="118"/>
      <c r="AK222" s="118"/>
      <c r="AL222" s="118"/>
      <c r="AM222" s="118"/>
      <c r="AN222" s="118"/>
      <c r="AO222" s="118"/>
      <c r="AP222" s="118"/>
      <c r="AQ222" s="118"/>
      <c r="AR222" s="118"/>
      <c r="AS222" s="118"/>
      <c r="AT222" s="118"/>
      <c r="AU222" s="118"/>
      <c r="AV222" s="118"/>
      <c r="AW222" s="118"/>
      <c r="AX222" s="118"/>
      <c r="AY222" s="118"/>
      <c r="AZ222" s="118"/>
      <c r="BA222" s="118"/>
      <c r="BB222" s="118"/>
      <c r="BC222" s="118"/>
      <c r="BD222" s="118"/>
      <c r="BE222" s="118"/>
      <c r="BF222" s="118"/>
      <c r="BG222" s="118"/>
      <c r="BH222" s="118"/>
      <c r="BI222" s="118"/>
      <c r="BJ222" s="118"/>
      <c r="BK222" s="118"/>
      <c r="BL222" s="118"/>
      <c r="BM222" s="118"/>
      <c r="BN222" s="118"/>
      <c r="BO222" s="118"/>
      <c r="BP222" s="118"/>
      <c r="BQ222" s="118"/>
      <c r="BR222" s="118"/>
      <c r="BS222" s="118"/>
      <c r="BT222" s="118"/>
      <c r="BU222" s="118"/>
      <c r="BV222" s="118"/>
      <c r="BW222" s="118"/>
      <c r="BX222" s="118"/>
      <c r="BY222" s="118"/>
      <c r="BZ222" s="118"/>
      <c r="CA222" s="118"/>
      <c r="CB222" s="118"/>
      <c r="CC222" s="118"/>
      <c r="CD222" s="118"/>
      <c r="CE222" s="118"/>
      <c r="CF222" s="118"/>
      <c r="CG222" s="118"/>
      <c r="CH222" s="118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/>
      <c r="DL222"/>
      <c r="DM222"/>
      <c r="DN222"/>
      <c r="DO222"/>
      <c r="DP222"/>
    </row>
    <row r="223" spans="2:120" s="109" customFormat="1" ht="14.25">
      <c r="B223" s="301"/>
      <c r="C223" s="301"/>
      <c r="D223" s="118"/>
      <c r="E223" s="118"/>
      <c r="F223" s="118"/>
      <c r="G223" s="118"/>
      <c r="H223" s="118"/>
      <c r="I223" s="118"/>
      <c r="J223" s="118"/>
      <c r="K223" s="118"/>
      <c r="L223" s="118"/>
      <c r="M223" s="118"/>
      <c r="N223" s="118"/>
      <c r="O223" s="118"/>
      <c r="P223" s="118"/>
      <c r="Q223" s="118"/>
      <c r="R223" s="118"/>
      <c r="S223" s="118"/>
      <c r="T223" s="118"/>
      <c r="U223" s="118"/>
      <c r="V223" s="118"/>
      <c r="W223" s="118"/>
      <c r="X223" s="118"/>
      <c r="Y223" s="118"/>
      <c r="Z223" s="118"/>
      <c r="AA223" s="118"/>
      <c r="AB223" s="118"/>
      <c r="AC223" s="118"/>
      <c r="AD223" s="118"/>
      <c r="AE223" s="118"/>
      <c r="AF223" s="118"/>
      <c r="AG223" s="118"/>
      <c r="AH223" s="118"/>
      <c r="AI223" s="118"/>
      <c r="AJ223" s="118"/>
      <c r="AK223" s="118"/>
      <c r="AL223" s="118"/>
      <c r="AM223" s="118"/>
      <c r="AN223" s="118"/>
      <c r="AO223" s="118"/>
      <c r="AP223" s="118"/>
      <c r="AQ223" s="118"/>
      <c r="AR223" s="118"/>
      <c r="AS223" s="118"/>
      <c r="AT223" s="118"/>
      <c r="AU223" s="118"/>
      <c r="AV223" s="118"/>
      <c r="AW223" s="118"/>
      <c r="AX223" s="118"/>
      <c r="AY223" s="118"/>
      <c r="AZ223" s="118"/>
      <c r="BA223" s="118"/>
      <c r="BB223" s="118"/>
      <c r="BC223" s="118"/>
      <c r="BD223" s="118"/>
      <c r="BE223" s="118"/>
      <c r="BF223" s="118"/>
      <c r="BG223" s="118"/>
      <c r="BH223" s="118"/>
      <c r="BI223" s="118"/>
      <c r="BJ223" s="118"/>
      <c r="BK223" s="118"/>
      <c r="BL223" s="118"/>
      <c r="BM223" s="118"/>
      <c r="BN223" s="118"/>
      <c r="BO223" s="118"/>
      <c r="BP223" s="118"/>
      <c r="BQ223" s="118"/>
      <c r="BR223" s="118"/>
      <c r="BS223" s="118"/>
      <c r="BT223" s="118"/>
      <c r="BU223" s="118"/>
      <c r="BV223" s="118"/>
      <c r="BW223" s="118"/>
      <c r="BX223" s="118"/>
      <c r="BY223" s="118"/>
      <c r="BZ223" s="118"/>
      <c r="CA223" s="118"/>
      <c r="CB223" s="118"/>
      <c r="CC223" s="118"/>
      <c r="CD223" s="118"/>
      <c r="CE223" s="118"/>
      <c r="CF223" s="118"/>
      <c r="CG223" s="118"/>
      <c r="CH223" s="118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/>
      <c r="DL223"/>
      <c r="DM223"/>
      <c r="DN223"/>
      <c r="DO223"/>
      <c r="DP223"/>
    </row>
    <row r="224" spans="2:120" s="109" customFormat="1" ht="14.25">
      <c r="B224" s="301"/>
      <c r="C224" s="301"/>
      <c r="D224" s="118"/>
      <c r="E224" s="118"/>
      <c r="F224" s="118"/>
      <c r="G224" s="118"/>
      <c r="H224" s="118"/>
      <c r="I224" s="118"/>
      <c r="J224" s="118"/>
      <c r="K224" s="118"/>
      <c r="L224" s="118"/>
      <c r="M224" s="118"/>
      <c r="N224" s="118"/>
      <c r="O224" s="118"/>
      <c r="P224" s="118"/>
      <c r="Q224" s="118"/>
      <c r="R224" s="118"/>
      <c r="S224" s="118"/>
      <c r="T224" s="118"/>
      <c r="U224" s="118"/>
      <c r="V224" s="118"/>
      <c r="W224" s="118"/>
      <c r="X224" s="118"/>
      <c r="Y224" s="118"/>
      <c r="Z224" s="118"/>
      <c r="AA224" s="118"/>
      <c r="AB224" s="118"/>
      <c r="AC224" s="118"/>
      <c r="AD224" s="118"/>
      <c r="AE224" s="118"/>
      <c r="AF224" s="118"/>
      <c r="AG224" s="118"/>
      <c r="AH224" s="118"/>
      <c r="AI224" s="118"/>
      <c r="AJ224" s="118"/>
      <c r="AK224" s="118"/>
      <c r="AL224" s="118"/>
      <c r="AM224" s="118"/>
      <c r="AN224" s="118"/>
      <c r="AO224" s="118"/>
      <c r="AP224" s="118"/>
      <c r="AQ224" s="118"/>
      <c r="AR224" s="118"/>
      <c r="AS224" s="118"/>
      <c r="AT224" s="118"/>
      <c r="AU224" s="118"/>
      <c r="AV224" s="118"/>
      <c r="AW224" s="118"/>
      <c r="AX224" s="118"/>
      <c r="AY224" s="118"/>
      <c r="AZ224" s="118"/>
      <c r="BA224" s="118"/>
      <c r="BB224" s="118"/>
      <c r="BC224" s="118"/>
      <c r="BD224" s="118"/>
      <c r="BE224" s="118"/>
      <c r="BF224" s="118"/>
      <c r="BG224" s="118"/>
      <c r="BH224" s="118"/>
      <c r="BI224" s="118"/>
      <c r="BJ224" s="118"/>
      <c r="BK224" s="118"/>
      <c r="BL224" s="118"/>
      <c r="BM224" s="118"/>
      <c r="BN224" s="118"/>
      <c r="BO224" s="118"/>
      <c r="BP224" s="118"/>
      <c r="BQ224" s="118"/>
      <c r="BR224" s="118"/>
      <c r="BS224" s="118"/>
      <c r="BT224" s="118"/>
      <c r="BU224" s="118"/>
      <c r="BV224" s="118"/>
      <c r="BW224" s="118"/>
      <c r="BX224" s="118"/>
      <c r="BY224" s="118"/>
      <c r="BZ224" s="118"/>
      <c r="CA224" s="118"/>
      <c r="CB224" s="118"/>
      <c r="CC224" s="118"/>
      <c r="CD224" s="118"/>
      <c r="CE224" s="118"/>
      <c r="CF224" s="118"/>
      <c r="CG224" s="118"/>
      <c r="CH224" s="118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/>
      <c r="DL224"/>
      <c r="DM224"/>
      <c r="DN224"/>
      <c r="DO224"/>
      <c r="DP224"/>
    </row>
    <row r="225" spans="2:120" s="109" customFormat="1" ht="14.25">
      <c r="B225" s="301"/>
      <c r="C225" s="301"/>
      <c r="D225" s="118"/>
      <c r="E225" s="118"/>
      <c r="F225" s="118"/>
      <c r="G225" s="118"/>
      <c r="H225" s="118"/>
      <c r="I225" s="118"/>
      <c r="J225" s="118"/>
      <c r="K225" s="118"/>
      <c r="L225" s="118"/>
      <c r="M225" s="118"/>
      <c r="N225" s="118"/>
      <c r="O225" s="118"/>
      <c r="P225" s="118"/>
      <c r="Q225" s="118"/>
      <c r="R225" s="118"/>
      <c r="S225" s="118"/>
      <c r="T225" s="118"/>
      <c r="U225" s="118"/>
      <c r="V225" s="118"/>
      <c r="W225" s="118"/>
      <c r="X225" s="118"/>
      <c r="Y225" s="118"/>
      <c r="Z225" s="118"/>
      <c r="AA225" s="118"/>
      <c r="AB225" s="118"/>
      <c r="AC225" s="118"/>
      <c r="AD225" s="118"/>
      <c r="AE225" s="118"/>
      <c r="AF225" s="118"/>
      <c r="AG225" s="118"/>
      <c r="AH225" s="118"/>
      <c r="AI225" s="118"/>
      <c r="AJ225" s="118"/>
      <c r="AK225" s="118"/>
      <c r="AL225" s="118"/>
      <c r="AM225" s="118"/>
      <c r="AN225" s="118"/>
      <c r="AO225" s="118"/>
      <c r="AP225" s="118"/>
      <c r="AQ225" s="118"/>
      <c r="AR225" s="118"/>
      <c r="AS225" s="118"/>
      <c r="AT225" s="118"/>
      <c r="AU225" s="118"/>
      <c r="AV225" s="118"/>
      <c r="AW225" s="118"/>
      <c r="AX225" s="118"/>
      <c r="AY225" s="118"/>
      <c r="AZ225" s="118"/>
      <c r="BA225" s="118"/>
      <c r="BB225" s="118"/>
      <c r="BC225" s="118"/>
      <c r="BD225" s="118"/>
      <c r="BE225" s="118"/>
      <c r="BF225" s="118"/>
      <c r="BG225" s="118"/>
      <c r="BH225" s="118"/>
      <c r="BI225" s="118"/>
      <c r="BJ225" s="118"/>
      <c r="BK225" s="118"/>
      <c r="BL225" s="118"/>
      <c r="BM225" s="118"/>
      <c r="BN225" s="118"/>
      <c r="BO225" s="118"/>
      <c r="BP225" s="118"/>
      <c r="BQ225" s="118"/>
      <c r="BR225" s="118"/>
      <c r="BS225" s="118"/>
      <c r="BT225" s="118"/>
      <c r="BU225" s="118"/>
      <c r="BV225" s="118"/>
      <c r="BW225" s="118"/>
      <c r="BX225" s="118"/>
      <c r="BY225" s="118"/>
      <c r="BZ225" s="118"/>
      <c r="CA225" s="118"/>
      <c r="CB225" s="118"/>
      <c r="CC225" s="118"/>
      <c r="CD225" s="118"/>
      <c r="CE225" s="118"/>
      <c r="CF225" s="118"/>
      <c r="CG225" s="118"/>
      <c r="CH225" s="118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/>
      <c r="DL225"/>
      <c r="DM225"/>
      <c r="DN225"/>
      <c r="DO225"/>
      <c r="DP225"/>
    </row>
    <row r="226" spans="2:120" s="109" customFormat="1" ht="14.25">
      <c r="B226" s="301"/>
      <c r="C226" s="301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8"/>
      <c r="W226" s="118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118"/>
      <c r="AH226" s="118"/>
      <c r="AI226" s="118"/>
      <c r="AJ226" s="118"/>
      <c r="AK226" s="118"/>
      <c r="AL226" s="118"/>
      <c r="AM226" s="118"/>
      <c r="AN226" s="118"/>
      <c r="AO226" s="118"/>
      <c r="AP226" s="118"/>
      <c r="AQ226" s="118"/>
      <c r="AR226" s="118"/>
      <c r="AS226" s="118"/>
      <c r="AT226" s="118"/>
      <c r="AU226" s="118"/>
      <c r="AV226" s="118"/>
      <c r="AW226" s="118"/>
      <c r="AX226" s="118"/>
      <c r="AY226" s="118"/>
      <c r="AZ226" s="118"/>
      <c r="BA226" s="118"/>
      <c r="BB226" s="118"/>
      <c r="BC226" s="118"/>
      <c r="BD226" s="118"/>
      <c r="BE226" s="118"/>
      <c r="BF226" s="118"/>
      <c r="BG226" s="118"/>
      <c r="BH226" s="118"/>
      <c r="BI226" s="118"/>
      <c r="BJ226" s="118"/>
      <c r="BK226" s="118"/>
      <c r="BL226" s="118"/>
      <c r="BM226" s="118"/>
      <c r="BN226" s="118"/>
      <c r="BO226" s="118"/>
      <c r="BP226" s="118"/>
      <c r="BQ226" s="118"/>
      <c r="BR226" s="118"/>
      <c r="BS226" s="118"/>
      <c r="BT226" s="118"/>
      <c r="BU226" s="118"/>
      <c r="BV226" s="118"/>
      <c r="BW226" s="118"/>
      <c r="BX226" s="118"/>
      <c r="BY226" s="118"/>
      <c r="BZ226" s="118"/>
      <c r="CA226" s="118"/>
      <c r="CB226" s="118"/>
      <c r="CC226" s="118"/>
      <c r="CD226" s="118"/>
      <c r="CE226" s="118"/>
      <c r="CF226" s="118"/>
      <c r="CG226" s="118"/>
      <c r="CH226" s="118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/>
      <c r="DL226"/>
      <c r="DM226"/>
      <c r="DN226"/>
      <c r="DO226"/>
      <c r="DP226"/>
    </row>
    <row r="227" spans="2:120" s="109" customFormat="1" ht="14.25">
      <c r="B227" s="301"/>
      <c r="C227" s="301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8"/>
      <c r="W227" s="118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118"/>
      <c r="AH227" s="118"/>
      <c r="AI227" s="118"/>
      <c r="AJ227" s="118"/>
      <c r="AK227" s="118"/>
      <c r="AL227" s="118"/>
      <c r="AM227" s="118"/>
      <c r="AN227" s="118"/>
      <c r="AO227" s="118"/>
      <c r="AP227" s="118"/>
      <c r="AQ227" s="118"/>
      <c r="AR227" s="118"/>
      <c r="AS227" s="118"/>
      <c r="AT227" s="118"/>
      <c r="AU227" s="118"/>
      <c r="AV227" s="118"/>
      <c r="AW227" s="118"/>
      <c r="AX227" s="118"/>
      <c r="AY227" s="118"/>
      <c r="AZ227" s="118"/>
      <c r="BA227" s="118"/>
      <c r="BB227" s="118"/>
      <c r="BC227" s="118"/>
      <c r="BD227" s="118"/>
      <c r="BE227" s="118"/>
      <c r="BF227" s="118"/>
      <c r="BG227" s="118"/>
      <c r="BH227" s="118"/>
      <c r="BI227" s="118"/>
      <c r="BJ227" s="118"/>
      <c r="BK227" s="118"/>
      <c r="BL227" s="118"/>
      <c r="BM227" s="118"/>
      <c r="BN227" s="118"/>
      <c r="BO227" s="118"/>
      <c r="BP227" s="118"/>
      <c r="BQ227" s="118"/>
      <c r="BR227" s="118"/>
      <c r="BS227" s="118"/>
      <c r="BT227" s="118"/>
      <c r="BU227" s="118"/>
      <c r="BV227" s="118"/>
      <c r="BW227" s="118"/>
      <c r="BX227" s="118"/>
      <c r="BY227" s="118"/>
      <c r="BZ227" s="118"/>
      <c r="CA227" s="118"/>
      <c r="CB227" s="118"/>
      <c r="CC227" s="118"/>
      <c r="CD227" s="118"/>
      <c r="CE227" s="118"/>
      <c r="CF227" s="118"/>
      <c r="CG227" s="118"/>
      <c r="CH227" s="118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/>
      <c r="DL227"/>
      <c r="DM227"/>
      <c r="DN227"/>
      <c r="DO227"/>
      <c r="DP227"/>
    </row>
    <row r="228" spans="2:120" s="109" customFormat="1" ht="14.25">
      <c r="B228" s="301"/>
      <c r="C228" s="301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8"/>
      <c r="W228" s="118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118"/>
      <c r="AH228" s="118"/>
      <c r="AI228" s="118"/>
      <c r="AJ228" s="118"/>
      <c r="AK228" s="118"/>
      <c r="AL228" s="118"/>
      <c r="AM228" s="118"/>
      <c r="AN228" s="118"/>
      <c r="AO228" s="118"/>
      <c r="AP228" s="118"/>
      <c r="AQ228" s="118"/>
      <c r="AR228" s="118"/>
      <c r="AS228" s="118"/>
      <c r="AT228" s="118"/>
      <c r="AU228" s="118"/>
      <c r="AV228" s="118"/>
      <c r="AW228" s="118"/>
      <c r="AX228" s="118"/>
      <c r="AY228" s="118"/>
      <c r="AZ228" s="118"/>
      <c r="BA228" s="118"/>
      <c r="BB228" s="118"/>
      <c r="BC228" s="118"/>
      <c r="BD228" s="118"/>
      <c r="BE228" s="118"/>
      <c r="BF228" s="118"/>
      <c r="BG228" s="118"/>
      <c r="BH228" s="118"/>
      <c r="BI228" s="118"/>
      <c r="BJ228" s="118"/>
      <c r="BK228" s="118"/>
      <c r="BL228" s="118"/>
      <c r="BM228" s="118"/>
      <c r="BN228" s="118"/>
      <c r="BO228" s="118"/>
      <c r="BP228" s="118"/>
      <c r="BQ228" s="118"/>
      <c r="BR228" s="118"/>
      <c r="BS228" s="118"/>
      <c r="BT228" s="118"/>
      <c r="BU228" s="118"/>
      <c r="BV228" s="118"/>
      <c r="BW228" s="118"/>
      <c r="BX228" s="118"/>
      <c r="BY228" s="118"/>
      <c r="BZ228" s="118"/>
      <c r="CA228" s="118"/>
      <c r="CB228" s="118"/>
      <c r="CC228" s="118"/>
      <c r="CD228" s="118"/>
      <c r="CE228" s="118"/>
      <c r="CF228" s="118"/>
      <c r="CG228" s="118"/>
      <c r="CH228" s="118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/>
      <c r="DL228"/>
      <c r="DM228"/>
      <c r="DN228"/>
      <c r="DO228"/>
      <c r="DP228"/>
    </row>
    <row r="229" spans="2:120" s="109" customFormat="1" ht="14.25">
      <c r="B229" s="301"/>
      <c r="C229" s="301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8"/>
      <c r="W229" s="118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118"/>
      <c r="AH229" s="118"/>
      <c r="AI229" s="118"/>
      <c r="AJ229" s="118"/>
      <c r="AK229" s="118"/>
      <c r="AL229" s="118"/>
      <c r="AM229" s="118"/>
      <c r="AN229" s="118"/>
      <c r="AO229" s="118"/>
      <c r="AP229" s="118"/>
      <c r="AQ229" s="118"/>
      <c r="AR229" s="118"/>
      <c r="AS229" s="118"/>
      <c r="AT229" s="118"/>
      <c r="AU229" s="118"/>
      <c r="AV229" s="118"/>
      <c r="AW229" s="118"/>
      <c r="AX229" s="118"/>
      <c r="AY229" s="118"/>
      <c r="AZ229" s="118"/>
      <c r="BA229" s="118"/>
      <c r="BB229" s="118"/>
      <c r="BC229" s="118"/>
      <c r="BD229" s="118"/>
      <c r="BE229" s="118"/>
      <c r="BF229" s="118"/>
      <c r="BG229" s="118"/>
      <c r="BH229" s="118"/>
      <c r="BI229" s="118"/>
      <c r="BJ229" s="118"/>
      <c r="BK229" s="118"/>
      <c r="BL229" s="118"/>
      <c r="BM229" s="118"/>
      <c r="BN229" s="118"/>
      <c r="BO229" s="118"/>
      <c r="BP229" s="118"/>
      <c r="BQ229" s="118"/>
      <c r="BR229" s="118"/>
      <c r="BS229" s="118"/>
      <c r="BT229" s="118"/>
      <c r="BU229" s="118"/>
      <c r="BV229" s="118"/>
      <c r="BW229" s="118"/>
      <c r="BX229" s="118"/>
      <c r="BY229" s="118"/>
      <c r="BZ229" s="118"/>
      <c r="CA229" s="118"/>
      <c r="CB229" s="118"/>
      <c r="CC229" s="118"/>
      <c r="CD229" s="118"/>
      <c r="CE229" s="118"/>
      <c r="CF229" s="118"/>
      <c r="CG229" s="118"/>
      <c r="CH229" s="118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/>
      <c r="DL229"/>
      <c r="DM229"/>
      <c r="DN229"/>
      <c r="DO229"/>
      <c r="DP229"/>
    </row>
    <row r="230" spans="2:120" s="109" customFormat="1" ht="14.25">
      <c r="B230" s="301"/>
      <c r="C230" s="301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8"/>
      <c r="W230" s="118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118"/>
      <c r="AH230" s="118"/>
      <c r="AI230" s="118"/>
      <c r="AJ230" s="118"/>
      <c r="AK230" s="118"/>
      <c r="AL230" s="118"/>
      <c r="AM230" s="118"/>
      <c r="AN230" s="118"/>
      <c r="AO230" s="118"/>
      <c r="AP230" s="118"/>
      <c r="AQ230" s="118"/>
      <c r="AR230" s="118"/>
      <c r="AS230" s="118"/>
      <c r="AT230" s="118"/>
      <c r="AU230" s="118"/>
      <c r="AV230" s="118"/>
      <c r="AW230" s="118"/>
      <c r="AX230" s="118"/>
      <c r="AY230" s="118"/>
      <c r="AZ230" s="118"/>
      <c r="BA230" s="118"/>
      <c r="BB230" s="118"/>
      <c r="BC230" s="118"/>
      <c r="BD230" s="118"/>
      <c r="BE230" s="118"/>
      <c r="BF230" s="118"/>
      <c r="BG230" s="118"/>
      <c r="BH230" s="118"/>
      <c r="BI230" s="118"/>
      <c r="BJ230" s="118"/>
      <c r="BK230" s="118"/>
      <c r="BL230" s="118"/>
      <c r="BM230" s="118"/>
      <c r="BN230" s="118"/>
      <c r="BO230" s="118"/>
      <c r="BP230" s="118"/>
      <c r="BQ230" s="118"/>
      <c r="BR230" s="118"/>
      <c r="BS230" s="118"/>
      <c r="BT230" s="118"/>
      <c r="BU230" s="118"/>
      <c r="BV230" s="118"/>
      <c r="BW230" s="118"/>
      <c r="BX230" s="118"/>
      <c r="BY230" s="118"/>
      <c r="BZ230" s="118"/>
      <c r="CA230" s="118"/>
      <c r="CB230" s="118"/>
      <c r="CC230" s="118"/>
      <c r="CD230" s="118"/>
      <c r="CE230" s="118"/>
      <c r="CF230" s="118"/>
      <c r="CG230" s="118"/>
      <c r="CH230" s="118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/>
      <c r="DL230"/>
      <c r="DM230"/>
      <c r="DN230"/>
      <c r="DO230"/>
      <c r="DP230"/>
    </row>
    <row r="231" spans="2:120" s="109" customFormat="1" ht="14.25">
      <c r="B231" s="301"/>
      <c r="C231" s="301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8"/>
      <c r="W231" s="118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118"/>
      <c r="AH231" s="118"/>
      <c r="AI231" s="118"/>
      <c r="AJ231" s="118"/>
      <c r="AK231" s="118"/>
      <c r="AL231" s="118"/>
      <c r="AM231" s="118"/>
      <c r="AN231" s="118"/>
      <c r="AO231" s="118"/>
      <c r="AP231" s="118"/>
      <c r="AQ231" s="118"/>
      <c r="AR231" s="118"/>
      <c r="AS231" s="118"/>
      <c r="AT231" s="118"/>
      <c r="AU231" s="118"/>
      <c r="AV231" s="118"/>
      <c r="AW231" s="118"/>
      <c r="AX231" s="118"/>
      <c r="AY231" s="118"/>
      <c r="AZ231" s="118"/>
      <c r="BA231" s="118"/>
      <c r="BB231" s="118"/>
      <c r="BC231" s="118"/>
      <c r="BD231" s="118"/>
      <c r="BE231" s="118"/>
      <c r="BF231" s="118"/>
      <c r="BG231" s="118"/>
      <c r="BH231" s="118"/>
      <c r="BI231" s="118"/>
      <c r="BJ231" s="118"/>
      <c r="BK231" s="118"/>
      <c r="BL231" s="118"/>
      <c r="BM231" s="118"/>
      <c r="BN231" s="118"/>
      <c r="BO231" s="118"/>
      <c r="BP231" s="118"/>
      <c r="BQ231" s="118"/>
      <c r="BR231" s="118"/>
      <c r="BS231" s="118"/>
      <c r="BT231" s="118"/>
      <c r="BU231" s="118"/>
      <c r="BV231" s="118"/>
      <c r="BW231" s="118"/>
      <c r="BX231" s="118"/>
      <c r="BY231" s="118"/>
      <c r="BZ231" s="118"/>
      <c r="CA231" s="118"/>
      <c r="CB231" s="118"/>
      <c r="CC231" s="118"/>
      <c r="CD231" s="118"/>
      <c r="CE231" s="118"/>
      <c r="CF231" s="118"/>
      <c r="CG231" s="118"/>
      <c r="CH231" s="118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/>
      <c r="DL231"/>
      <c r="DM231"/>
      <c r="DN231"/>
      <c r="DO231"/>
      <c r="DP231"/>
    </row>
    <row r="232" spans="2:120" s="109" customFormat="1" ht="14.25">
      <c r="B232" s="301"/>
      <c r="C232" s="301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8"/>
      <c r="W232" s="118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118"/>
      <c r="AH232" s="118"/>
      <c r="AI232" s="118"/>
      <c r="AJ232" s="118"/>
      <c r="AK232" s="118"/>
      <c r="AL232" s="118"/>
      <c r="AM232" s="118"/>
      <c r="AN232" s="118"/>
      <c r="AO232" s="118"/>
      <c r="AP232" s="118"/>
      <c r="AQ232" s="118"/>
      <c r="AR232" s="118"/>
      <c r="AS232" s="118"/>
      <c r="AT232" s="118"/>
      <c r="AU232" s="118"/>
      <c r="AV232" s="118"/>
      <c r="AW232" s="118"/>
      <c r="AX232" s="118"/>
      <c r="AY232" s="118"/>
      <c r="AZ232" s="118"/>
      <c r="BA232" s="118"/>
      <c r="BB232" s="118"/>
      <c r="BC232" s="118"/>
      <c r="BD232" s="118"/>
      <c r="BE232" s="118"/>
      <c r="BF232" s="118"/>
      <c r="BG232" s="118"/>
      <c r="BH232" s="118"/>
      <c r="BI232" s="118"/>
      <c r="BJ232" s="118"/>
      <c r="BK232" s="118"/>
      <c r="BL232" s="118"/>
      <c r="BM232" s="118"/>
      <c r="BN232" s="118"/>
      <c r="BO232" s="118"/>
      <c r="BP232" s="118"/>
      <c r="BQ232" s="118"/>
      <c r="BR232" s="118"/>
      <c r="BS232" s="118"/>
      <c r="BT232" s="118"/>
      <c r="BU232" s="118"/>
      <c r="BV232" s="118"/>
      <c r="BW232" s="118"/>
      <c r="BX232" s="118"/>
      <c r="BY232" s="118"/>
      <c r="BZ232" s="118"/>
      <c r="CA232" s="118"/>
      <c r="CB232" s="118"/>
      <c r="CC232" s="118"/>
      <c r="CD232" s="118"/>
      <c r="CE232" s="118"/>
      <c r="CF232" s="118"/>
      <c r="CG232" s="118"/>
      <c r="CH232" s="118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/>
      <c r="DL232"/>
      <c r="DM232"/>
      <c r="DN232"/>
      <c r="DO232"/>
      <c r="DP232"/>
    </row>
    <row r="233" spans="2:120" s="109" customFormat="1" ht="14.25">
      <c r="B233" s="301"/>
      <c r="C233" s="301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8"/>
      <c r="W233" s="118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118"/>
      <c r="AH233" s="118"/>
      <c r="AI233" s="118"/>
      <c r="AJ233" s="118"/>
      <c r="AK233" s="118"/>
      <c r="AL233" s="118"/>
      <c r="AM233" s="118"/>
      <c r="AN233" s="118"/>
      <c r="AO233" s="118"/>
      <c r="AP233" s="118"/>
      <c r="AQ233" s="118"/>
      <c r="AR233" s="118"/>
      <c r="AS233" s="118"/>
      <c r="AT233" s="118"/>
      <c r="AU233" s="118"/>
      <c r="AV233" s="118"/>
      <c r="AW233" s="118"/>
      <c r="AX233" s="118"/>
      <c r="AY233" s="118"/>
      <c r="AZ233" s="118"/>
      <c r="BA233" s="118"/>
      <c r="BB233" s="118"/>
      <c r="BC233" s="118"/>
      <c r="BD233" s="118"/>
      <c r="BE233" s="118"/>
      <c r="BF233" s="118"/>
      <c r="BG233" s="118"/>
      <c r="BH233" s="118"/>
      <c r="BI233" s="118"/>
      <c r="BJ233" s="118"/>
      <c r="BK233" s="118"/>
      <c r="BL233" s="118"/>
      <c r="BM233" s="118"/>
      <c r="BN233" s="118"/>
      <c r="BO233" s="118"/>
      <c r="BP233" s="118"/>
      <c r="BQ233" s="118"/>
      <c r="BR233" s="118"/>
      <c r="BS233" s="118"/>
      <c r="BT233" s="118"/>
      <c r="BU233" s="118"/>
      <c r="BV233" s="118"/>
      <c r="BW233" s="118"/>
      <c r="BX233" s="118"/>
      <c r="BY233" s="118"/>
      <c r="BZ233" s="118"/>
      <c r="CA233" s="118"/>
      <c r="CB233" s="118"/>
      <c r="CC233" s="118"/>
      <c r="CD233" s="118"/>
      <c r="CE233" s="118"/>
      <c r="CF233" s="118"/>
      <c r="CG233" s="118"/>
      <c r="CH233" s="118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/>
      <c r="DL233"/>
      <c r="DM233"/>
      <c r="DN233"/>
      <c r="DO233"/>
      <c r="DP233"/>
    </row>
    <row r="234" spans="2:120" s="109" customFormat="1" ht="14.25">
      <c r="B234" s="301"/>
      <c r="C234" s="301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8"/>
      <c r="W234" s="118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118"/>
      <c r="AH234" s="118"/>
      <c r="AI234" s="118"/>
      <c r="AJ234" s="118"/>
      <c r="AK234" s="118"/>
      <c r="AL234" s="118"/>
      <c r="AM234" s="118"/>
      <c r="AN234" s="118"/>
      <c r="AO234" s="118"/>
      <c r="AP234" s="118"/>
      <c r="AQ234" s="118"/>
      <c r="AR234" s="118"/>
      <c r="AS234" s="118"/>
      <c r="AT234" s="118"/>
      <c r="AU234" s="118"/>
      <c r="AV234" s="118"/>
      <c r="AW234" s="118"/>
      <c r="AX234" s="118"/>
      <c r="AY234" s="118"/>
      <c r="AZ234" s="118"/>
      <c r="BA234" s="118"/>
      <c r="BB234" s="118"/>
      <c r="BC234" s="118"/>
      <c r="BD234" s="118"/>
      <c r="BE234" s="118"/>
      <c r="BF234" s="118"/>
      <c r="BG234" s="118"/>
      <c r="BH234" s="118"/>
      <c r="BI234" s="118"/>
      <c r="BJ234" s="118"/>
      <c r="BK234" s="118"/>
      <c r="BL234" s="118"/>
      <c r="BM234" s="118"/>
      <c r="BN234" s="118"/>
      <c r="BO234" s="118"/>
      <c r="BP234" s="118"/>
      <c r="BQ234" s="118"/>
      <c r="BR234" s="118"/>
      <c r="BS234" s="118"/>
      <c r="BT234" s="118"/>
      <c r="BU234" s="118"/>
      <c r="BV234" s="118"/>
      <c r="BW234" s="118"/>
      <c r="BX234" s="118"/>
      <c r="BY234" s="118"/>
      <c r="BZ234" s="118"/>
      <c r="CA234" s="118"/>
      <c r="CB234" s="118"/>
      <c r="CC234" s="118"/>
      <c r="CD234" s="118"/>
      <c r="CE234" s="118"/>
      <c r="CF234" s="118"/>
      <c r="CG234" s="118"/>
      <c r="CH234" s="118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/>
      <c r="DL234"/>
      <c r="DM234"/>
      <c r="DN234"/>
      <c r="DO234"/>
      <c r="DP234"/>
    </row>
    <row r="235" spans="2:120" s="109" customFormat="1" ht="14.25">
      <c r="B235" s="301"/>
      <c r="C235" s="301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8"/>
      <c r="W235" s="118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118"/>
      <c r="AH235" s="118"/>
      <c r="AI235" s="118"/>
      <c r="AJ235" s="118"/>
      <c r="AK235" s="118"/>
      <c r="AL235" s="118"/>
      <c r="AM235" s="118"/>
      <c r="AN235" s="118"/>
      <c r="AO235" s="118"/>
      <c r="AP235" s="118"/>
      <c r="AQ235" s="118"/>
      <c r="AR235" s="118"/>
      <c r="AS235" s="118"/>
      <c r="AT235" s="118"/>
      <c r="AU235" s="118"/>
      <c r="AV235" s="118"/>
      <c r="AW235" s="118"/>
      <c r="AX235" s="118"/>
      <c r="AY235" s="118"/>
      <c r="AZ235" s="118"/>
      <c r="BA235" s="118"/>
      <c r="BB235" s="118"/>
      <c r="BC235" s="118"/>
      <c r="BD235" s="118"/>
      <c r="BE235" s="118"/>
      <c r="BF235" s="118"/>
      <c r="BG235" s="118"/>
      <c r="BH235" s="118"/>
      <c r="BI235" s="118"/>
      <c r="BJ235" s="118"/>
      <c r="BK235" s="118"/>
      <c r="BL235" s="118"/>
      <c r="BM235" s="118"/>
      <c r="BN235" s="118"/>
      <c r="BO235" s="118"/>
      <c r="BP235" s="118"/>
      <c r="BQ235" s="118"/>
      <c r="BR235" s="118"/>
      <c r="BS235" s="118"/>
      <c r="BT235" s="118"/>
      <c r="BU235" s="118"/>
      <c r="BV235" s="118"/>
      <c r="BW235" s="118"/>
      <c r="BX235" s="118"/>
      <c r="BY235" s="118"/>
      <c r="BZ235" s="118"/>
      <c r="CA235" s="118"/>
      <c r="CB235" s="118"/>
      <c r="CC235" s="118"/>
      <c r="CD235" s="118"/>
      <c r="CE235" s="118"/>
      <c r="CF235" s="118"/>
      <c r="CG235" s="118"/>
      <c r="CH235" s="118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/>
      <c r="DL235"/>
      <c r="DM235"/>
      <c r="DN235"/>
      <c r="DO235"/>
      <c r="DP235"/>
    </row>
    <row r="236" spans="2:120" s="109" customFormat="1" ht="14.25">
      <c r="B236" s="301"/>
      <c r="C236" s="301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8"/>
      <c r="W236" s="118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118"/>
      <c r="AH236" s="118"/>
      <c r="AI236" s="118"/>
      <c r="AJ236" s="118"/>
      <c r="AK236" s="118"/>
      <c r="AL236" s="118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118"/>
      <c r="AX236" s="118"/>
      <c r="AY236" s="118"/>
      <c r="AZ236" s="118"/>
      <c r="BA236" s="118"/>
      <c r="BB236" s="118"/>
      <c r="BC236" s="118"/>
      <c r="BD236" s="118"/>
      <c r="BE236" s="118"/>
      <c r="BF236" s="118"/>
      <c r="BG236" s="118"/>
      <c r="BH236" s="118"/>
      <c r="BI236" s="118"/>
      <c r="BJ236" s="118"/>
      <c r="BK236" s="118"/>
      <c r="BL236" s="118"/>
      <c r="BM236" s="118"/>
      <c r="BN236" s="118"/>
      <c r="BO236" s="118"/>
      <c r="BP236" s="118"/>
      <c r="BQ236" s="118"/>
      <c r="BR236" s="118"/>
      <c r="BS236" s="118"/>
      <c r="BT236" s="118"/>
      <c r="BU236" s="118"/>
      <c r="BV236" s="118"/>
      <c r="BW236" s="118"/>
      <c r="BX236" s="118"/>
      <c r="BY236" s="118"/>
      <c r="BZ236" s="118"/>
      <c r="CA236" s="118"/>
      <c r="CB236" s="118"/>
      <c r="CC236" s="118"/>
      <c r="CD236" s="118"/>
      <c r="CE236" s="118"/>
      <c r="CF236" s="118"/>
      <c r="CG236" s="118"/>
      <c r="CH236" s="118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/>
      <c r="DL236"/>
      <c r="DM236"/>
      <c r="DN236"/>
      <c r="DO236"/>
      <c r="DP236"/>
    </row>
    <row r="237" spans="2:120" s="109" customFormat="1" ht="14.25">
      <c r="B237" s="301"/>
      <c r="C237" s="301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8"/>
      <c r="W237" s="118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118"/>
      <c r="AH237" s="118"/>
      <c r="AI237" s="118"/>
      <c r="AJ237" s="118"/>
      <c r="AK237" s="118"/>
      <c r="AL237" s="118"/>
      <c r="AM237" s="118"/>
      <c r="AN237" s="118"/>
      <c r="AO237" s="118"/>
      <c r="AP237" s="118"/>
      <c r="AQ237" s="118"/>
      <c r="AR237" s="118"/>
      <c r="AS237" s="118"/>
      <c r="AT237" s="118"/>
      <c r="AU237" s="118"/>
      <c r="AV237" s="118"/>
      <c r="AW237" s="118"/>
      <c r="AX237" s="118"/>
      <c r="AY237" s="118"/>
      <c r="AZ237" s="118"/>
      <c r="BA237" s="118"/>
      <c r="BB237" s="118"/>
      <c r="BC237" s="118"/>
      <c r="BD237" s="118"/>
      <c r="BE237" s="118"/>
      <c r="BF237" s="118"/>
      <c r="BG237" s="118"/>
      <c r="BH237" s="118"/>
      <c r="BI237" s="118"/>
      <c r="BJ237" s="118"/>
      <c r="BK237" s="118"/>
      <c r="BL237" s="118"/>
      <c r="BM237" s="118"/>
      <c r="BN237" s="118"/>
      <c r="BO237" s="118"/>
      <c r="BP237" s="118"/>
      <c r="BQ237" s="118"/>
      <c r="BR237" s="118"/>
      <c r="BS237" s="118"/>
      <c r="BT237" s="118"/>
      <c r="BU237" s="118"/>
      <c r="BV237" s="118"/>
      <c r="BW237" s="118"/>
      <c r="BX237" s="118"/>
      <c r="BY237" s="118"/>
      <c r="BZ237" s="118"/>
      <c r="CA237" s="118"/>
      <c r="CB237" s="118"/>
      <c r="CC237" s="118"/>
      <c r="CD237" s="118"/>
      <c r="CE237" s="118"/>
      <c r="CF237" s="118"/>
      <c r="CG237" s="118"/>
      <c r="CH237" s="118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/>
      <c r="DL237"/>
      <c r="DM237"/>
      <c r="DN237"/>
      <c r="DO237"/>
      <c r="DP237"/>
    </row>
    <row r="238" spans="2:120" s="109" customFormat="1" ht="14.25">
      <c r="B238" s="301"/>
      <c r="C238" s="301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8"/>
      <c r="W238" s="118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118"/>
      <c r="AH238" s="118"/>
      <c r="AI238" s="118"/>
      <c r="AJ238" s="118"/>
      <c r="AK238" s="118"/>
      <c r="AL238" s="118"/>
      <c r="AM238" s="118"/>
      <c r="AN238" s="118"/>
      <c r="AO238" s="118"/>
      <c r="AP238" s="118"/>
      <c r="AQ238" s="118"/>
      <c r="AR238" s="118"/>
      <c r="AS238" s="118"/>
      <c r="AT238" s="118"/>
      <c r="AU238" s="118"/>
      <c r="AV238" s="118"/>
      <c r="AW238" s="118"/>
      <c r="AX238" s="118"/>
      <c r="AY238" s="118"/>
      <c r="AZ238" s="118"/>
      <c r="BA238" s="118"/>
      <c r="BB238" s="118"/>
      <c r="BC238" s="118"/>
      <c r="BD238" s="118"/>
      <c r="BE238" s="118"/>
      <c r="BF238" s="118"/>
      <c r="BG238" s="118"/>
      <c r="BH238" s="118"/>
      <c r="BI238" s="118"/>
      <c r="BJ238" s="118"/>
      <c r="BK238" s="118"/>
      <c r="BL238" s="118"/>
      <c r="BM238" s="118"/>
      <c r="BN238" s="118"/>
      <c r="BO238" s="118"/>
      <c r="BP238" s="118"/>
      <c r="BQ238" s="118"/>
      <c r="BR238" s="118"/>
      <c r="BS238" s="118"/>
      <c r="BT238" s="118"/>
      <c r="BU238" s="118"/>
      <c r="BV238" s="118"/>
      <c r="BW238" s="118"/>
      <c r="BX238" s="118"/>
      <c r="BY238" s="118"/>
      <c r="BZ238" s="118"/>
      <c r="CA238" s="118"/>
      <c r="CB238" s="118"/>
      <c r="CC238" s="118"/>
      <c r="CD238" s="118"/>
      <c r="CE238" s="118"/>
      <c r="CF238" s="118"/>
      <c r="CG238" s="118"/>
      <c r="CH238" s="118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/>
      <c r="DL238"/>
      <c r="DM238"/>
      <c r="DN238"/>
      <c r="DO238"/>
      <c r="DP238"/>
    </row>
    <row r="239" spans="2:120" s="109" customFormat="1" ht="14.25">
      <c r="B239" s="301"/>
      <c r="C239" s="301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8"/>
      <c r="W239" s="118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118"/>
      <c r="AH239" s="118"/>
      <c r="AI239" s="118"/>
      <c r="AJ239" s="118"/>
      <c r="AK239" s="118"/>
      <c r="AL239" s="118"/>
      <c r="AM239" s="118"/>
      <c r="AN239" s="118"/>
      <c r="AO239" s="118"/>
      <c r="AP239" s="118"/>
      <c r="AQ239" s="118"/>
      <c r="AR239" s="118"/>
      <c r="AS239" s="118"/>
      <c r="AT239" s="118"/>
      <c r="AU239" s="118"/>
      <c r="AV239" s="118"/>
      <c r="AW239" s="118"/>
      <c r="AX239" s="118"/>
      <c r="AY239" s="118"/>
      <c r="AZ239" s="118"/>
      <c r="BA239" s="118"/>
      <c r="BB239" s="118"/>
      <c r="BC239" s="118"/>
      <c r="BD239" s="118"/>
      <c r="BE239" s="118"/>
      <c r="BF239" s="118"/>
      <c r="BG239" s="118"/>
      <c r="BH239" s="118"/>
      <c r="BI239" s="118"/>
      <c r="BJ239" s="118"/>
      <c r="BK239" s="118"/>
      <c r="BL239" s="118"/>
      <c r="BM239" s="118"/>
      <c r="BN239" s="118"/>
      <c r="BO239" s="118"/>
      <c r="BP239" s="118"/>
      <c r="BQ239" s="118"/>
      <c r="BR239" s="118"/>
      <c r="BS239" s="118"/>
      <c r="BT239" s="118"/>
      <c r="BU239" s="118"/>
      <c r="BV239" s="118"/>
      <c r="BW239" s="118"/>
      <c r="BX239" s="118"/>
      <c r="BY239" s="118"/>
      <c r="BZ239" s="118"/>
      <c r="CA239" s="118"/>
      <c r="CB239" s="118"/>
      <c r="CC239" s="118"/>
      <c r="CD239" s="118"/>
      <c r="CE239" s="118"/>
      <c r="CF239" s="118"/>
      <c r="CG239" s="118"/>
      <c r="CH239" s="118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/>
      <c r="DL239"/>
      <c r="DM239"/>
      <c r="DN239"/>
      <c r="DO239"/>
      <c r="DP239"/>
    </row>
    <row r="240" spans="2:120" s="109" customFormat="1" ht="14.25">
      <c r="B240" s="301"/>
      <c r="C240" s="301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8"/>
      <c r="W240" s="118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118"/>
      <c r="AH240" s="118"/>
      <c r="AI240" s="118"/>
      <c r="AJ240" s="118"/>
      <c r="AK240" s="118"/>
      <c r="AL240" s="118"/>
      <c r="AM240" s="118"/>
      <c r="AN240" s="118"/>
      <c r="AO240" s="118"/>
      <c r="AP240" s="118"/>
      <c r="AQ240" s="118"/>
      <c r="AR240" s="118"/>
      <c r="AS240" s="118"/>
      <c r="AT240" s="118"/>
      <c r="AU240" s="118"/>
      <c r="AV240" s="118"/>
      <c r="AW240" s="118"/>
      <c r="AX240" s="118"/>
      <c r="AY240" s="118"/>
      <c r="AZ240" s="118"/>
      <c r="BA240" s="118"/>
      <c r="BB240" s="118"/>
      <c r="BC240" s="118"/>
      <c r="BD240" s="118"/>
      <c r="BE240" s="118"/>
      <c r="BF240" s="118"/>
      <c r="BG240" s="118"/>
      <c r="BH240" s="118"/>
      <c r="BI240" s="118"/>
      <c r="BJ240" s="118"/>
      <c r="BK240" s="118"/>
      <c r="BL240" s="118"/>
      <c r="BM240" s="118"/>
      <c r="BN240" s="118"/>
      <c r="BO240" s="118"/>
      <c r="BP240" s="118"/>
      <c r="BQ240" s="118"/>
      <c r="BR240" s="118"/>
      <c r="BS240" s="118"/>
      <c r="BT240" s="118"/>
      <c r="BU240" s="118"/>
      <c r="BV240" s="118"/>
      <c r="BW240" s="118"/>
      <c r="BX240" s="118"/>
      <c r="BY240" s="118"/>
      <c r="BZ240" s="118"/>
      <c r="CA240" s="118"/>
      <c r="CB240" s="118"/>
      <c r="CC240" s="118"/>
      <c r="CD240" s="118"/>
      <c r="CE240" s="118"/>
      <c r="CF240" s="118"/>
      <c r="CG240" s="118"/>
      <c r="CH240" s="118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/>
      <c r="DL240"/>
      <c r="DM240"/>
      <c r="DN240"/>
      <c r="DO240"/>
      <c r="DP240"/>
    </row>
    <row r="241" spans="2:120" s="109" customFormat="1" ht="14.25">
      <c r="B241" s="301"/>
      <c r="C241" s="301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8"/>
      <c r="W241" s="118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118"/>
      <c r="AH241" s="118"/>
      <c r="AI241" s="118"/>
      <c r="AJ241" s="118"/>
      <c r="AK241" s="118"/>
      <c r="AL241" s="118"/>
      <c r="AM241" s="118"/>
      <c r="AN241" s="118"/>
      <c r="AO241" s="118"/>
      <c r="AP241" s="118"/>
      <c r="AQ241" s="118"/>
      <c r="AR241" s="118"/>
      <c r="AS241" s="118"/>
      <c r="AT241" s="118"/>
      <c r="AU241" s="118"/>
      <c r="AV241" s="118"/>
      <c r="AW241" s="118"/>
      <c r="AX241" s="118"/>
      <c r="AY241" s="118"/>
      <c r="AZ241" s="118"/>
      <c r="BA241" s="118"/>
      <c r="BB241" s="118"/>
      <c r="BC241" s="118"/>
      <c r="BD241" s="118"/>
      <c r="BE241" s="118"/>
      <c r="BF241" s="118"/>
      <c r="BG241" s="118"/>
      <c r="BH241" s="118"/>
      <c r="BI241" s="118"/>
      <c r="BJ241" s="118"/>
      <c r="BK241" s="118"/>
      <c r="BL241" s="118"/>
      <c r="BM241" s="118"/>
      <c r="BN241" s="118"/>
      <c r="BO241" s="118"/>
      <c r="BP241" s="118"/>
      <c r="BQ241" s="118"/>
      <c r="BR241" s="118"/>
      <c r="BS241" s="118"/>
      <c r="BT241" s="118"/>
      <c r="BU241" s="118"/>
      <c r="BV241" s="118"/>
      <c r="BW241" s="118"/>
      <c r="BX241" s="118"/>
      <c r="BY241" s="118"/>
      <c r="BZ241" s="118"/>
      <c r="CA241" s="118"/>
      <c r="CB241" s="118"/>
      <c r="CC241" s="118"/>
      <c r="CD241" s="118"/>
      <c r="CE241" s="118"/>
      <c r="CF241" s="118"/>
      <c r="CG241" s="118"/>
      <c r="CH241" s="118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/>
      <c r="DL241"/>
      <c r="DM241"/>
      <c r="DN241"/>
      <c r="DO241"/>
      <c r="DP241"/>
    </row>
    <row r="242" spans="2:120" s="109" customFormat="1" ht="14.25">
      <c r="B242" s="301"/>
      <c r="C242" s="301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8"/>
      <c r="W242" s="118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118"/>
      <c r="AH242" s="118"/>
      <c r="AI242" s="118"/>
      <c r="AJ242" s="118"/>
      <c r="AK242" s="118"/>
      <c r="AL242" s="118"/>
      <c r="AM242" s="118"/>
      <c r="AN242" s="118"/>
      <c r="AO242" s="118"/>
      <c r="AP242" s="118"/>
      <c r="AQ242" s="118"/>
      <c r="AR242" s="118"/>
      <c r="AS242" s="118"/>
      <c r="AT242" s="118"/>
      <c r="AU242" s="118"/>
      <c r="AV242" s="118"/>
      <c r="AW242" s="118"/>
      <c r="AX242" s="118"/>
      <c r="AY242" s="118"/>
      <c r="AZ242" s="118"/>
      <c r="BA242" s="118"/>
      <c r="BB242" s="118"/>
      <c r="BC242" s="118"/>
      <c r="BD242" s="118"/>
      <c r="BE242" s="118"/>
      <c r="BF242" s="118"/>
      <c r="BG242" s="118"/>
      <c r="BH242" s="118"/>
      <c r="BI242" s="118"/>
      <c r="BJ242" s="118"/>
      <c r="BK242" s="118"/>
      <c r="BL242" s="118"/>
      <c r="BM242" s="118"/>
      <c r="BN242" s="118"/>
      <c r="BO242" s="118"/>
      <c r="BP242" s="118"/>
      <c r="BQ242" s="118"/>
      <c r="BR242" s="118"/>
      <c r="BS242" s="118"/>
      <c r="BT242" s="118"/>
      <c r="BU242" s="118"/>
      <c r="BV242" s="118"/>
      <c r="BW242" s="118"/>
      <c r="BX242" s="118"/>
      <c r="BY242" s="118"/>
      <c r="BZ242" s="118"/>
      <c r="CA242" s="118"/>
      <c r="CB242" s="118"/>
      <c r="CC242" s="118"/>
      <c r="CD242" s="118"/>
      <c r="CE242" s="118"/>
      <c r="CF242" s="118"/>
      <c r="CG242" s="118"/>
      <c r="CH242" s="118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/>
      <c r="DL242"/>
      <c r="DM242"/>
      <c r="DN242"/>
      <c r="DO242"/>
      <c r="DP242"/>
    </row>
    <row r="243" spans="2:120" s="109" customFormat="1" ht="14.25">
      <c r="B243" s="301"/>
      <c r="C243" s="301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8"/>
      <c r="W243" s="118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118"/>
      <c r="AH243" s="118"/>
      <c r="AI243" s="118"/>
      <c r="AJ243" s="118"/>
      <c r="AK243" s="118"/>
      <c r="AL243" s="118"/>
      <c r="AM243" s="118"/>
      <c r="AN243" s="118"/>
      <c r="AO243" s="118"/>
      <c r="AP243" s="118"/>
      <c r="AQ243" s="118"/>
      <c r="AR243" s="118"/>
      <c r="AS243" s="118"/>
      <c r="AT243" s="118"/>
      <c r="AU243" s="118"/>
      <c r="AV243" s="118"/>
      <c r="AW243" s="118"/>
      <c r="AX243" s="118"/>
      <c r="AY243" s="118"/>
      <c r="AZ243" s="118"/>
      <c r="BA243" s="118"/>
      <c r="BB243" s="118"/>
      <c r="BC243" s="118"/>
      <c r="BD243" s="118"/>
      <c r="BE243" s="118"/>
      <c r="BF243" s="118"/>
      <c r="BG243" s="118"/>
      <c r="BH243" s="118"/>
      <c r="BI243" s="118"/>
      <c r="BJ243" s="118"/>
      <c r="BK243" s="118"/>
      <c r="BL243" s="118"/>
      <c r="BM243" s="118"/>
      <c r="BN243" s="118"/>
      <c r="BO243" s="118"/>
      <c r="BP243" s="118"/>
      <c r="BQ243" s="118"/>
      <c r="BR243" s="118"/>
      <c r="BS243" s="118"/>
      <c r="BT243" s="118"/>
      <c r="BU243" s="118"/>
      <c r="BV243" s="118"/>
      <c r="BW243" s="118"/>
      <c r="BX243" s="118"/>
      <c r="BY243" s="118"/>
      <c r="BZ243" s="118"/>
      <c r="CA243" s="118"/>
      <c r="CB243" s="118"/>
      <c r="CC243" s="118"/>
      <c r="CD243" s="118"/>
      <c r="CE243" s="118"/>
      <c r="CF243" s="118"/>
      <c r="CG243" s="118"/>
      <c r="CH243" s="118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/>
      <c r="DL243"/>
      <c r="DM243"/>
      <c r="DN243"/>
      <c r="DO243"/>
      <c r="DP243"/>
    </row>
    <row r="244" spans="2:120" s="109" customFormat="1" ht="14.25">
      <c r="B244" s="301"/>
      <c r="C244" s="301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8"/>
      <c r="W244" s="118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118"/>
      <c r="AH244" s="118"/>
      <c r="AI244" s="118"/>
      <c r="AJ244" s="118"/>
      <c r="AK244" s="118"/>
      <c r="AL244" s="118"/>
      <c r="AM244" s="118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118"/>
      <c r="AX244" s="118"/>
      <c r="AY244" s="118"/>
      <c r="AZ244" s="118"/>
      <c r="BA244" s="118"/>
      <c r="BB244" s="118"/>
      <c r="BC244" s="118"/>
      <c r="BD244" s="118"/>
      <c r="BE244" s="118"/>
      <c r="BF244" s="118"/>
      <c r="BG244" s="118"/>
      <c r="BH244" s="118"/>
      <c r="BI244" s="118"/>
      <c r="BJ244" s="118"/>
      <c r="BK244" s="118"/>
      <c r="BL244" s="118"/>
      <c r="BM244" s="118"/>
      <c r="BN244" s="118"/>
      <c r="BO244" s="118"/>
      <c r="BP244" s="118"/>
      <c r="BQ244" s="118"/>
      <c r="BR244" s="118"/>
      <c r="BS244" s="118"/>
      <c r="BT244" s="118"/>
      <c r="BU244" s="118"/>
      <c r="BV244" s="118"/>
      <c r="BW244" s="118"/>
      <c r="BX244" s="118"/>
      <c r="BY244" s="118"/>
      <c r="BZ244" s="118"/>
      <c r="CA244" s="118"/>
      <c r="CB244" s="118"/>
      <c r="CC244" s="118"/>
      <c r="CD244" s="118"/>
      <c r="CE244" s="118"/>
      <c r="CF244" s="118"/>
      <c r="CG244" s="118"/>
      <c r="CH244" s="118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/>
      <c r="DL244"/>
      <c r="DM244"/>
      <c r="DN244"/>
      <c r="DO244"/>
      <c r="DP244"/>
    </row>
    <row r="245" spans="2:120" s="109" customFormat="1" ht="14.25">
      <c r="B245" s="301"/>
      <c r="C245" s="301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8"/>
      <c r="W245" s="118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118"/>
      <c r="AH245" s="118"/>
      <c r="AI245" s="118"/>
      <c r="AJ245" s="118"/>
      <c r="AK245" s="118"/>
      <c r="AL245" s="118"/>
      <c r="AM245" s="118"/>
      <c r="AN245" s="118"/>
      <c r="AO245" s="118"/>
      <c r="AP245" s="118"/>
      <c r="AQ245" s="118"/>
      <c r="AR245" s="118"/>
      <c r="AS245" s="118"/>
      <c r="AT245" s="118"/>
      <c r="AU245" s="118"/>
      <c r="AV245" s="118"/>
      <c r="AW245" s="118"/>
      <c r="AX245" s="118"/>
      <c r="AY245" s="118"/>
      <c r="AZ245" s="118"/>
      <c r="BA245" s="118"/>
      <c r="BB245" s="118"/>
      <c r="BC245" s="118"/>
      <c r="BD245" s="118"/>
      <c r="BE245" s="118"/>
      <c r="BF245" s="118"/>
      <c r="BG245" s="118"/>
      <c r="BH245" s="118"/>
      <c r="BI245" s="118"/>
      <c r="BJ245" s="118"/>
      <c r="BK245" s="118"/>
      <c r="BL245" s="118"/>
      <c r="BM245" s="118"/>
      <c r="BN245" s="118"/>
      <c r="BO245" s="118"/>
      <c r="BP245" s="118"/>
      <c r="BQ245" s="118"/>
      <c r="BR245" s="118"/>
      <c r="BS245" s="118"/>
      <c r="BT245" s="118"/>
      <c r="BU245" s="118"/>
      <c r="BV245" s="118"/>
      <c r="BW245" s="118"/>
      <c r="BX245" s="118"/>
      <c r="BY245" s="118"/>
      <c r="BZ245" s="118"/>
      <c r="CA245" s="118"/>
      <c r="CB245" s="118"/>
      <c r="CC245" s="118"/>
      <c r="CD245" s="118"/>
      <c r="CE245" s="118"/>
      <c r="CF245" s="118"/>
      <c r="CG245" s="118"/>
      <c r="CH245" s="118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/>
      <c r="DL245"/>
      <c r="DM245"/>
      <c r="DN245"/>
      <c r="DO245"/>
      <c r="DP245"/>
    </row>
    <row r="246" spans="2:120" s="109" customFormat="1" ht="14.25">
      <c r="B246" s="301"/>
      <c r="C246" s="301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8"/>
      <c r="W246" s="118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118"/>
      <c r="AH246" s="118"/>
      <c r="AI246" s="118"/>
      <c r="AJ246" s="118"/>
      <c r="AK246" s="118"/>
      <c r="AL246" s="118"/>
      <c r="AM246" s="118"/>
      <c r="AN246" s="118"/>
      <c r="AO246" s="118"/>
      <c r="AP246" s="118"/>
      <c r="AQ246" s="118"/>
      <c r="AR246" s="118"/>
      <c r="AS246" s="118"/>
      <c r="AT246" s="118"/>
      <c r="AU246" s="118"/>
      <c r="AV246" s="118"/>
      <c r="AW246" s="118"/>
      <c r="AX246" s="118"/>
      <c r="AY246" s="118"/>
      <c r="AZ246" s="118"/>
      <c r="BA246" s="118"/>
      <c r="BB246" s="118"/>
      <c r="BC246" s="118"/>
      <c r="BD246" s="118"/>
      <c r="BE246" s="118"/>
      <c r="BF246" s="118"/>
      <c r="BG246" s="118"/>
      <c r="BH246" s="118"/>
      <c r="BI246" s="118"/>
      <c r="BJ246" s="118"/>
      <c r="BK246" s="118"/>
      <c r="BL246" s="118"/>
      <c r="BM246" s="118"/>
      <c r="BN246" s="118"/>
      <c r="BO246" s="118"/>
      <c r="BP246" s="118"/>
      <c r="BQ246" s="118"/>
      <c r="BR246" s="118"/>
      <c r="BS246" s="118"/>
      <c r="BT246" s="118"/>
      <c r="BU246" s="118"/>
      <c r="BV246" s="118"/>
      <c r="BW246" s="118"/>
      <c r="BX246" s="118"/>
      <c r="BY246" s="118"/>
      <c r="BZ246" s="118"/>
      <c r="CA246" s="118"/>
      <c r="CB246" s="118"/>
      <c r="CC246" s="118"/>
      <c r="CD246" s="118"/>
      <c r="CE246" s="118"/>
      <c r="CF246" s="118"/>
      <c r="CG246" s="118"/>
      <c r="CH246" s="118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/>
      <c r="DL246"/>
      <c r="DM246"/>
      <c r="DN246"/>
      <c r="DO246"/>
      <c r="DP246"/>
    </row>
    <row r="247" spans="2:120" s="109" customFormat="1" ht="14.25">
      <c r="B247" s="301"/>
      <c r="C247" s="301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8"/>
      <c r="W247" s="118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118"/>
      <c r="AH247" s="118"/>
      <c r="AI247" s="118"/>
      <c r="AJ247" s="118"/>
      <c r="AK247" s="118"/>
      <c r="AL247" s="118"/>
      <c r="AM247" s="118"/>
      <c r="AN247" s="118"/>
      <c r="AO247" s="118"/>
      <c r="AP247" s="118"/>
      <c r="AQ247" s="118"/>
      <c r="AR247" s="118"/>
      <c r="AS247" s="118"/>
      <c r="AT247" s="118"/>
      <c r="AU247" s="118"/>
      <c r="AV247" s="118"/>
      <c r="AW247" s="118"/>
      <c r="AX247" s="118"/>
      <c r="AY247" s="118"/>
      <c r="AZ247" s="118"/>
      <c r="BA247" s="118"/>
      <c r="BB247" s="118"/>
      <c r="BC247" s="118"/>
      <c r="BD247" s="118"/>
      <c r="BE247" s="118"/>
      <c r="BF247" s="118"/>
      <c r="BG247" s="118"/>
      <c r="BH247" s="118"/>
      <c r="BI247" s="118"/>
      <c r="BJ247" s="118"/>
      <c r="BK247" s="118"/>
      <c r="BL247" s="118"/>
      <c r="BM247" s="118"/>
      <c r="BN247" s="118"/>
      <c r="BO247" s="118"/>
      <c r="BP247" s="118"/>
      <c r="BQ247" s="118"/>
      <c r="BR247" s="118"/>
      <c r="BS247" s="118"/>
      <c r="BT247" s="118"/>
      <c r="BU247" s="118"/>
      <c r="BV247" s="118"/>
      <c r="BW247" s="118"/>
      <c r="BX247" s="118"/>
      <c r="BY247" s="118"/>
      <c r="BZ247" s="118"/>
      <c r="CA247" s="118"/>
      <c r="CB247" s="118"/>
      <c r="CC247" s="118"/>
      <c r="CD247" s="118"/>
      <c r="CE247" s="118"/>
      <c r="CF247" s="118"/>
      <c r="CG247" s="118"/>
      <c r="CH247" s="118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/>
      <c r="DL247"/>
      <c r="DM247"/>
      <c r="DN247"/>
      <c r="DO247"/>
      <c r="DP247"/>
    </row>
    <row r="248" spans="2:120" s="109" customFormat="1" ht="14.25">
      <c r="B248" s="301"/>
      <c r="C248" s="301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118"/>
      <c r="AH248" s="118"/>
      <c r="AI248" s="118"/>
      <c r="AJ248" s="118"/>
      <c r="AK248" s="118"/>
      <c r="AL248" s="118"/>
      <c r="AM248" s="118"/>
      <c r="AN248" s="118"/>
      <c r="AO248" s="118"/>
      <c r="AP248" s="118"/>
      <c r="AQ248" s="118"/>
      <c r="AR248" s="118"/>
      <c r="AS248" s="118"/>
      <c r="AT248" s="118"/>
      <c r="AU248" s="118"/>
      <c r="AV248" s="118"/>
      <c r="AW248" s="118"/>
      <c r="AX248" s="118"/>
      <c r="AY248" s="118"/>
      <c r="AZ248" s="118"/>
      <c r="BA248" s="118"/>
      <c r="BB248" s="118"/>
      <c r="BC248" s="118"/>
      <c r="BD248" s="118"/>
      <c r="BE248" s="118"/>
      <c r="BF248" s="118"/>
      <c r="BG248" s="118"/>
      <c r="BH248" s="118"/>
      <c r="BI248" s="118"/>
      <c r="BJ248" s="118"/>
      <c r="BK248" s="118"/>
      <c r="BL248" s="118"/>
      <c r="BM248" s="118"/>
      <c r="BN248" s="118"/>
      <c r="BO248" s="118"/>
      <c r="BP248" s="118"/>
      <c r="BQ248" s="118"/>
      <c r="BR248" s="118"/>
      <c r="BS248" s="118"/>
      <c r="BT248" s="118"/>
      <c r="BU248" s="118"/>
      <c r="BV248" s="118"/>
      <c r="BW248" s="118"/>
      <c r="BX248" s="118"/>
      <c r="BY248" s="118"/>
      <c r="BZ248" s="118"/>
      <c r="CA248" s="118"/>
      <c r="CB248" s="118"/>
      <c r="CC248" s="118"/>
      <c r="CD248" s="118"/>
      <c r="CE248" s="118"/>
      <c r="CF248" s="118"/>
      <c r="CG248" s="118"/>
      <c r="CH248" s="118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/>
      <c r="DL248"/>
      <c r="DM248"/>
      <c r="DN248"/>
      <c r="DO248"/>
      <c r="DP248"/>
    </row>
    <row r="249" spans="2:120" s="109" customFormat="1" ht="14.25">
      <c r="B249" s="301"/>
      <c r="C249" s="301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8"/>
      <c r="W249" s="118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118"/>
      <c r="AH249" s="118"/>
      <c r="AI249" s="118"/>
      <c r="AJ249" s="118"/>
      <c r="AK249" s="118"/>
      <c r="AL249" s="118"/>
      <c r="AM249" s="118"/>
      <c r="AN249" s="118"/>
      <c r="AO249" s="118"/>
      <c r="AP249" s="118"/>
      <c r="AQ249" s="118"/>
      <c r="AR249" s="118"/>
      <c r="AS249" s="118"/>
      <c r="AT249" s="118"/>
      <c r="AU249" s="118"/>
      <c r="AV249" s="118"/>
      <c r="AW249" s="118"/>
      <c r="AX249" s="118"/>
      <c r="AY249" s="118"/>
      <c r="AZ249" s="118"/>
      <c r="BA249" s="118"/>
      <c r="BB249" s="118"/>
      <c r="BC249" s="118"/>
      <c r="BD249" s="118"/>
      <c r="BE249" s="118"/>
      <c r="BF249" s="118"/>
      <c r="BG249" s="118"/>
      <c r="BH249" s="118"/>
      <c r="BI249" s="118"/>
      <c r="BJ249" s="118"/>
      <c r="BK249" s="118"/>
      <c r="BL249" s="118"/>
      <c r="BM249" s="118"/>
      <c r="BN249" s="118"/>
      <c r="BO249" s="118"/>
      <c r="BP249" s="118"/>
      <c r="BQ249" s="118"/>
      <c r="BR249" s="118"/>
      <c r="BS249" s="118"/>
      <c r="BT249" s="118"/>
      <c r="BU249" s="118"/>
      <c r="BV249" s="118"/>
      <c r="BW249" s="118"/>
      <c r="BX249" s="118"/>
      <c r="BY249" s="118"/>
      <c r="BZ249" s="118"/>
      <c r="CA249" s="118"/>
      <c r="CB249" s="118"/>
      <c r="CC249" s="118"/>
      <c r="CD249" s="118"/>
      <c r="CE249" s="118"/>
      <c r="CF249" s="118"/>
      <c r="CG249" s="118"/>
      <c r="CH249" s="118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/>
      <c r="DL249"/>
      <c r="DM249"/>
      <c r="DN249"/>
      <c r="DO249"/>
      <c r="DP249"/>
    </row>
    <row r="250" spans="2:120" s="109" customFormat="1" ht="14.25">
      <c r="B250" s="301"/>
      <c r="C250" s="301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8"/>
      <c r="W250" s="118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118"/>
      <c r="AH250" s="118"/>
      <c r="AI250" s="118"/>
      <c r="AJ250" s="118"/>
      <c r="AK250" s="118"/>
      <c r="AL250" s="118"/>
      <c r="AM250" s="118"/>
      <c r="AN250" s="118"/>
      <c r="AO250" s="118"/>
      <c r="AP250" s="118"/>
      <c r="AQ250" s="118"/>
      <c r="AR250" s="118"/>
      <c r="AS250" s="118"/>
      <c r="AT250" s="118"/>
      <c r="AU250" s="118"/>
      <c r="AV250" s="118"/>
      <c r="AW250" s="118"/>
      <c r="AX250" s="118"/>
      <c r="AY250" s="118"/>
      <c r="AZ250" s="118"/>
      <c r="BA250" s="118"/>
      <c r="BB250" s="118"/>
      <c r="BC250" s="118"/>
      <c r="BD250" s="118"/>
      <c r="BE250" s="118"/>
      <c r="BF250" s="118"/>
      <c r="BG250" s="118"/>
      <c r="BH250" s="118"/>
      <c r="BI250" s="118"/>
      <c r="BJ250" s="118"/>
      <c r="BK250" s="118"/>
      <c r="BL250" s="118"/>
      <c r="BM250" s="118"/>
      <c r="BN250" s="118"/>
      <c r="BO250" s="118"/>
      <c r="BP250" s="118"/>
      <c r="BQ250" s="118"/>
      <c r="BR250" s="118"/>
      <c r="BS250" s="118"/>
      <c r="BT250" s="118"/>
      <c r="BU250" s="118"/>
      <c r="BV250" s="118"/>
      <c r="BW250" s="118"/>
      <c r="BX250" s="118"/>
      <c r="BY250" s="118"/>
      <c r="BZ250" s="118"/>
      <c r="CA250" s="118"/>
      <c r="CB250" s="118"/>
      <c r="CC250" s="118"/>
      <c r="CD250" s="118"/>
      <c r="CE250" s="118"/>
      <c r="CF250" s="118"/>
      <c r="CG250" s="118"/>
      <c r="CH250" s="118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/>
      <c r="DL250"/>
      <c r="DM250"/>
      <c r="DN250"/>
      <c r="DO250"/>
      <c r="DP250"/>
    </row>
    <row r="251" spans="2:120" s="109" customFormat="1" ht="14.25">
      <c r="B251" s="301"/>
      <c r="C251" s="301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8"/>
      <c r="W251" s="118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118"/>
      <c r="AH251" s="118"/>
      <c r="AI251" s="118"/>
      <c r="AJ251" s="118"/>
      <c r="AK251" s="118"/>
      <c r="AL251" s="118"/>
      <c r="AM251" s="118"/>
      <c r="AN251" s="118"/>
      <c r="AO251" s="118"/>
      <c r="AP251" s="118"/>
      <c r="AQ251" s="118"/>
      <c r="AR251" s="118"/>
      <c r="AS251" s="118"/>
      <c r="AT251" s="118"/>
      <c r="AU251" s="118"/>
      <c r="AV251" s="118"/>
      <c r="AW251" s="118"/>
      <c r="AX251" s="118"/>
      <c r="AY251" s="118"/>
      <c r="AZ251" s="118"/>
      <c r="BA251" s="118"/>
      <c r="BB251" s="118"/>
      <c r="BC251" s="118"/>
      <c r="BD251" s="118"/>
      <c r="BE251" s="118"/>
      <c r="BF251" s="118"/>
      <c r="BG251" s="118"/>
      <c r="BH251" s="118"/>
      <c r="BI251" s="118"/>
      <c r="BJ251" s="118"/>
      <c r="BK251" s="118"/>
      <c r="BL251" s="118"/>
      <c r="BM251" s="118"/>
      <c r="BN251" s="118"/>
      <c r="BO251" s="118"/>
      <c r="BP251" s="118"/>
      <c r="BQ251" s="118"/>
      <c r="BR251" s="118"/>
      <c r="BS251" s="118"/>
      <c r="BT251" s="118"/>
      <c r="BU251" s="118"/>
      <c r="BV251" s="118"/>
      <c r="BW251" s="118"/>
      <c r="BX251" s="118"/>
      <c r="BY251" s="118"/>
      <c r="BZ251" s="118"/>
      <c r="CA251" s="118"/>
      <c r="CB251" s="118"/>
      <c r="CC251" s="118"/>
      <c r="CD251" s="118"/>
      <c r="CE251" s="118"/>
      <c r="CF251" s="118"/>
      <c r="CG251" s="118"/>
      <c r="CH251" s="118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/>
      <c r="DL251"/>
      <c r="DM251"/>
      <c r="DN251"/>
      <c r="DO251"/>
      <c r="DP251"/>
    </row>
    <row r="252" spans="2:120" s="109" customFormat="1" ht="14.25">
      <c r="B252" s="301"/>
      <c r="C252" s="301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8"/>
      <c r="W252" s="118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118"/>
      <c r="AH252" s="118"/>
      <c r="AI252" s="118"/>
      <c r="AJ252" s="118"/>
      <c r="AK252" s="118"/>
      <c r="AL252" s="118"/>
      <c r="AM252" s="118"/>
      <c r="AN252" s="118"/>
      <c r="AO252" s="118"/>
      <c r="AP252" s="118"/>
      <c r="AQ252" s="118"/>
      <c r="AR252" s="118"/>
      <c r="AS252" s="118"/>
      <c r="AT252" s="118"/>
      <c r="AU252" s="118"/>
      <c r="AV252" s="118"/>
      <c r="AW252" s="118"/>
      <c r="AX252" s="118"/>
      <c r="AY252" s="118"/>
      <c r="AZ252" s="118"/>
      <c r="BA252" s="118"/>
      <c r="BB252" s="118"/>
      <c r="BC252" s="118"/>
      <c r="BD252" s="118"/>
      <c r="BE252" s="118"/>
      <c r="BF252" s="118"/>
      <c r="BG252" s="118"/>
      <c r="BH252" s="118"/>
      <c r="BI252" s="118"/>
      <c r="BJ252" s="118"/>
      <c r="BK252" s="118"/>
      <c r="BL252" s="118"/>
      <c r="BM252" s="118"/>
      <c r="BN252" s="118"/>
      <c r="BO252" s="118"/>
      <c r="BP252" s="118"/>
      <c r="BQ252" s="118"/>
      <c r="BR252" s="118"/>
      <c r="BS252" s="118"/>
      <c r="BT252" s="118"/>
      <c r="BU252" s="118"/>
      <c r="BV252" s="118"/>
      <c r="BW252" s="118"/>
      <c r="BX252" s="118"/>
      <c r="BY252" s="118"/>
      <c r="BZ252" s="118"/>
      <c r="CA252" s="118"/>
      <c r="CB252" s="118"/>
      <c r="CC252" s="118"/>
      <c r="CD252" s="118"/>
      <c r="CE252" s="118"/>
      <c r="CF252" s="118"/>
      <c r="CG252" s="118"/>
      <c r="CH252" s="118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/>
      <c r="DL252"/>
      <c r="DM252"/>
      <c r="DN252"/>
      <c r="DO252"/>
      <c r="DP252"/>
    </row>
    <row r="253" spans="2:120" s="109" customFormat="1" ht="14.25">
      <c r="B253" s="301"/>
      <c r="C253" s="301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8"/>
      <c r="W253" s="118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118"/>
      <c r="AH253" s="118"/>
      <c r="AI253" s="118"/>
      <c r="AJ253" s="118"/>
      <c r="AK253" s="118"/>
      <c r="AL253" s="118"/>
      <c r="AM253" s="118"/>
      <c r="AN253" s="118"/>
      <c r="AO253" s="118"/>
      <c r="AP253" s="118"/>
      <c r="AQ253" s="118"/>
      <c r="AR253" s="118"/>
      <c r="AS253" s="118"/>
      <c r="AT253" s="118"/>
      <c r="AU253" s="118"/>
      <c r="AV253" s="118"/>
      <c r="AW253" s="118"/>
      <c r="AX253" s="118"/>
      <c r="AY253" s="118"/>
      <c r="AZ253" s="118"/>
      <c r="BA253" s="118"/>
      <c r="BB253" s="118"/>
      <c r="BC253" s="118"/>
      <c r="BD253" s="118"/>
      <c r="BE253" s="118"/>
      <c r="BF253" s="118"/>
      <c r="BG253" s="118"/>
      <c r="BH253" s="118"/>
      <c r="BI253" s="118"/>
      <c r="BJ253" s="118"/>
      <c r="BK253" s="118"/>
      <c r="BL253" s="118"/>
      <c r="BM253" s="118"/>
      <c r="BN253" s="118"/>
      <c r="BO253" s="118"/>
      <c r="BP253" s="118"/>
      <c r="BQ253" s="118"/>
      <c r="BR253" s="118"/>
      <c r="BS253" s="118"/>
      <c r="BT253" s="118"/>
      <c r="BU253" s="118"/>
      <c r="BV253" s="118"/>
      <c r="BW253" s="118"/>
      <c r="BX253" s="118"/>
      <c r="BY253" s="118"/>
      <c r="BZ253" s="118"/>
      <c r="CA253" s="118"/>
      <c r="CB253" s="118"/>
      <c r="CC253" s="118"/>
      <c r="CD253" s="118"/>
      <c r="CE253" s="118"/>
      <c r="CF253" s="118"/>
      <c r="CG253" s="118"/>
      <c r="CH253" s="118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/>
      <c r="DL253"/>
      <c r="DM253"/>
      <c r="DN253"/>
      <c r="DO253"/>
      <c r="DP253"/>
    </row>
    <row r="254" spans="2:120" s="109" customFormat="1" ht="14.25">
      <c r="B254" s="301"/>
      <c r="C254" s="301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8"/>
      <c r="W254" s="118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118"/>
      <c r="AH254" s="118"/>
      <c r="AI254" s="118"/>
      <c r="AJ254" s="118"/>
      <c r="AK254" s="118"/>
      <c r="AL254" s="118"/>
      <c r="AM254" s="118"/>
      <c r="AN254" s="118"/>
      <c r="AO254" s="118"/>
      <c r="AP254" s="118"/>
      <c r="AQ254" s="118"/>
      <c r="AR254" s="118"/>
      <c r="AS254" s="118"/>
      <c r="AT254" s="118"/>
      <c r="AU254" s="118"/>
      <c r="AV254" s="118"/>
      <c r="AW254" s="118"/>
      <c r="AX254" s="118"/>
      <c r="AY254" s="118"/>
      <c r="AZ254" s="118"/>
      <c r="BA254" s="118"/>
      <c r="BB254" s="118"/>
      <c r="BC254" s="118"/>
      <c r="BD254" s="118"/>
      <c r="BE254" s="118"/>
      <c r="BF254" s="118"/>
      <c r="BG254" s="118"/>
      <c r="BH254" s="118"/>
      <c r="BI254" s="118"/>
      <c r="BJ254" s="118"/>
      <c r="BK254" s="118"/>
      <c r="BL254" s="118"/>
      <c r="BM254" s="118"/>
      <c r="BN254" s="118"/>
      <c r="BO254" s="118"/>
      <c r="BP254" s="118"/>
      <c r="BQ254" s="118"/>
      <c r="BR254" s="118"/>
      <c r="BS254" s="118"/>
      <c r="BT254" s="118"/>
      <c r="BU254" s="118"/>
      <c r="BV254" s="118"/>
      <c r="BW254" s="118"/>
      <c r="BX254" s="118"/>
      <c r="BY254" s="118"/>
      <c r="BZ254" s="118"/>
      <c r="CA254" s="118"/>
      <c r="CB254" s="118"/>
      <c r="CC254" s="118"/>
      <c r="CD254" s="118"/>
      <c r="CE254" s="118"/>
      <c r="CF254" s="118"/>
      <c r="CG254" s="118"/>
      <c r="CH254" s="118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/>
      <c r="DL254"/>
      <c r="DM254"/>
      <c r="DN254"/>
      <c r="DO254"/>
      <c r="DP254"/>
    </row>
    <row r="255" spans="2:120" s="109" customFormat="1" ht="14.25">
      <c r="B255" s="301"/>
      <c r="C255" s="301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8"/>
      <c r="W255" s="118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118"/>
      <c r="AH255" s="118"/>
      <c r="AI255" s="118"/>
      <c r="AJ255" s="118"/>
      <c r="AK255" s="118"/>
      <c r="AL255" s="118"/>
      <c r="AM255" s="118"/>
      <c r="AN255" s="118"/>
      <c r="AO255" s="118"/>
      <c r="AP255" s="118"/>
      <c r="AQ255" s="118"/>
      <c r="AR255" s="118"/>
      <c r="AS255" s="118"/>
      <c r="AT255" s="118"/>
      <c r="AU255" s="118"/>
      <c r="AV255" s="118"/>
      <c r="AW255" s="118"/>
      <c r="AX255" s="118"/>
      <c r="AY255" s="118"/>
      <c r="AZ255" s="118"/>
      <c r="BA255" s="118"/>
      <c r="BB255" s="118"/>
      <c r="BC255" s="118"/>
      <c r="BD255" s="118"/>
      <c r="BE255" s="118"/>
      <c r="BF255" s="118"/>
      <c r="BG255" s="118"/>
      <c r="BH255" s="118"/>
      <c r="BI255" s="118"/>
      <c r="BJ255" s="118"/>
      <c r="BK255" s="118"/>
      <c r="BL255" s="118"/>
      <c r="BM255" s="118"/>
      <c r="BN255" s="118"/>
      <c r="BO255" s="118"/>
      <c r="BP255" s="118"/>
      <c r="BQ255" s="118"/>
      <c r="BR255" s="118"/>
      <c r="BS255" s="118"/>
      <c r="BT255" s="118"/>
      <c r="BU255" s="118"/>
      <c r="BV255" s="118"/>
      <c r="BW255" s="118"/>
      <c r="BX255" s="118"/>
      <c r="BY255" s="118"/>
      <c r="BZ255" s="118"/>
      <c r="CA255" s="118"/>
      <c r="CB255" s="118"/>
      <c r="CC255" s="118"/>
      <c r="CD255" s="118"/>
      <c r="CE255" s="118"/>
      <c r="CF255" s="118"/>
      <c r="CG255" s="118"/>
      <c r="CH255" s="118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/>
      <c r="DL255"/>
      <c r="DM255"/>
      <c r="DN255"/>
      <c r="DO255"/>
      <c r="DP255"/>
    </row>
    <row r="256" spans="2:120" s="109" customFormat="1" ht="14.25">
      <c r="B256" s="301"/>
      <c r="C256" s="301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8"/>
      <c r="W256" s="118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118"/>
      <c r="AH256" s="118"/>
      <c r="AI256" s="118"/>
      <c r="AJ256" s="118"/>
      <c r="AK256" s="118"/>
      <c r="AL256" s="118"/>
      <c r="AM256" s="118"/>
      <c r="AN256" s="118"/>
      <c r="AO256" s="118"/>
      <c r="AP256" s="118"/>
      <c r="AQ256" s="118"/>
      <c r="AR256" s="118"/>
      <c r="AS256" s="118"/>
      <c r="AT256" s="118"/>
      <c r="AU256" s="118"/>
      <c r="AV256" s="118"/>
      <c r="AW256" s="118"/>
      <c r="AX256" s="118"/>
      <c r="AY256" s="118"/>
      <c r="AZ256" s="118"/>
      <c r="BA256" s="118"/>
      <c r="BB256" s="118"/>
      <c r="BC256" s="118"/>
      <c r="BD256" s="118"/>
      <c r="BE256" s="118"/>
      <c r="BF256" s="118"/>
      <c r="BG256" s="118"/>
      <c r="BH256" s="118"/>
      <c r="BI256" s="118"/>
      <c r="BJ256" s="118"/>
      <c r="BK256" s="118"/>
      <c r="BL256" s="118"/>
      <c r="BM256" s="118"/>
      <c r="BN256" s="118"/>
      <c r="BO256" s="118"/>
      <c r="BP256" s="118"/>
      <c r="BQ256" s="118"/>
      <c r="BR256" s="118"/>
      <c r="BS256" s="118"/>
      <c r="BT256" s="118"/>
      <c r="BU256" s="118"/>
      <c r="BV256" s="118"/>
      <c r="BW256" s="118"/>
      <c r="BX256" s="118"/>
      <c r="BY256" s="118"/>
      <c r="BZ256" s="118"/>
      <c r="CA256" s="118"/>
      <c r="CB256" s="118"/>
      <c r="CC256" s="118"/>
      <c r="CD256" s="118"/>
      <c r="CE256" s="118"/>
      <c r="CF256" s="118"/>
      <c r="CG256" s="118"/>
      <c r="CH256" s="118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/>
      <c r="DL256"/>
      <c r="DM256"/>
      <c r="DN256"/>
      <c r="DO256"/>
      <c r="DP256"/>
    </row>
    <row r="257" spans="2:120" s="109" customFormat="1" ht="14.25">
      <c r="B257" s="301"/>
      <c r="C257" s="301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8"/>
      <c r="W257" s="118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118"/>
      <c r="AH257" s="118"/>
      <c r="AI257" s="118"/>
      <c r="AJ257" s="118"/>
      <c r="AK257" s="118"/>
      <c r="AL257" s="118"/>
      <c r="AM257" s="118"/>
      <c r="AN257" s="118"/>
      <c r="AO257" s="118"/>
      <c r="AP257" s="118"/>
      <c r="AQ257" s="118"/>
      <c r="AR257" s="118"/>
      <c r="AS257" s="118"/>
      <c r="AT257" s="118"/>
      <c r="AU257" s="118"/>
      <c r="AV257" s="118"/>
      <c r="AW257" s="118"/>
      <c r="AX257" s="118"/>
      <c r="AY257" s="118"/>
      <c r="AZ257" s="118"/>
      <c r="BA257" s="118"/>
      <c r="BB257" s="118"/>
      <c r="BC257" s="118"/>
      <c r="BD257" s="118"/>
      <c r="BE257" s="118"/>
      <c r="BF257" s="118"/>
      <c r="BG257" s="118"/>
      <c r="BH257" s="118"/>
      <c r="BI257" s="118"/>
      <c r="BJ257" s="118"/>
      <c r="BK257" s="118"/>
      <c r="BL257" s="118"/>
      <c r="BM257" s="118"/>
      <c r="BN257" s="118"/>
      <c r="BO257" s="118"/>
      <c r="BP257" s="118"/>
      <c r="BQ257" s="118"/>
      <c r="BR257" s="118"/>
      <c r="BS257" s="118"/>
      <c r="BT257" s="118"/>
      <c r="BU257" s="118"/>
      <c r="BV257" s="118"/>
      <c r="BW257" s="118"/>
      <c r="BX257" s="118"/>
      <c r="BY257" s="118"/>
      <c r="BZ257" s="118"/>
      <c r="CA257" s="118"/>
      <c r="CB257" s="118"/>
      <c r="CC257" s="118"/>
      <c r="CD257" s="118"/>
      <c r="CE257" s="118"/>
      <c r="CF257" s="118"/>
      <c r="CG257" s="118"/>
      <c r="CH257" s="118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/>
      <c r="DL257"/>
      <c r="DM257"/>
      <c r="DN257"/>
      <c r="DO257"/>
      <c r="DP257"/>
    </row>
    <row r="258" spans="2:120" s="109" customFormat="1" ht="14.25">
      <c r="B258" s="301"/>
      <c r="C258" s="301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8"/>
      <c r="W258" s="118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118"/>
      <c r="AH258" s="118"/>
      <c r="AI258" s="118"/>
      <c r="AJ258" s="118"/>
      <c r="AK258" s="118"/>
      <c r="AL258" s="118"/>
      <c r="AM258" s="118"/>
      <c r="AN258" s="118"/>
      <c r="AO258" s="118"/>
      <c r="AP258" s="118"/>
      <c r="AQ258" s="118"/>
      <c r="AR258" s="118"/>
      <c r="AS258" s="118"/>
      <c r="AT258" s="118"/>
      <c r="AU258" s="118"/>
      <c r="AV258" s="118"/>
      <c r="AW258" s="118"/>
      <c r="AX258" s="118"/>
      <c r="AY258" s="118"/>
      <c r="AZ258" s="118"/>
      <c r="BA258" s="118"/>
      <c r="BB258" s="118"/>
      <c r="BC258" s="118"/>
      <c r="BD258" s="118"/>
      <c r="BE258" s="118"/>
      <c r="BF258" s="118"/>
      <c r="BG258" s="118"/>
      <c r="BH258" s="118"/>
      <c r="BI258" s="118"/>
      <c r="BJ258" s="118"/>
      <c r="BK258" s="118"/>
      <c r="BL258" s="118"/>
      <c r="BM258" s="118"/>
      <c r="BN258" s="118"/>
      <c r="BO258" s="118"/>
      <c r="BP258" s="118"/>
      <c r="BQ258" s="118"/>
      <c r="BR258" s="118"/>
      <c r="BS258" s="118"/>
      <c r="BT258" s="118"/>
      <c r="BU258" s="118"/>
      <c r="BV258" s="118"/>
      <c r="BW258" s="118"/>
      <c r="BX258" s="118"/>
      <c r="BY258" s="118"/>
      <c r="BZ258" s="118"/>
      <c r="CA258" s="118"/>
      <c r="CB258" s="118"/>
      <c r="CC258" s="118"/>
      <c r="CD258" s="118"/>
      <c r="CE258" s="118"/>
      <c r="CF258" s="118"/>
      <c r="CG258" s="118"/>
      <c r="CH258" s="118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/>
      <c r="DL258"/>
      <c r="DM258"/>
      <c r="DN258"/>
      <c r="DO258"/>
      <c r="DP258"/>
    </row>
    <row r="259" spans="2:120" s="109" customFormat="1" ht="14.25">
      <c r="B259" s="301"/>
      <c r="C259" s="301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8"/>
      <c r="W259" s="118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118"/>
      <c r="AH259" s="118"/>
      <c r="AI259" s="118"/>
      <c r="AJ259" s="118"/>
      <c r="AK259" s="118"/>
      <c r="AL259" s="118"/>
      <c r="AM259" s="118"/>
      <c r="AN259" s="118"/>
      <c r="AO259" s="118"/>
      <c r="AP259" s="118"/>
      <c r="AQ259" s="118"/>
      <c r="AR259" s="118"/>
      <c r="AS259" s="118"/>
      <c r="AT259" s="118"/>
      <c r="AU259" s="118"/>
      <c r="AV259" s="118"/>
      <c r="AW259" s="118"/>
      <c r="AX259" s="118"/>
      <c r="AY259" s="118"/>
      <c r="AZ259" s="118"/>
      <c r="BA259" s="118"/>
      <c r="BB259" s="118"/>
      <c r="BC259" s="118"/>
      <c r="BD259" s="118"/>
      <c r="BE259" s="118"/>
      <c r="BF259" s="118"/>
      <c r="BG259" s="118"/>
      <c r="BH259" s="118"/>
      <c r="BI259" s="118"/>
      <c r="BJ259" s="118"/>
      <c r="BK259" s="118"/>
      <c r="BL259" s="118"/>
      <c r="BM259" s="118"/>
      <c r="BN259" s="118"/>
      <c r="BO259" s="118"/>
      <c r="BP259" s="118"/>
      <c r="BQ259" s="118"/>
      <c r="BR259" s="118"/>
      <c r="BS259" s="118"/>
      <c r="BT259" s="118"/>
      <c r="BU259" s="118"/>
      <c r="BV259" s="118"/>
      <c r="BW259" s="118"/>
      <c r="BX259" s="118"/>
      <c r="BY259" s="118"/>
      <c r="BZ259" s="118"/>
      <c r="CA259" s="118"/>
      <c r="CB259" s="118"/>
      <c r="CC259" s="118"/>
      <c r="CD259" s="118"/>
      <c r="CE259" s="118"/>
      <c r="CF259" s="118"/>
      <c r="CG259" s="118"/>
      <c r="CH259" s="118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/>
      <c r="DL259"/>
      <c r="DM259"/>
      <c r="DN259"/>
      <c r="DO259"/>
      <c r="DP259"/>
    </row>
    <row r="260" spans="2:120" s="109" customFormat="1" ht="14.25">
      <c r="B260" s="301"/>
      <c r="C260" s="301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8"/>
      <c r="W260" s="118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118"/>
      <c r="AH260" s="118"/>
      <c r="AI260" s="118"/>
      <c r="AJ260" s="118"/>
      <c r="AK260" s="118"/>
      <c r="AL260" s="118"/>
      <c r="AM260" s="118"/>
      <c r="AN260" s="118"/>
      <c r="AO260" s="118"/>
      <c r="AP260" s="118"/>
      <c r="AQ260" s="118"/>
      <c r="AR260" s="118"/>
      <c r="AS260" s="118"/>
      <c r="AT260" s="118"/>
      <c r="AU260" s="118"/>
      <c r="AV260" s="118"/>
      <c r="AW260" s="118"/>
      <c r="AX260" s="118"/>
      <c r="AY260" s="118"/>
      <c r="AZ260" s="118"/>
      <c r="BA260" s="118"/>
      <c r="BB260" s="118"/>
      <c r="BC260" s="118"/>
      <c r="BD260" s="118"/>
      <c r="BE260" s="118"/>
      <c r="BF260" s="118"/>
      <c r="BG260" s="118"/>
      <c r="BH260" s="118"/>
      <c r="BI260" s="118"/>
      <c r="BJ260" s="118"/>
      <c r="BK260" s="118"/>
      <c r="BL260" s="118"/>
      <c r="BM260" s="118"/>
      <c r="BN260" s="118"/>
      <c r="BO260" s="118"/>
      <c r="BP260" s="118"/>
      <c r="BQ260" s="118"/>
      <c r="BR260" s="118"/>
      <c r="BS260" s="118"/>
      <c r="BT260" s="118"/>
      <c r="BU260" s="118"/>
      <c r="BV260" s="118"/>
      <c r="BW260" s="118"/>
      <c r="BX260" s="118"/>
      <c r="BY260" s="118"/>
      <c r="BZ260" s="118"/>
      <c r="CA260" s="118"/>
      <c r="CB260" s="118"/>
      <c r="CC260" s="118"/>
      <c r="CD260" s="118"/>
      <c r="CE260" s="118"/>
      <c r="CF260" s="118"/>
      <c r="CG260" s="118"/>
      <c r="CH260" s="118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/>
      <c r="DL260"/>
      <c r="DM260"/>
      <c r="DN260"/>
      <c r="DO260"/>
      <c r="DP260"/>
    </row>
    <row r="261" spans="2:120" s="109" customFormat="1" ht="14.25">
      <c r="B261" s="301"/>
      <c r="C261" s="301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8"/>
      <c r="W261" s="118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118"/>
      <c r="AH261" s="118"/>
      <c r="AI261" s="118"/>
      <c r="AJ261" s="118"/>
      <c r="AK261" s="118"/>
      <c r="AL261" s="118"/>
      <c r="AM261" s="118"/>
      <c r="AN261" s="118"/>
      <c r="AO261" s="118"/>
      <c r="AP261" s="118"/>
      <c r="AQ261" s="118"/>
      <c r="AR261" s="118"/>
      <c r="AS261" s="118"/>
      <c r="AT261" s="118"/>
      <c r="AU261" s="118"/>
      <c r="AV261" s="118"/>
      <c r="AW261" s="118"/>
      <c r="AX261" s="118"/>
      <c r="AY261" s="118"/>
      <c r="AZ261" s="118"/>
      <c r="BA261" s="118"/>
      <c r="BB261" s="118"/>
      <c r="BC261" s="118"/>
      <c r="BD261" s="118"/>
      <c r="BE261" s="118"/>
      <c r="BF261" s="118"/>
      <c r="BG261" s="118"/>
      <c r="BH261" s="118"/>
      <c r="BI261" s="118"/>
      <c r="BJ261" s="118"/>
      <c r="BK261" s="118"/>
      <c r="BL261" s="118"/>
      <c r="BM261" s="118"/>
      <c r="BN261" s="118"/>
      <c r="BO261" s="118"/>
      <c r="BP261" s="118"/>
      <c r="BQ261" s="118"/>
      <c r="BR261" s="118"/>
      <c r="BS261" s="118"/>
      <c r="BT261" s="118"/>
      <c r="BU261" s="118"/>
      <c r="BV261" s="118"/>
      <c r="BW261" s="118"/>
      <c r="BX261" s="118"/>
      <c r="BY261" s="118"/>
      <c r="BZ261" s="118"/>
      <c r="CA261" s="118"/>
      <c r="CB261" s="118"/>
      <c r="CC261" s="118"/>
      <c r="CD261" s="118"/>
      <c r="CE261" s="118"/>
      <c r="CF261" s="118"/>
      <c r="CG261" s="118"/>
      <c r="CH261" s="118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/>
      <c r="DL261"/>
      <c r="DM261"/>
      <c r="DN261"/>
      <c r="DO261"/>
      <c r="DP261"/>
    </row>
    <row r="262" spans="2:120" s="109" customFormat="1" ht="14.25">
      <c r="B262" s="301"/>
      <c r="C262" s="301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8"/>
      <c r="W262" s="118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118"/>
      <c r="AH262" s="118"/>
      <c r="AI262" s="118"/>
      <c r="AJ262" s="118"/>
      <c r="AK262" s="118"/>
      <c r="AL262" s="118"/>
      <c r="AM262" s="118"/>
      <c r="AN262" s="118"/>
      <c r="AO262" s="118"/>
      <c r="AP262" s="118"/>
      <c r="AQ262" s="118"/>
      <c r="AR262" s="118"/>
      <c r="AS262" s="118"/>
      <c r="AT262" s="118"/>
      <c r="AU262" s="118"/>
      <c r="AV262" s="118"/>
      <c r="AW262" s="118"/>
      <c r="AX262" s="118"/>
      <c r="AY262" s="118"/>
      <c r="AZ262" s="118"/>
      <c r="BA262" s="118"/>
      <c r="BB262" s="118"/>
      <c r="BC262" s="118"/>
      <c r="BD262" s="118"/>
      <c r="BE262" s="118"/>
      <c r="BF262" s="118"/>
      <c r="BG262" s="118"/>
      <c r="BH262" s="118"/>
      <c r="BI262" s="118"/>
      <c r="BJ262" s="118"/>
      <c r="BK262" s="118"/>
      <c r="BL262" s="118"/>
      <c r="BM262" s="118"/>
      <c r="BN262" s="118"/>
      <c r="BO262" s="118"/>
      <c r="BP262" s="118"/>
      <c r="BQ262" s="118"/>
      <c r="BR262" s="118"/>
      <c r="BS262" s="118"/>
      <c r="BT262" s="118"/>
      <c r="BU262" s="118"/>
      <c r="BV262" s="118"/>
      <c r="BW262" s="118"/>
      <c r="BX262" s="118"/>
      <c r="BY262" s="118"/>
      <c r="BZ262" s="118"/>
      <c r="CA262" s="118"/>
      <c r="CB262" s="118"/>
      <c r="CC262" s="118"/>
      <c r="CD262" s="118"/>
      <c r="CE262" s="118"/>
      <c r="CF262" s="118"/>
      <c r="CG262" s="118"/>
      <c r="CH262" s="118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/>
      <c r="DL262"/>
      <c r="DM262"/>
      <c r="DN262"/>
      <c r="DO262"/>
      <c r="DP262"/>
    </row>
    <row r="263" spans="2:120" s="109" customFormat="1" ht="14.25">
      <c r="B263" s="301"/>
      <c r="C263" s="301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M263" s="118"/>
      <c r="AN263" s="118"/>
      <c r="AO263" s="118"/>
      <c r="AP263" s="118"/>
      <c r="AQ263" s="118"/>
      <c r="AR263" s="118"/>
      <c r="AS263" s="118"/>
      <c r="AT263" s="118"/>
      <c r="AU263" s="118"/>
      <c r="AV263" s="118"/>
      <c r="AW263" s="118"/>
      <c r="AX263" s="118"/>
      <c r="AY263" s="118"/>
      <c r="AZ263" s="118"/>
      <c r="BA263" s="118"/>
      <c r="BB263" s="118"/>
      <c r="BC263" s="118"/>
      <c r="BD263" s="118"/>
      <c r="BE263" s="118"/>
      <c r="BF263" s="118"/>
      <c r="BG263" s="118"/>
      <c r="BH263" s="118"/>
      <c r="BI263" s="118"/>
      <c r="BJ263" s="118"/>
      <c r="BK263" s="118"/>
      <c r="BL263" s="118"/>
      <c r="BM263" s="118"/>
      <c r="BN263" s="118"/>
      <c r="BO263" s="118"/>
      <c r="BP263" s="118"/>
      <c r="BQ263" s="118"/>
      <c r="BR263" s="118"/>
      <c r="BS263" s="118"/>
      <c r="BT263" s="118"/>
      <c r="BU263" s="118"/>
      <c r="BV263" s="118"/>
      <c r="BW263" s="118"/>
      <c r="BX263" s="118"/>
      <c r="BY263" s="118"/>
      <c r="BZ263" s="118"/>
      <c r="CA263" s="118"/>
      <c r="CB263" s="118"/>
      <c r="CC263" s="118"/>
      <c r="CD263" s="118"/>
      <c r="CE263" s="118"/>
      <c r="CF263" s="118"/>
      <c r="CG263" s="118"/>
      <c r="CH263" s="118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/>
      <c r="DL263"/>
      <c r="DM263"/>
      <c r="DN263"/>
      <c r="DO263"/>
      <c r="DP263"/>
    </row>
    <row r="264" spans="2:120" s="109" customFormat="1" ht="14.25">
      <c r="B264" s="301"/>
      <c r="C264" s="301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8"/>
      <c r="W264" s="118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118"/>
      <c r="AH264" s="118"/>
      <c r="AI264" s="118"/>
      <c r="AJ264" s="118"/>
      <c r="AK264" s="118"/>
      <c r="AL264" s="118"/>
      <c r="AM264" s="118"/>
      <c r="AN264" s="118"/>
      <c r="AO264" s="118"/>
      <c r="AP264" s="118"/>
      <c r="AQ264" s="118"/>
      <c r="AR264" s="118"/>
      <c r="AS264" s="118"/>
      <c r="AT264" s="118"/>
      <c r="AU264" s="118"/>
      <c r="AV264" s="118"/>
      <c r="AW264" s="118"/>
      <c r="AX264" s="118"/>
      <c r="AY264" s="118"/>
      <c r="AZ264" s="118"/>
      <c r="BA264" s="118"/>
      <c r="BB264" s="118"/>
      <c r="BC264" s="118"/>
      <c r="BD264" s="118"/>
      <c r="BE264" s="118"/>
      <c r="BF264" s="118"/>
      <c r="BG264" s="118"/>
      <c r="BH264" s="118"/>
      <c r="BI264" s="118"/>
      <c r="BJ264" s="118"/>
      <c r="BK264" s="118"/>
      <c r="BL264" s="118"/>
      <c r="BM264" s="118"/>
      <c r="BN264" s="118"/>
      <c r="BO264" s="118"/>
      <c r="BP264" s="118"/>
      <c r="BQ264" s="118"/>
      <c r="BR264" s="118"/>
      <c r="BS264" s="118"/>
      <c r="BT264" s="118"/>
      <c r="BU264" s="118"/>
      <c r="BV264" s="118"/>
      <c r="BW264" s="118"/>
      <c r="BX264" s="118"/>
      <c r="BY264" s="118"/>
      <c r="BZ264" s="118"/>
      <c r="CA264" s="118"/>
      <c r="CB264" s="118"/>
      <c r="CC264" s="118"/>
      <c r="CD264" s="118"/>
      <c r="CE264" s="118"/>
      <c r="CF264" s="118"/>
      <c r="CG264" s="118"/>
      <c r="CH264" s="118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/>
      <c r="DL264"/>
      <c r="DM264"/>
      <c r="DN264"/>
      <c r="DO264"/>
      <c r="DP264"/>
    </row>
    <row r="265" spans="2:120" s="109" customFormat="1" ht="14.25">
      <c r="B265" s="301"/>
      <c r="C265" s="301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8"/>
      <c r="W265" s="118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118"/>
      <c r="AH265" s="118"/>
      <c r="AI265" s="118"/>
      <c r="AJ265" s="118"/>
      <c r="AK265" s="118"/>
      <c r="AL265" s="118"/>
      <c r="AM265" s="118"/>
      <c r="AN265" s="118"/>
      <c r="AO265" s="118"/>
      <c r="AP265" s="118"/>
      <c r="AQ265" s="118"/>
      <c r="AR265" s="118"/>
      <c r="AS265" s="118"/>
      <c r="AT265" s="118"/>
      <c r="AU265" s="118"/>
      <c r="AV265" s="118"/>
      <c r="AW265" s="118"/>
      <c r="AX265" s="118"/>
      <c r="AY265" s="118"/>
      <c r="AZ265" s="118"/>
      <c r="BA265" s="118"/>
      <c r="BB265" s="118"/>
      <c r="BC265" s="118"/>
      <c r="BD265" s="118"/>
      <c r="BE265" s="118"/>
      <c r="BF265" s="118"/>
      <c r="BG265" s="118"/>
      <c r="BH265" s="118"/>
      <c r="BI265" s="118"/>
      <c r="BJ265" s="118"/>
      <c r="BK265" s="118"/>
      <c r="BL265" s="118"/>
      <c r="BM265" s="118"/>
      <c r="BN265" s="118"/>
      <c r="BO265" s="118"/>
      <c r="BP265" s="118"/>
      <c r="BQ265" s="118"/>
      <c r="BR265" s="118"/>
      <c r="BS265" s="118"/>
      <c r="BT265" s="118"/>
      <c r="BU265" s="118"/>
      <c r="BV265" s="118"/>
      <c r="BW265" s="118"/>
      <c r="BX265" s="118"/>
      <c r="BY265" s="118"/>
      <c r="BZ265" s="118"/>
      <c r="CA265" s="118"/>
      <c r="CB265" s="118"/>
      <c r="CC265" s="118"/>
      <c r="CD265" s="118"/>
      <c r="CE265" s="118"/>
      <c r="CF265" s="118"/>
      <c r="CG265" s="118"/>
      <c r="CH265" s="118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/>
      <c r="DL265"/>
      <c r="DM265"/>
      <c r="DN265"/>
      <c r="DO265"/>
      <c r="DP265"/>
    </row>
    <row r="266" spans="2:120" s="109" customFormat="1" ht="14.25">
      <c r="B266" s="301"/>
      <c r="C266" s="301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8"/>
      <c r="W266" s="118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118"/>
      <c r="AH266" s="118"/>
      <c r="AI266" s="118"/>
      <c r="AJ266" s="118"/>
      <c r="AK266" s="118"/>
      <c r="AL266" s="118"/>
      <c r="AM266" s="118"/>
      <c r="AN266" s="118"/>
      <c r="AO266" s="118"/>
      <c r="AP266" s="118"/>
      <c r="AQ266" s="118"/>
      <c r="AR266" s="118"/>
      <c r="AS266" s="118"/>
      <c r="AT266" s="118"/>
      <c r="AU266" s="118"/>
      <c r="AV266" s="118"/>
      <c r="AW266" s="118"/>
      <c r="AX266" s="118"/>
      <c r="AY266" s="118"/>
      <c r="AZ266" s="118"/>
      <c r="BA266" s="118"/>
      <c r="BB266" s="118"/>
      <c r="BC266" s="118"/>
      <c r="BD266" s="118"/>
      <c r="BE266" s="118"/>
      <c r="BF266" s="118"/>
      <c r="BG266" s="118"/>
      <c r="BH266" s="118"/>
      <c r="BI266" s="118"/>
      <c r="BJ266" s="118"/>
      <c r="BK266" s="118"/>
      <c r="BL266" s="118"/>
      <c r="BM266" s="118"/>
      <c r="BN266" s="118"/>
      <c r="BO266" s="118"/>
      <c r="BP266" s="118"/>
      <c r="BQ266" s="118"/>
      <c r="BR266" s="118"/>
      <c r="BS266" s="118"/>
      <c r="BT266" s="118"/>
      <c r="BU266" s="118"/>
      <c r="BV266" s="118"/>
      <c r="BW266" s="118"/>
      <c r="BX266" s="118"/>
      <c r="BY266" s="118"/>
      <c r="BZ266" s="118"/>
      <c r="CA266" s="118"/>
      <c r="CB266" s="118"/>
      <c r="CC266" s="118"/>
      <c r="CD266" s="118"/>
      <c r="CE266" s="118"/>
      <c r="CF266" s="118"/>
      <c r="CG266" s="118"/>
      <c r="CH266" s="118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/>
      <c r="DL266"/>
      <c r="DM266"/>
      <c r="DN266"/>
      <c r="DO266"/>
      <c r="DP266"/>
    </row>
    <row r="267" spans="2:120" s="109" customFormat="1" ht="14.25">
      <c r="B267" s="301"/>
      <c r="C267" s="301"/>
      <c r="D267" s="118"/>
      <c r="E267" s="118"/>
      <c r="F267" s="118"/>
      <c r="G267" s="118"/>
      <c r="H267" s="118"/>
      <c r="I267" s="118"/>
      <c r="J267" s="118"/>
      <c r="K267" s="118"/>
      <c r="L267" s="118"/>
      <c r="M267" s="118"/>
      <c r="N267" s="118"/>
      <c r="O267" s="118"/>
      <c r="P267" s="118"/>
      <c r="Q267" s="118"/>
      <c r="R267" s="118"/>
      <c r="S267" s="118"/>
      <c r="T267" s="118"/>
      <c r="U267" s="118"/>
      <c r="V267" s="118"/>
      <c r="W267" s="118"/>
      <c r="X267" s="118"/>
      <c r="Y267" s="118"/>
      <c r="Z267" s="118"/>
      <c r="AA267" s="118"/>
      <c r="AB267" s="118"/>
      <c r="AC267" s="118"/>
      <c r="AD267" s="118"/>
      <c r="AE267" s="118"/>
      <c r="AF267" s="118"/>
      <c r="AG267" s="118"/>
      <c r="AH267" s="118"/>
      <c r="AI267" s="118"/>
      <c r="AJ267" s="118"/>
      <c r="AK267" s="118"/>
      <c r="AL267" s="118"/>
      <c r="AM267" s="118"/>
      <c r="AN267" s="118"/>
      <c r="AO267" s="118"/>
      <c r="AP267" s="118"/>
      <c r="AQ267" s="118"/>
      <c r="AR267" s="118"/>
      <c r="AS267" s="118"/>
      <c r="AT267" s="118"/>
      <c r="AU267" s="118"/>
      <c r="AV267" s="118"/>
      <c r="AW267" s="118"/>
      <c r="AX267" s="118"/>
      <c r="AY267" s="118"/>
      <c r="AZ267" s="118"/>
      <c r="BA267" s="118"/>
      <c r="BB267" s="118"/>
      <c r="BC267" s="118"/>
      <c r="BD267" s="118"/>
      <c r="BE267" s="118"/>
      <c r="BF267" s="118"/>
      <c r="BG267" s="118"/>
      <c r="BH267" s="118"/>
      <c r="BI267" s="118"/>
      <c r="BJ267" s="118"/>
      <c r="BK267" s="118"/>
      <c r="BL267" s="118"/>
      <c r="BM267" s="118"/>
      <c r="BN267" s="118"/>
      <c r="BO267" s="118"/>
      <c r="BP267" s="118"/>
      <c r="BQ267" s="118"/>
      <c r="BR267" s="118"/>
      <c r="BS267" s="118"/>
      <c r="BT267" s="118"/>
      <c r="BU267" s="118"/>
      <c r="BV267" s="118"/>
      <c r="BW267" s="118"/>
      <c r="BX267" s="118"/>
      <c r="BY267" s="118"/>
      <c r="BZ267" s="118"/>
      <c r="CA267" s="118"/>
      <c r="CB267" s="118"/>
      <c r="CC267" s="118"/>
      <c r="CD267" s="118"/>
      <c r="CE267" s="118"/>
      <c r="CF267" s="118"/>
      <c r="CG267" s="118"/>
      <c r="CH267" s="118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/>
      <c r="DL267"/>
      <c r="DM267"/>
      <c r="DN267"/>
      <c r="DO267"/>
      <c r="DP267"/>
    </row>
    <row r="268" spans="2:120" s="109" customFormat="1" ht="14.25">
      <c r="B268" s="301"/>
      <c r="C268" s="301"/>
      <c r="D268" s="118"/>
      <c r="E268" s="118"/>
      <c r="F268" s="118"/>
      <c r="G268" s="118"/>
      <c r="H268" s="118"/>
      <c r="I268" s="118"/>
      <c r="J268" s="118"/>
      <c r="K268" s="118"/>
      <c r="L268" s="118"/>
      <c r="M268" s="118"/>
      <c r="N268" s="118"/>
      <c r="O268" s="118"/>
      <c r="P268" s="118"/>
      <c r="Q268" s="118"/>
      <c r="R268" s="118"/>
      <c r="S268" s="118"/>
      <c r="T268" s="118"/>
      <c r="U268" s="118"/>
      <c r="V268" s="118"/>
      <c r="W268" s="118"/>
      <c r="X268" s="118"/>
      <c r="Y268" s="118"/>
      <c r="Z268" s="118"/>
      <c r="AA268" s="118"/>
      <c r="AB268" s="118"/>
      <c r="AC268" s="118"/>
      <c r="AD268" s="118"/>
      <c r="AE268" s="118"/>
      <c r="AF268" s="118"/>
      <c r="AG268" s="118"/>
      <c r="AH268" s="118"/>
      <c r="AI268" s="118"/>
      <c r="AJ268" s="118"/>
      <c r="AK268" s="118"/>
      <c r="AL268" s="118"/>
      <c r="AM268" s="118"/>
      <c r="AN268" s="118"/>
      <c r="AO268" s="118"/>
      <c r="AP268" s="118"/>
      <c r="AQ268" s="118"/>
      <c r="AR268" s="118"/>
      <c r="AS268" s="118"/>
      <c r="AT268" s="118"/>
      <c r="AU268" s="118"/>
      <c r="AV268" s="118"/>
      <c r="AW268" s="118"/>
      <c r="AX268" s="118"/>
      <c r="AY268" s="118"/>
      <c r="AZ268" s="118"/>
      <c r="BA268" s="118"/>
      <c r="BB268" s="118"/>
      <c r="BC268" s="118"/>
      <c r="BD268" s="118"/>
      <c r="BE268" s="118"/>
      <c r="BF268" s="118"/>
      <c r="BG268" s="118"/>
      <c r="BH268" s="118"/>
      <c r="BI268" s="118"/>
      <c r="BJ268" s="118"/>
      <c r="BK268" s="118"/>
      <c r="BL268" s="118"/>
      <c r="BM268" s="118"/>
      <c r="BN268" s="118"/>
      <c r="BO268" s="118"/>
      <c r="BP268" s="118"/>
      <c r="BQ268" s="118"/>
      <c r="BR268" s="118"/>
      <c r="BS268" s="118"/>
      <c r="BT268" s="118"/>
      <c r="BU268" s="118"/>
      <c r="BV268" s="118"/>
      <c r="BW268" s="118"/>
      <c r="BX268" s="118"/>
      <c r="BY268" s="118"/>
      <c r="BZ268" s="118"/>
      <c r="CA268" s="118"/>
      <c r="CB268" s="118"/>
      <c r="CC268" s="118"/>
      <c r="CD268" s="118"/>
      <c r="CE268" s="118"/>
      <c r="CF268" s="118"/>
      <c r="CG268" s="118"/>
      <c r="CH268" s="118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/>
      <c r="DL268"/>
      <c r="DM268"/>
      <c r="DN268"/>
      <c r="DO268"/>
      <c r="DP268"/>
    </row>
    <row r="269" spans="2:120" s="109" customFormat="1" ht="14.25">
      <c r="B269" s="301"/>
      <c r="C269" s="301"/>
      <c r="D269" s="118"/>
      <c r="E269" s="118"/>
      <c r="F269" s="118"/>
      <c r="G269" s="118"/>
      <c r="H269" s="118"/>
      <c r="I269" s="118"/>
      <c r="J269" s="118"/>
      <c r="K269" s="118"/>
      <c r="L269" s="118"/>
      <c r="M269" s="118"/>
      <c r="N269" s="118"/>
      <c r="O269" s="118"/>
      <c r="P269" s="118"/>
      <c r="Q269" s="118"/>
      <c r="R269" s="118"/>
      <c r="S269" s="118"/>
      <c r="T269" s="118"/>
      <c r="U269" s="118"/>
      <c r="V269" s="118"/>
      <c r="W269" s="118"/>
      <c r="X269" s="118"/>
      <c r="Y269" s="118"/>
      <c r="Z269" s="118"/>
      <c r="AA269" s="118"/>
      <c r="AB269" s="118"/>
      <c r="AC269" s="118"/>
      <c r="AD269" s="118"/>
      <c r="AE269" s="118"/>
      <c r="AF269" s="118"/>
      <c r="AG269" s="118"/>
      <c r="AH269" s="118"/>
      <c r="AI269" s="118"/>
      <c r="AJ269" s="118"/>
      <c r="AK269" s="118"/>
      <c r="AL269" s="118"/>
      <c r="AM269" s="118"/>
      <c r="AN269" s="118"/>
      <c r="AO269" s="118"/>
      <c r="AP269" s="118"/>
      <c r="AQ269" s="118"/>
      <c r="AR269" s="118"/>
      <c r="AS269" s="118"/>
      <c r="AT269" s="118"/>
      <c r="AU269" s="118"/>
      <c r="AV269" s="118"/>
      <c r="AW269" s="118"/>
      <c r="AX269" s="118"/>
      <c r="AY269" s="118"/>
      <c r="AZ269" s="118"/>
      <c r="BA269" s="118"/>
      <c r="BB269" s="118"/>
      <c r="BC269" s="118"/>
      <c r="BD269" s="118"/>
      <c r="BE269" s="118"/>
      <c r="BF269" s="118"/>
      <c r="BG269" s="118"/>
      <c r="BH269" s="118"/>
      <c r="BI269" s="118"/>
      <c r="BJ269" s="118"/>
      <c r="BK269" s="118"/>
      <c r="BL269" s="118"/>
      <c r="BM269" s="118"/>
      <c r="BN269" s="118"/>
      <c r="BO269" s="118"/>
      <c r="BP269" s="118"/>
      <c r="BQ269" s="118"/>
      <c r="BR269" s="118"/>
      <c r="BS269" s="118"/>
      <c r="BT269" s="118"/>
      <c r="BU269" s="118"/>
      <c r="BV269" s="118"/>
      <c r="BW269" s="118"/>
      <c r="BX269" s="118"/>
      <c r="BY269" s="118"/>
      <c r="BZ269" s="118"/>
      <c r="CA269" s="118"/>
      <c r="CB269" s="118"/>
      <c r="CC269" s="118"/>
      <c r="CD269" s="118"/>
      <c r="CE269" s="118"/>
      <c r="CF269" s="118"/>
      <c r="CG269" s="118"/>
      <c r="CH269" s="118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/>
      <c r="DL269"/>
      <c r="DM269"/>
      <c r="DN269"/>
      <c r="DO269"/>
      <c r="DP269"/>
    </row>
    <row r="270" spans="2:120" s="109" customFormat="1" ht="14.25">
      <c r="B270" s="301"/>
      <c r="C270" s="301"/>
      <c r="D270" s="118"/>
      <c r="E270" s="118"/>
      <c r="F270" s="118"/>
      <c r="G270" s="118"/>
      <c r="H270" s="118"/>
      <c r="I270" s="118"/>
      <c r="J270" s="118"/>
      <c r="K270" s="118"/>
      <c r="L270" s="118"/>
      <c r="M270" s="118"/>
      <c r="N270" s="118"/>
      <c r="O270" s="118"/>
      <c r="P270" s="118"/>
      <c r="Q270" s="118"/>
      <c r="R270" s="118"/>
      <c r="S270" s="118"/>
      <c r="T270" s="118"/>
      <c r="U270" s="118"/>
      <c r="V270" s="118"/>
      <c r="W270" s="118"/>
      <c r="X270" s="118"/>
      <c r="Y270" s="118"/>
      <c r="Z270" s="118"/>
      <c r="AA270" s="118"/>
      <c r="AB270" s="118"/>
      <c r="AC270" s="118"/>
      <c r="AD270" s="118"/>
      <c r="AE270" s="118"/>
      <c r="AF270" s="118"/>
      <c r="AG270" s="118"/>
      <c r="AH270" s="118"/>
      <c r="AI270" s="118"/>
      <c r="AJ270" s="118"/>
      <c r="AK270" s="118"/>
      <c r="AL270" s="118"/>
      <c r="AM270" s="118"/>
      <c r="AN270" s="118"/>
      <c r="AO270" s="118"/>
      <c r="AP270" s="118"/>
      <c r="AQ270" s="118"/>
      <c r="AR270" s="118"/>
      <c r="AS270" s="118"/>
      <c r="AT270" s="118"/>
      <c r="AU270" s="118"/>
      <c r="AV270" s="118"/>
      <c r="AW270" s="118"/>
      <c r="AX270" s="118"/>
      <c r="AY270" s="118"/>
      <c r="AZ270" s="118"/>
      <c r="BA270" s="118"/>
      <c r="BB270" s="118"/>
      <c r="BC270" s="118"/>
      <c r="BD270" s="118"/>
      <c r="BE270" s="118"/>
      <c r="BF270" s="118"/>
      <c r="BG270" s="118"/>
      <c r="BH270" s="118"/>
      <c r="BI270" s="118"/>
      <c r="BJ270" s="118"/>
      <c r="BK270" s="118"/>
      <c r="BL270" s="118"/>
      <c r="BM270" s="118"/>
      <c r="BN270" s="118"/>
      <c r="BO270" s="118"/>
      <c r="BP270" s="118"/>
      <c r="BQ270" s="118"/>
      <c r="BR270" s="118"/>
      <c r="BS270" s="118"/>
      <c r="BT270" s="118"/>
      <c r="BU270" s="118"/>
      <c r="BV270" s="118"/>
      <c r="BW270" s="118"/>
      <c r="BX270" s="118"/>
      <c r="BY270" s="118"/>
      <c r="BZ270" s="118"/>
      <c r="CA270" s="118"/>
      <c r="CB270" s="118"/>
      <c r="CC270" s="118"/>
      <c r="CD270" s="118"/>
      <c r="CE270" s="118"/>
      <c r="CF270" s="118"/>
      <c r="CG270" s="118"/>
      <c r="CH270" s="118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/>
      <c r="DL270"/>
      <c r="DM270"/>
      <c r="DN270"/>
      <c r="DO270"/>
      <c r="DP270"/>
    </row>
    <row r="271" spans="2:120" s="109" customFormat="1" ht="14.25">
      <c r="B271" s="301"/>
      <c r="C271" s="301"/>
      <c r="D271" s="118"/>
      <c r="E271" s="118"/>
      <c r="F271" s="118"/>
      <c r="G271" s="118"/>
      <c r="H271" s="118"/>
      <c r="I271" s="118"/>
      <c r="J271" s="118"/>
      <c r="K271" s="118"/>
      <c r="L271" s="118"/>
      <c r="M271" s="118"/>
      <c r="N271" s="118"/>
      <c r="O271" s="118"/>
      <c r="P271" s="118"/>
      <c r="Q271" s="118"/>
      <c r="R271" s="118"/>
      <c r="S271" s="118"/>
      <c r="T271" s="118"/>
      <c r="U271" s="118"/>
      <c r="V271" s="118"/>
      <c r="W271" s="118"/>
      <c r="X271" s="118"/>
      <c r="Y271" s="118"/>
      <c r="Z271" s="118"/>
      <c r="AA271" s="118"/>
      <c r="AB271" s="118"/>
      <c r="AC271" s="118"/>
      <c r="AD271" s="118"/>
      <c r="AE271" s="118"/>
      <c r="AF271" s="118"/>
      <c r="AG271" s="118"/>
      <c r="AH271" s="118"/>
      <c r="AI271" s="118"/>
      <c r="AJ271" s="118"/>
      <c r="AK271" s="118"/>
      <c r="AL271" s="118"/>
      <c r="AM271" s="118"/>
      <c r="AN271" s="118"/>
      <c r="AO271" s="118"/>
      <c r="AP271" s="118"/>
      <c r="AQ271" s="118"/>
      <c r="AR271" s="118"/>
      <c r="AS271" s="118"/>
      <c r="AT271" s="118"/>
      <c r="AU271" s="118"/>
      <c r="AV271" s="118"/>
      <c r="AW271" s="118"/>
      <c r="AX271" s="118"/>
      <c r="AY271" s="118"/>
      <c r="AZ271" s="118"/>
      <c r="BA271" s="118"/>
      <c r="BB271" s="118"/>
      <c r="BC271" s="118"/>
      <c r="BD271" s="118"/>
      <c r="BE271" s="118"/>
      <c r="BF271" s="118"/>
      <c r="BG271" s="118"/>
      <c r="BH271" s="118"/>
      <c r="BI271" s="118"/>
      <c r="BJ271" s="118"/>
      <c r="BK271" s="118"/>
      <c r="BL271" s="118"/>
      <c r="BM271" s="118"/>
      <c r="BN271" s="118"/>
      <c r="BO271" s="118"/>
      <c r="BP271" s="118"/>
      <c r="BQ271" s="118"/>
      <c r="BR271" s="118"/>
      <c r="BS271" s="118"/>
      <c r="BT271" s="118"/>
      <c r="BU271" s="118"/>
      <c r="BV271" s="118"/>
      <c r="BW271" s="118"/>
      <c r="BX271" s="118"/>
      <c r="BY271" s="118"/>
      <c r="BZ271" s="118"/>
      <c r="CA271" s="118"/>
      <c r="CB271" s="118"/>
      <c r="CC271" s="118"/>
      <c r="CD271" s="118"/>
      <c r="CE271" s="118"/>
      <c r="CF271" s="118"/>
      <c r="CG271" s="118"/>
      <c r="CH271" s="118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/>
      <c r="DL271"/>
      <c r="DM271"/>
      <c r="DN271"/>
      <c r="DO271"/>
      <c r="DP271"/>
    </row>
    <row r="272" spans="2:120" s="109" customFormat="1" ht="14.25">
      <c r="B272" s="301"/>
      <c r="C272" s="301"/>
      <c r="D272" s="118"/>
      <c r="E272" s="118"/>
      <c r="F272" s="118"/>
      <c r="G272" s="118"/>
      <c r="H272" s="118"/>
      <c r="I272" s="118"/>
      <c r="J272" s="118"/>
      <c r="K272" s="118"/>
      <c r="L272" s="118"/>
      <c r="M272" s="118"/>
      <c r="N272" s="118"/>
      <c r="O272" s="118"/>
      <c r="P272" s="118"/>
      <c r="Q272" s="118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18"/>
      <c r="AD272" s="118"/>
      <c r="AE272" s="118"/>
      <c r="AF272" s="118"/>
      <c r="AG272" s="118"/>
      <c r="AH272" s="118"/>
      <c r="AI272" s="118"/>
      <c r="AJ272" s="118"/>
      <c r="AK272" s="118"/>
      <c r="AL272" s="118"/>
      <c r="AM272" s="118"/>
      <c r="AN272" s="118"/>
      <c r="AO272" s="118"/>
      <c r="AP272" s="118"/>
      <c r="AQ272" s="118"/>
      <c r="AR272" s="118"/>
      <c r="AS272" s="118"/>
      <c r="AT272" s="118"/>
      <c r="AU272" s="118"/>
      <c r="AV272" s="118"/>
      <c r="AW272" s="118"/>
      <c r="AX272" s="118"/>
      <c r="AY272" s="118"/>
      <c r="AZ272" s="118"/>
      <c r="BA272" s="118"/>
      <c r="BB272" s="118"/>
      <c r="BC272" s="118"/>
      <c r="BD272" s="118"/>
      <c r="BE272" s="118"/>
      <c r="BF272" s="118"/>
      <c r="BG272" s="118"/>
      <c r="BH272" s="118"/>
      <c r="BI272" s="118"/>
      <c r="BJ272" s="118"/>
      <c r="BK272" s="118"/>
      <c r="BL272" s="118"/>
      <c r="BM272" s="118"/>
      <c r="BN272" s="118"/>
      <c r="BO272" s="118"/>
      <c r="BP272" s="118"/>
      <c r="BQ272" s="118"/>
      <c r="BR272" s="118"/>
      <c r="BS272" s="118"/>
      <c r="BT272" s="118"/>
      <c r="BU272" s="118"/>
      <c r="BV272" s="118"/>
      <c r="BW272" s="118"/>
      <c r="BX272" s="118"/>
      <c r="BY272" s="118"/>
      <c r="BZ272" s="118"/>
      <c r="CA272" s="118"/>
      <c r="CB272" s="118"/>
      <c r="CC272" s="118"/>
      <c r="CD272" s="118"/>
      <c r="CE272" s="118"/>
      <c r="CF272" s="118"/>
      <c r="CG272" s="118"/>
      <c r="CH272" s="118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/>
      <c r="DL272"/>
      <c r="DM272"/>
      <c r="DN272"/>
      <c r="DO272"/>
      <c r="DP272"/>
    </row>
    <row r="273" spans="2:120" s="109" customFormat="1" ht="14.25">
      <c r="B273" s="301"/>
      <c r="C273" s="301"/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  <c r="O273" s="118"/>
      <c r="P273" s="118"/>
      <c r="Q273" s="118"/>
      <c r="R273" s="118"/>
      <c r="S273" s="118"/>
      <c r="T273" s="118"/>
      <c r="U273" s="118"/>
      <c r="V273" s="118"/>
      <c r="W273" s="118"/>
      <c r="X273" s="118"/>
      <c r="Y273" s="118"/>
      <c r="Z273" s="118"/>
      <c r="AA273" s="118"/>
      <c r="AB273" s="118"/>
      <c r="AC273" s="118"/>
      <c r="AD273" s="118"/>
      <c r="AE273" s="118"/>
      <c r="AF273" s="118"/>
      <c r="AG273" s="118"/>
      <c r="AH273" s="118"/>
      <c r="AI273" s="118"/>
      <c r="AJ273" s="118"/>
      <c r="AK273" s="118"/>
      <c r="AL273" s="118"/>
      <c r="AM273" s="118"/>
      <c r="AN273" s="118"/>
      <c r="AO273" s="118"/>
      <c r="AP273" s="118"/>
      <c r="AQ273" s="118"/>
      <c r="AR273" s="118"/>
      <c r="AS273" s="118"/>
      <c r="AT273" s="118"/>
      <c r="AU273" s="118"/>
      <c r="AV273" s="118"/>
      <c r="AW273" s="118"/>
      <c r="AX273" s="118"/>
      <c r="AY273" s="118"/>
      <c r="AZ273" s="118"/>
      <c r="BA273" s="118"/>
      <c r="BB273" s="118"/>
      <c r="BC273" s="118"/>
      <c r="BD273" s="118"/>
      <c r="BE273" s="118"/>
      <c r="BF273" s="118"/>
      <c r="BG273" s="118"/>
      <c r="BH273" s="118"/>
      <c r="BI273" s="118"/>
      <c r="BJ273" s="118"/>
      <c r="BK273" s="118"/>
      <c r="BL273" s="118"/>
      <c r="BM273" s="118"/>
      <c r="BN273" s="118"/>
      <c r="BO273" s="118"/>
      <c r="BP273" s="118"/>
      <c r="BQ273" s="118"/>
      <c r="BR273" s="118"/>
      <c r="BS273" s="118"/>
      <c r="BT273" s="118"/>
      <c r="BU273" s="118"/>
      <c r="BV273" s="118"/>
      <c r="BW273" s="118"/>
      <c r="BX273" s="118"/>
      <c r="BY273" s="118"/>
      <c r="BZ273" s="118"/>
      <c r="CA273" s="118"/>
      <c r="CB273" s="118"/>
      <c r="CC273" s="118"/>
      <c r="CD273" s="118"/>
      <c r="CE273" s="118"/>
      <c r="CF273" s="118"/>
      <c r="CG273" s="118"/>
      <c r="CH273" s="118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/>
      <c r="DL273"/>
      <c r="DM273"/>
      <c r="DN273"/>
      <c r="DO273"/>
      <c r="DP273"/>
    </row>
    <row r="274" spans="2:120" s="109" customFormat="1" ht="14.25">
      <c r="B274" s="301"/>
      <c r="C274" s="301"/>
      <c r="D274" s="118"/>
      <c r="E274" s="118"/>
      <c r="F274" s="118"/>
      <c r="G274" s="118"/>
      <c r="H274" s="118"/>
      <c r="I274" s="118"/>
      <c r="J274" s="118"/>
      <c r="K274" s="118"/>
      <c r="L274" s="118"/>
      <c r="M274" s="118"/>
      <c r="N274" s="118"/>
      <c r="O274" s="118"/>
      <c r="P274" s="118"/>
      <c r="Q274" s="118"/>
      <c r="R274" s="118"/>
      <c r="S274" s="118"/>
      <c r="T274" s="118"/>
      <c r="U274" s="118"/>
      <c r="V274" s="118"/>
      <c r="W274" s="118"/>
      <c r="X274" s="118"/>
      <c r="Y274" s="118"/>
      <c r="Z274" s="118"/>
      <c r="AA274" s="118"/>
      <c r="AB274" s="118"/>
      <c r="AC274" s="118"/>
      <c r="AD274" s="118"/>
      <c r="AE274" s="118"/>
      <c r="AF274" s="118"/>
      <c r="AG274" s="118"/>
      <c r="AH274" s="118"/>
      <c r="AI274" s="118"/>
      <c r="AJ274" s="118"/>
      <c r="AK274" s="118"/>
      <c r="AL274" s="118"/>
      <c r="AM274" s="118"/>
      <c r="AN274" s="118"/>
      <c r="AO274" s="118"/>
      <c r="AP274" s="118"/>
      <c r="AQ274" s="118"/>
      <c r="AR274" s="118"/>
      <c r="AS274" s="118"/>
      <c r="AT274" s="118"/>
      <c r="AU274" s="118"/>
      <c r="AV274" s="118"/>
      <c r="AW274" s="118"/>
      <c r="AX274" s="118"/>
      <c r="AY274" s="118"/>
      <c r="AZ274" s="118"/>
      <c r="BA274" s="118"/>
      <c r="BB274" s="118"/>
      <c r="BC274" s="118"/>
      <c r="BD274" s="118"/>
      <c r="BE274" s="118"/>
      <c r="BF274" s="118"/>
      <c r="BG274" s="118"/>
      <c r="BH274" s="118"/>
      <c r="BI274" s="118"/>
      <c r="BJ274" s="118"/>
      <c r="BK274" s="118"/>
      <c r="BL274" s="118"/>
      <c r="BM274" s="118"/>
      <c r="BN274" s="118"/>
      <c r="BO274" s="118"/>
      <c r="BP274" s="118"/>
      <c r="BQ274" s="118"/>
      <c r="BR274" s="118"/>
      <c r="BS274" s="118"/>
      <c r="BT274" s="118"/>
      <c r="BU274" s="118"/>
      <c r="BV274" s="118"/>
      <c r="BW274" s="118"/>
      <c r="BX274" s="118"/>
      <c r="BY274" s="118"/>
      <c r="BZ274" s="118"/>
      <c r="CA274" s="118"/>
      <c r="CB274" s="118"/>
      <c r="CC274" s="118"/>
      <c r="CD274" s="118"/>
      <c r="CE274" s="118"/>
      <c r="CF274" s="118"/>
      <c r="CG274" s="118"/>
      <c r="CH274" s="118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/>
      <c r="DL274"/>
      <c r="DM274"/>
      <c r="DN274"/>
      <c r="DO274"/>
      <c r="DP274"/>
    </row>
    <row r="275" spans="2:120" s="109" customFormat="1" ht="14.25">
      <c r="B275" s="301"/>
      <c r="C275" s="301"/>
      <c r="D275" s="118"/>
      <c r="E275" s="118"/>
      <c r="F275" s="118"/>
      <c r="G275" s="118"/>
      <c r="H275" s="118"/>
      <c r="I275" s="118"/>
      <c r="J275" s="118"/>
      <c r="K275" s="118"/>
      <c r="L275" s="118"/>
      <c r="M275" s="118"/>
      <c r="N275" s="118"/>
      <c r="O275" s="118"/>
      <c r="P275" s="118"/>
      <c r="Q275" s="118"/>
      <c r="R275" s="118"/>
      <c r="S275" s="118"/>
      <c r="T275" s="118"/>
      <c r="U275" s="118"/>
      <c r="V275" s="118"/>
      <c r="W275" s="118"/>
      <c r="X275" s="118"/>
      <c r="Y275" s="118"/>
      <c r="Z275" s="118"/>
      <c r="AA275" s="118"/>
      <c r="AB275" s="118"/>
      <c r="AC275" s="118"/>
      <c r="AD275" s="118"/>
      <c r="AE275" s="118"/>
      <c r="AF275" s="118"/>
      <c r="AG275" s="118"/>
      <c r="AH275" s="118"/>
      <c r="AI275" s="118"/>
      <c r="AJ275" s="118"/>
      <c r="AK275" s="118"/>
      <c r="AL275" s="118"/>
      <c r="AM275" s="118"/>
      <c r="AN275" s="118"/>
      <c r="AO275" s="118"/>
      <c r="AP275" s="118"/>
      <c r="AQ275" s="118"/>
      <c r="AR275" s="118"/>
      <c r="AS275" s="118"/>
      <c r="AT275" s="118"/>
      <c r="AU275" s="118"/>
      <c r="AV275" s="118"/>
      <c r="AW275" s="118"/>
      <c r="AX275" s="118"/>
      <c r="AY275" s="118"/>
      <c r="AZ275" s="118"/>
      <c r="BA275" s="118"/>
      <c r="BB275" s="118"/>
      <c r="BC275" s="118"/>
      <c r="BD275" s="118"/>
      <c r="BE275" s="118"/>
      <c r="BF275" s="118"/>
      <c r="BG275" s="118"/>
      <c r="BH275" s="118"/>
      <c r="BI275" s="118"/>
      <c r="BJ275" s="118"/>
      <c r="BK275" s="118"/>
      <c r="BL275" s="118"/>
      <c r="BM275" s="118"/>
      <c r="BN275" s="118"/>
      <c r="BO275" s="118"/>
      <c r="BP275" s="118"/>
      <c r="BQ275" s="118"/>
      <c r="BR275" s="118"/>
      <c r="BS275" s="118"/>
      <c r="BT275" s="118"/>
      <c r="BU275" s="118"/>
      <c r="BV275" s="118"/>
      <c r="BW275" s="118"/>
      <c r="BX275" s="118"/>
      <c r="BY275" s="118"/>
      <c r="BZ275" s="118"/>
      <c r="CA275" s="118"/>
      <c r="CB275" s="118"/>
      <c r="CC275" s="118"/>
      <c r="CD275" s="118"/>
      <c r="CE275" s="118"/>
      <c r="CF275" s="118"/>
      <c r="CG275" s="118"/>
      <c r="CH275" s="118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/>
      <c r="DL275"/>
      <c r="DM275"/>
      <c r="DN275"/>
      <c r="DO275"/>
      <c r="DP275"/>
    </row>
    <row r="276" spans="2:120" s="109" customFormat="1" ht="14.25">
      <c r="B276" s="301"/>
      <c r="C276" s="301"/>
      <c r="D276" s="118"/>
      <c r="E276" s="118"/>
      <c r="F276" s="118"/>
      <c r="G276" s="118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/>
      <c r="AC276" s="118"/>
      <c r="AD276" s="118"/>
      <c r="AE276" s="118"/>
      <c r="AF276" s="118"/>
      <c r="AG276" s="118"/>
      <c r="AH276" s="118"/>
      <c r="AI276" s="118"/>
      <c r="AJ276" s="118"/>
      <c r="AK276" s="118"/>
      <c r="AL276" s="118"/>
      <c r="AM276" s="118"/>
      <c r="AN276" s="118"/>
      <c r="AO276" s="118"/>
      <c r="AP276" s="118"/>
      <c r="AQ276" s="118"/>
      <c r="AR276" s="118"/>
      <c r="AS276" s="118"/>
      <c r="AT276" s="118"/>
      <c r="AU276" s="118"/>
      <c r="AV276" s="118"/>
      <c r="AW276" s="118"/>
      <c r="AX276" s="118"/>
      <c r="AY276" s="118"/>
      <c r="AZ276" s="118"/>
      <c r="BA276" s="118"/>
      <c r="BB276" s="118"/>
      <c r="BC276" s="118"/>
      <c r="BD276" s="118"/>
      <c r="BE276" s="118"/>
      <c r="BF276" s="118"/>
      <c r="BG276" s="118"/>
      <c r="BH276" s="118"/>
      <c r="BI276" s="118"/>
      <c r="BJ276" s="118"/>
      <c r="BK276" s="118"/>
      <c r="BL276" s="118"/>
      <c r="BM276" s="118"/>
      <c r="BN276" s="118"/>
      <c r="BO276" s="118"/>
      <c r="BP276" s="118"/>
      <c r="BQ276" s="118"/>
      <c r="BR276" s="118"/>
      <c r="BS276" s="118"/>
      <c r="BT276" s="118"/>
      <c r="BU276" s="118"/>
      <c r="BV276" s="118"/>
      <c r="BW276" s="118"/>
      <c r="BX276" s="118"/>
      <c r="BY276" s="118"/>
      <c r="BZ276" s="118"/>
      <c r="CA276" s="118"/>
      <c r="CB276" s="118"/>
      <c r="CC276" s="118"/>
      <c r="CD276" s="118"/>
      <c r="CE276" s="118"/>
      <c r="CF276" s="118"/>
      <c r="CG276" s="118"/>
      <c r="CH276" s="118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/>
      <c r="DL276"/>
      <c r="DM276"/>
      <c r="DN276"/>
      <c r="DO276"/>
      <c r="DP276"/>
    </row>
    <row r="277" spans="2:120" s="109" customFormat="1" ht="14.25">
      <c r="B277" s="301"/>
      <c r="C277" s="301"/>
      <c r="D277" s="118"/>
      <c r="E277" s="118"/>
      <c r="F277" s="118"/>
      <c r="G277" s="118"/>
      <c r="H277" s="118"/>
      <c r="I277" s="118"/>
      <c r="J277" s="118"/>
      <c r="K277" s="118"/>
      <c r="L277" s="118"/>
      <c r="M277" s="118"/>
      <c r="N277" s="118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/>
      <c r="AC277" s="118"/>
      <c r="AD277" s="118"/>
      <c r="AE277" s="118"/>
      <c r="AF277" s="118"/>
      <c r="AG277" s="118"/>
      <c r="AH277" s="118"/>
      <c r="AI277" s="118"/>
      <c r="AJ277" s="118"/>
      <c r="AK277" s="118"/>
      <c r="AL277" s="118"/>
      <c r="AM277" s="118"/>
      <c r="AN277" s="118"/>
      <c r="AO277" s="118"/>
      <c r="AP277" s="118"/>
      <c r="AQ277" s="118"/>
      <c r="AR277" s="118"/>
      <c r="AS277" s="118"/>
      <c r="AT277" s="118"/>
      <c r="AU277" s="118"/>
      <c r="AV277" s="118"/>
      <c r="AW277" s="118"/>
      <c r="AX277" s="118"/>
      <c r="AY277" s="118"/>
      <c r="AZ277" s="118"/>
      <c r="BA277" s="118"/>
      <c r="BB277" s="118"/>
      <c r="BC277" s="118"/>
      <c r="BD277" s="118"/>
      <c r="BE277" s="118"/>
      <c r="BF277" s="118"/>
      <c r="BG277" s="118"/>
      <c r="BH277" s="118"/>
      <c r="BI277" s="118"/>
      <c r="BJ277" s="118"/>
      <c r="BK277" s="118"/>
      <c r="BL277" s="118"/>
      <c r="BM277" s="118"/>
      <c r="BN277" s="118"/>
      <c r="BO277" s="118"/>
      <c r="BP277" s="118"/>
      <c r="BQ277" s="118"/>
      <c r="BR277" s="118"/>
      <c r="BS277" s="118"/>
      <c r="BT277" s="118"/>
      <c r="BU277" s="118"/>
      <c r="BV277" s="118"/>
      <c r="BW277" s="118"/>
      <c r="BX277" s="118"/>
      <c r="BY277" s="118"/>
      <c r="BZ277" s="118"/>
      <c r="CA277" s="118"/>
      <c r="CB277" s="118"/>
      <c r="CC277" s="118"/>
      <c r="CD277" s="118"/>
      <c r="CE277" s="118"/>
      <c r="CF277" s="118"/>
      <c r="CG277" s="118"/>
      <c r="CH277" s="118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/>
      <c r="DL277"/>
      <c r="DM277"/>
      <c r="DN277"/>
      <c r="DO277"/>
      <c r="DP277"/>
    </row>
    <row r="278" spans="2:120" s="109" customFormat="1" ht="14.25">
      <c r="B278" s="301"/>
      <c r="C278" s="301"/>
      <c r="D278" s="118"/>
      <c r="E278" s="118"/>
      <c r="F278" s="118"/>
      <c r="G278" s="118"/>
      <c r="H278" s="118"/>
      <c r="I278" s="118"/>
      <c r="J278" s="118"/>
      <c r="K278" s="118"/>
      <c r="L278" s="118"/>
      <c r="M278" s="118"/>
      <c r="N278" s="118"/>
      <c r="O278" s="118"/>
      <c r="P278" s="118"/>
      <c r="Q278" s="118"/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/>
      <c r="AC278" s="118"/>
      <c r="AD278" s="118"/>
      <c r="AE278" s="118"/>
      <c r="AF278" s="118"/>
      <c r="AG278" s="118"/>
      <c r="AH278" s="118"/>
      <c r="AI278" s="118"/>
      <c r="AJ278" s="118"/>
      <c r="AK278" s="118"/>
      <c r="AL278" s="118"/>
      <c r="AM278" s="118"/>
      <c r="AN278" s="118"/>
      <c r="AO278" s="118"/>
      <c r="AP278" s="118"/>
      <c r="AQ278" s="118"/>
      <c r="AR278" s="118"/>
      <c r="AS278" s="118"/>
      <c r="AT278" s="118"/>
      <c r="AU278" s="118"/>
      <c r="AV278" s="118"/>
      <c r="AW278" s="118"/>
      <c r="AX278" s="118"/>
      <c r="AY278" s="118"/>
      <c r="AZ278" s="118"/>
      <c r="BA278" s="118"/>
      <c r="BB278" s="118"/>
      <c r="BC278" s="118"/>
      <c r="BD278" s="118"/>
      <c r="BE278" s="118"/>
      <c r="BF278" s="118"/>
      <c r="BG278" s="118"/>
      <c r="BH278" s="118"/>
      <c r="BI278" s="118"/>
      <c r="BJ278" s="118"/>
      <c r="BK278" s="118"/>
      <c r="BL278" s="118"/>
      <c r="BM278" s="118"/>
      <c r="BN278" s="118"/>
      <c r="BO278" s="118"/>
      <c r="BP278" s="118"/>
      <c r="BQ278" s="118"/>
      <c r="BR278" s="118"/>
      <c r="BS278" s="118"/>
      <c r="BT278" s="118"/>
      <c r="BU278" s="118"/>
      <c r="BV278" s="118"/>
      <c r="BW278" s="118"/>
      <c r="BX278" s="118"/>
      <c r="BY278" s="118"/>
      <c r="BZ278" s="118"/>
      <c r="CA278" s="118"/>
      <c r="CB278" s="118"/>
      <c r="CC278" s="118"/>
      <c r="CD278" s="118"/>
      <c r="CE278" s="118"/>
      <c r="CF278" s="118"/>
      <c r="CG278" s="118"/>
      <c r="CH278" s="118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/>
      <c r="DL278"/>
      <c r="DM278"/>
      <c r="DN278"/>
      <c r="DO278"/>
      <c r="DP278"/>
    </row>
    <row r="279" spans="2:120" s="109" customFormat="1" ht="14.25">
      <c r="B279" s="301"/>
      <c r="C279" s="301"/>
      <c r="D279" s="118"/>
      <c r="E279" s="118"/>
      <c r="F279" s="118"/>
      <c r="G279" s="118"/>
      <c r="H279" s="118"/>
      <c r="I279" s="118"/>
      <c r="J279" s="118"/>
      <c r="K279" s="118"/>
      <c r="L279" s="118"/>
      <c r="M279" s="118"/>
      <c r="N279" s="118"/>
      <c r="O279" s="118"/>
      <c r="P279" s="118"/>
      <c r="Q279" s="118"/>
      <c r="R279" s="118"/>
      <c r="S279" s="118"/>
      <c r="T279" s="118"/>
      <c r="U279" s="118"/>
      <c r="V279" s="118"/>
      <c r="W279" s="118"/>
      <c r="X279" s="118"/>
      <c r="Y279" s="118"/>
      <c r="Z279" s="118"/>
      <c r="AA279" s="118"/>
      <c r="AB279" s="118"/>
      <c r="AC279" s="118"/>
      <c r="AD279" s="118"/>
      <c r="AE279" s="118"/>
      <c r="AF279" s="118"/>
      <c r="AG279" s="118"/>
      <c r="AH279" s="118"/>
      <c r="AI279" s="118"/>
      <c r="AJ279" s="118"/>
      <c r="AK279" s="118"/>
      <c r="AL279" s="118"/>
      <c r="AM279" s="118"/>
      <c r="AN279" s="118"/>
      <c r="AO279" s="118"/>
      <c r="AP279" s="118"/>
      <c r="AQ279" s="118"/>
      <c r="AR279" s="118"/>
      <c r="AS279" s="118"/>
      <c r="AT279" s="118"/>
      <c r="AU279" s="118"/>
      <c r="AV279" s="118"/>
      <c r="AW279" s="118"/>
      <c r="AX279" s="118"/>
      <c r="AY279" s="118"/>
      <c r="AZ279" s="118"/>
      <c r="BA279" s="118"/>
      <c r="BB279" s="118"/>
      <c r="BC279" s="118"/>
      <c r="BD279" s="118"/>
      <c r="BE279" s="118"/>
      <c r="BF279" s="118"/>
      <c r="BG279" s="118"/>
      <c r="BH279" s="118"/>
      <c r="BI279" s="118"/>
      <c r="BJ279" s="118"/>
      <c r="BK279" s="118"/>
      <c r="BL279" s="118"/>
      <c r="BM279" s="118"/>
      <c r="BN279" s="118"/>
      <c r="BO279" s="118"/>
      <c r="BP279" s="118"/>
      <c r="BQ279" s="118"/>
      <c r="BR279" s="118"/>
      <c r="BS279" s="118"/>
      <c r="BT279" s="118"/>
      <c r="BU279" s="118"/>
      <c r="BV279" s="118"/>
      <c r="BW279" s="118"/>
      <c r="BX279" s="118"/>
      <c r="BY279" s="118"/>
      <c r="BZ279" s="118"/>
      <c r="CA279" s="118"/>
      <c r="CB279" s="118"/>
      <c r="CC279" s="118"/>
      <c r="CD279" s="118"/>
      <c r="CE279" s="118"/>
      <c r="CF279" s="118"/>
      <c r="CG279" s="118"/>
      <c r="CH279" s="118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/>
      <c r="DL279"/>
      <c r="DM279"/>
      <c r="DN279"/>
      <c r="DO279"/>
      <c r="DP279"/>
    </row>
    <row r="280" spans="2:120" s="109" customFormat="1" ht="14.25">
      <c r="B280" s="301"/>
      <c r="C280" s="301"/>
      <c r="D280" s="118"/>
      <c r="E280" s="118"/>
      <c r="F280" s="118"/>
      <c r="G280" s="118"/>
      <c r="H280" s="118"/>
      <c r="I280" s="118"/>
      <c r="J280" s="118"/>
      <c r="K280" s="118"/>
      <c r="L280" s="118"/>
      <c r="M280" s="118"/>
      <c r="N280" s="118"/>
      <c r="O280" s="118"/>
      <c r="P280" s="118"/>
      <c r="Q280" s="118"/>
      <c r="R280" s="118"/>
      <c r="S280" s="118"/>
      <c r="T280" s="118"/>
      <c r="U280" s="118"/>
      <c r="V280" s="118"/>
      <c r="W280" s="118"/>
      <c r="X280" s="118"/>
      <c r="Y280" s="118"/>
      <c r="Z280" s="118"/>
      <c r="AA280" s="118"/>
      <c r="AB280" s="118"/>
      <c r="AC280" s="118"/>
      <c r="AD280" s="118"/>
      <c r="AE280" s="118"/>
      <c r="AF280" s="118"/>
      <c r="AG280" s="118"/>
      <c r="AH280" s="118"/>
      <c r="AI280" s="118"/>
      <c r="AJ280" s="118"/>
      <c r="AK280" s="118"/>
      <c r="AL280" s="118"/>
      <c r="AM280" s="118"/>
      <c r="AN280" s="118"/>
      <c r="AO280" s="118"/>
      <c r="AP280" s="118"/>
      <c r="AQ280" s="118"/>
      <c r="AR280" s="118"/>
      <c r="AS280" s="118"/>
      <c r="AT280" s="118"/>
      <c r="AU280" s="118"/>
      <c r="AV280" s="118"/>
      <c r="AW280" s="118"/>
      <c r="AX280" s="118"/>
      <c r="AY280" s="118"/>
      <c r="AZ280" s="118"/>
      <c r="BA280" s="118"/>
      <c r="BB280" s="118"/>
      <c r="BC280" s="118"/>
      <c r="BD280" s="118"/>
      <c r="BE280" s="118"/>
      <c r="BF280" s="118"/>
      <c r="BG280" s="118"/>
      <c r="BH280" s="118"/>
      <c r="BI280" s="118"/>
      <c r="BJ280" s="118"/>
      <c r="BK280" s="118"/>
      <c r="BL280" s="118"/>
      <c r="BM280" s="118"/>
      <c r="BN280" s="118"/>
      <c r="BO280" s="118"/>
      <c r="BP280" s="118"/>
      <c r="BQ280" s="118"/>
      <c r="BR280" s="118"/>
      <c r="BS280" s="118"/>
      <c r="BT280" s="118"/>
      <c r="BU280" s="118"/>
      <c r="BV280" s="118"/>
      <c r="BW280" s="118"/>
      <c r="BX280" s="118"/>
      <c r="BY280" s="118"/>
      <c r="BZ280" s="118"/>
      <c r="CA280" s="118"/>
      <c r="CB280" s="118"/>
      <c r="CC280" s="118"/>
      <c r="CD280" s="118"/>
      <c r="CE280" s="118"/>
      <c r="CF280" s="118"/>
      <c r="CG280" s="118"/>
      <c r="CH280" s="118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/>
      <c r="DL280"/>
      <c r="DM280"/>
      <c r="DN280"/>
      <c r="DO280"/>
      <c r="DP280"/>
    </row>
    <row r="281" spans="2:120" s="109" customFormat="1" ht="14.25">
      <c r="B281" s="301"/>
      <c r="C281" s="301"/>
      <c r="D281" s="118"/>
      <c r="E281" s="118"/>
      <c r="F281" s="118"/>
      <c r="G281" s="118"/>
      <c r="H281" s="118"/>
      <c r="I281" s="118"/>
      <c r="J281" s="118"/>
      <c r="K281" s="118"/>
      <c r="L281" s="118"/>
      <c r="M281" s="118"/>
      <c r="N281" s="118"/>
      <c r="O281" s="118"/>
      <c r="P281" s="118"/>
      <c r="Q281" s="118"/>
      <c r="R281" s="118"/>
      <c r="S281" s="118"/>
      <c r="T281" s="118"/>
      <c r="U281" s="118"/>
      <c r="V281" s="118"/>
      <c r="W281" s="118"/>
      <c r="X281" s="118"/>
      <c r="Y281" s="118"/>
      <c r="Z281" s="118"/>
      <c r="AA281" s="118"/>
      <c r="AB281" s="118"/>
      <c r="AC281" s="118"/>
      <c r="AD281" s="118"/>
      <c r="AE281" s="118"/>
      <c r="AF281" s="118"/>
      <c r="AG281" s="118"/>
      <c r="AH281" s="118"/>
      <c r="AI281" s="118"/>
      <c r="AJ281" s="118"/>
      <c r="AK281" s="118"/>
      <c r="AL281" s="118"/>
      <c r="AM281" s="118"/>
      <c r="AN281" s="118"/>
      <c r="AO281" s="118"/>
      <c r="AP281" s="118"/>
      <c r="AQ281" s="118"/>
      <c r="AR281" s="118"/>
      <c r="AS281" s="118"/>
      <c r="AT281" s="118"/>
      <c r="AU281" s="118"/>
      <c r="AV281" s="118"/>
      <c r="AW281" s="118"/>
      <c r="AX281" s="118"/>
      <c r="AY281" s="118"/>
      <c r="AZ281" s="118"/>
      <c r="BA281" s="118"/>
      <c r="BB281" s="118"/>
      <c r="BC281" s="118"/>
      <c r="BD281" s="118"/>
      <c r="BE281" s="118"/>
      <c r="BF281" s="118"/>
      <c r="BG281" s="118"/>
      <c r="BH281" s="118"/>
      <c r="BI281" s="118"/>
      <c r="BJ281" s="118"/>
      <c r="BK281" s="118"/>
      <c r="BL281" s="118"/>
      <c r="BM281" s="118"/>
      <c r="BN281" s="118"/>
      <c r="BO281" s="118"/>
      <c r="BP281" s="118"/>
      <c r="BQ281" s="118"/>
      <c r="BR281" s="118"/>
      <c r="BS281" s="118"/>
      <c r="BT281" s="118"/>
      <c r="BU281" s="118"/>
      <c r="BV281" s="118"/>
      <c r="BW281" s="118"/>
      <c r="BX281" s="118"/>
      <c r="BY281" s="118"/>
      <c r="BZ281" s="118"/>
      <c r="CA281" s="118"/>
      <c r="CB281" s="118"/>
      <c r="CC281" s="118"/>
      <c r="CD281" s="118"/>
      <c r="CE281" s="118"/>
      <c r="CF281" s="118"/>
      <c r="CG281" s="118"/>
      <c r="CH281" s="118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/>
      <c r="DL281"/>
      <c r="DM281"/>
      <c r="DN281"/>
      <c r="DO281"/>
      <c r="DP281"/>
    </row>
    <row r="282" spans="2:120" s="109" customFormat="1" ht="14.25">
      <c r="B282" s="301"/>
      <c r="C282" s="301"/>
      <c r="D282" s="118"/>
      <c r="E282" s="118"/>
      <c r="F282" s="118"/>
      <c r="G282" s="118"/>
      <c r="H282" s="118"/>
      <c r="I282" s="118"/>
      <c r="J282" s="118"/>
      <c r="K282" s="118"/>
      <c r="L282" s="118"/>
      <c r="M282" s="118"/>
      <c r="N282" s="118"/>
      <c r="O282" s="118"/>
      <c r="P282" s="118"/>
      <c r="Q282" s="118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/>
      <c r="AC282" s="118"/>
      <c r="AD282" s="118"/>
      <c r="AE282" s="118"/>
      <c r="AF282" s="118"/>
      <c r="AG282" s="118"/>
      <c r="AH282" s="118"/>
      <c r="AI282" s="118"/>
      <c r="AJ282" s="118"/>
      <c r="AK282" s="118"/>
      <c r="AL282" s="118"/>
      <c r="AM282" s="118"/>
      <c r="AN282" s="118"/>
      <c r="AO282" s="118"/>
      <c r="AP282" s="118"/>
      <c r="AQ282" s="118"/>
      <c r="AR282" s="118"/>
      <c r="AS282" s="118"/>
      <c r="AT282" s="118"/>
      <c r="AU282" s="118"/>
      <c r="AV282" s="118"/>
      <c r="AW282" s="118"/>
      <c r="AX282" s="118"/>
      <c r="AY282" s="118"/>
      <c r="AZ282" s="118"/>
      <c r="BA282" s="118"/>
      <c r="BB282" s="118"/>
      <c r="BC282" s="118"/>
      <c r="BD282" s="118"/>
      <c r="BE282" s="118"/>
      <c r="BF282" s="118"/>
      <c r="BG282" s="118"/>
      <c r="BH282" s="118"/>
      <c r="BI282" s="118"/>
      <c r="BJ282" s="118"/>
      <c r="BK282" s="118"/>
      <c r="BL282" s="118"/>
      <c r="BM282" s="118"/>
      <c r="BN282" s="118"/>
      <c r="BO282" s="118"/>
      <c r="BP282" s="118"/>
      <c r="BQ282" s="118"/>
      <c r="BR282" s="118"/>
      <c r="BS282" s="118"/>
      <c r="BT282" s="118"/>
      <c r="BU282" s="118"/>
      <c r="BV282" s="118"/>
      <c r="BW282" s="118"/>
      <c r="BX282" s="118"/>
      <c r="BY282" s="118"/>
      <c r="BZ282" s="118"/>
      <c r="CA282" s="118"/>
      <c r="CB282" s="118"/>
      <c r="CC282" s="118"/>
      <c r="CD282" s="118"/>
      <c r="CE282" s="118"/>
      <c r="CF282" s="118"/>
      <c r="CG282" s="118"/>
      <c r="CH282" s="118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/>
      <c r="DL282"/>
      <c r="DM282"/>
      <c r="DN282"/>
      <c r="DO282"/>
      <c r="DP282"/>
    </row>
    <row r="283" spans="2:120" s="109" customFormat="1" ht="14.25">
      <c r="B283" s="301"/>
      <c r="C283" s="301"/>
      <c r="D283" s="118"/>
      <c r="E283" s="118"/>
      <c r="F283" s="118"/>
      <c r="G283" s="118"/>
      <c r="H283" s="118"/>
      <c r="I283" s="118"/>
      <c r="J283" s="118"/>
      <c r="K283" s="118"/>
      <c r="L283" s="118"/>
      <c r="M283" s="118"/>
      <c r="N283" s="118"/>
      <c r="O283" s="118"/>
      <c r="P283" s="118"/>
      <c r="Q283" s="118"/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/>
      <c r="AC283" s="118"/>
      <c r="AD283" s="118"/>
      <c r="AE283" s="118"/>
      <c r="AF283" s="118"/>
      <c r="AG283" s="118"/>
      <c r="AH283" s="118"/>
      <c r="AI283" s="118"/>
      <c r="AJ283" s="118"/>
      <c r="AK283" s="118"/>
      <c r="AL283" s="118"/>
      <c r="AM283" s="118"/>
      <c r="AN283" s="118"/>
      <c r="AO283" s="118"/>
      <c r="AP283" s="118"/>
      <c r="AQ283" s="118"/>
      <c r="AR283" s="118"/>
      <c r="AS283" s="118"/>
      <c r="AT283" s="118"/>
      <c r="AU283" s="118"/>
      <c r="AV283" s="118"/>
      <c r="AW283" s="118"/>
      <c r="AX283" s="118"/>
      <c r="AY283" s="118"/>
      <c r="AZ283" s="118"/>
      <c r="BA283" s="118"/>
      <c r="BB283" s="118"/>
      <c r="BC283" s="118"/>
      <c r="BD283" s="118"/>
      <c r="BE283" s="118"/>
      <c r="BF283" s="118"/>
      <c r="BG283" s="118"/>
      <c r="BH283" s="118"/>
      <c r="BI283" s="118"/>
      <c r="BJ283" s="118"/>
      <c r="BK283" s="118"/>
      <c r="BL283" s="118"/>
      <c r="BM283" s="118"/>
      <c r="BN283" s="118"/>
      <c r="BO283" s="118"/>
      <c r="BP283" s="118"/>
      <c r="BQ283" s="118"/>
      <c r="BR283" s="118"/>
      <c r="BS283" s="118"/>
      <c r="BT283" s="118"/>
      <c r="BU283" s="118"/>
      <c r="BV283" s="118"/>
      <c r="BW283" s="118"/>
      <c r="BX283" s="118"/>
      <c r="BY283" s="118"/>
      <c r="BZ283" s="118"/>
      <c r="CA283" s="118"/>
      <c r="CB283" s="118"/>
      <c r="CC283" s="118"/>
      <c r="CD283" s="118"/>
      <c r="CE283" s="118"/>
      <c r="CF283" s="118"/>
      <c r="CG283" s="118"/>
      <c r="CH283" s="118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/>
      <c r="DL283"/>
      <c r="DM283"/>
      <c r="DN283"/>
      <c r="DO283"/>
      <c r="DP283"/>
    </row>
    <row r="284" spans="2:120" s="109" customFormat="1" ht="14.25">
      <c r="B284" s="301"/>
      <c r="C284" s="301"/>
      <c r="D284" s="118"/>
      <c r="E284" s="118"/>
      <c r="F284" s="118"/>
      <c r="G284" s="118"/>
      <c r="H284" s="118"/>
      <c r="I284" s="118"/>
      <c r="J284" s="118"/>
      <c r="K284" s="118"/>
      <c r="L284" s="118"/>
      <c r="M284" s="118"/>
      <c r="N284" s="118"/>
      <c r="O284" s="118"/>
      <c r="P284" s="118"/>
      <c r="Q284" s="118"/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/>
      <c r="AC284" s="118"/>
      <c r="AD284" s="118"/>
      <c r="AE284" s="118"/>
      <c r="AF284" s="118"/>
      <c r="AG284" s="118"/>
      <c r="AH284" s="118"/>
      <c r="AI284" s="118"/>
      <c r="AJ284" s="118"/>
      <c r="AK284" s="118"/>
      <c r="AL284" s="118"/>
      <c r="AM284" s="118"/>
      <c r="AN284" s="118"/>
      <c r="AO284" s="118"/>
      <c r="AP284" s="118"/>
      <c r="AQ284" s="118"/>
      <c r="AR284" s="118"/>
      <c r="AS284" s="118"/>
      <c r="AT284" s="118"/>
      <c r="AU284" s="118"/>
      <c r="AV284" s="118"/>
      <c r="AW284" s="118"/>
      <c r="AX284" s="118"/>
      <c r="AY284" s="118"/>
      <c r="AZ284" s="118"/>
      <c r="BA284" s="118"/>
      <c r="BB284" s="118"/>
      <c r="BC284" s="118"/>
      <c r="BD284" s="118"/>
      <c r="BE284" s="118"/>
      <c r="BF284" s="118"/>
      <c r="BG284" s="118"/>
      <c r="BH284" s="118"/>
      <c r="BI284" s="118"/>
      <c r="BJ284" s="118"/>
      <c r="BK284" s="118"/>
      <c r="BL284" s="118"/>
      <c r="BM284" s="118"/>
      <c r="BN284" s="118"/>
      <c r="BO284" s="118"/>
      <c r="BP284" s="118"/>
      <c r="BQ284" s="118"/>
      <c r="BR284" s="118"/>
      <c r="BS284" s="118"/>
      <c r="BT284" s="118"/>
      <c r="BU284" s="118"/>
      <c r="BV284" s="118"/>
      <c r="BW284" s="118"/>
      <c r="BX284" s="118"/>
      <c r="BY284" s="118"/>
      <c r="BZ284" s="118"/>
      <c r="CA284" s="118"/>
      <c r="CB284" s="118"/>
      <c r="CC284" s="118"/>
      <c r="CD284" s="118"/>
      <c r="CE284" s="118"/>
      <c r="CF284" s="118"/>
      <c r="CG284" s="118"/>
      <c r="CH284" s="118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/>
      <c r="DL284"/>
      <c r="DM284"/>
      <c r="DN284"/>
      <c r="DO284"/>
      <c r="DP284"/>
    </row>
    <row r="285" spans="2:120" s="109" customFormat="1" ht="14.25">
      <c r="B285" s="301"/>
      <c r="C285" s="301"/>
      <c r="D285" s="118"/>
      <c r="E285" s="118"/>
      <c r="F285" s="118"/>
      <c r="G285" s="118"/>
      <c r="H285" s="118"/>
      <c r="I285" s="118"/>
      <c r="J285" s="118"/>
      <c r="K285" s="118"/>
      <c r="L285" s="118"/>
      <c r="M285" s="118"/>
      <c r="N285" s="118"/>
      <c r="O285" s="118"/>
      <c r="P285" s="118"/>
      <c r="Q285" s="118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18"/>
      <c r="AD285" s="118"/>
      <c r="AE285" s="118"/>
      <c r="AF285" s="118"/>
      <c r="AG285" s="118"/>
      <c r="AH285" s="118"/>
      <c r="AI285" s="118"/>
      <c r="AJ285" s="118"/>
      <c r="AK285" s="118"/>
      <c r="AL285" s="118"/>
      <c r="AM285" s="118"/>
      <c r="AN285" s="118"/>
      <c r="AO285" s="118"/>
      <c r="AP285" s="118"/>
      <c r="AQ285" s="118"/>
      <c r="AR285" s="118"/>
      <c r="AS285" s="118"/>
      <c r="AT285" s="118"/>
      <c r="AU285" s="118"/>
      <c r="AV285" s="118"/>
      <c r="AW285" s="118"/>
      <c r="AX285" s="118"/>
      <c r="AY285" s="118"/>
      <c r="AZ285" s="118"/>
      <c r="BA285" s="118"/>
      <c r="BB285" s="118"/>
      <c r="BC285" s="118"/>
      <c r="BD285" s="118"/>
      <c r="BE285" s="118"/>
      <c r="BF285" s="118"/>
      <c r="BG285" s="118"/>
      <c r="BH285" s="118"/>
      <c r="BI285" s="118"/>
      <c r="BJ285" s="118"/>
      <c r="BK285" s="118"/>
      <c r="BL285" s="118"/>
      <c r="BM285" s="118"/>
      <c r="BN285" s="118"/>
      <c r="BO285" s="118"/>
      <c r="BP285" s="118"/>
      <c r="BQ285" s="118"/>
      <c r="BR285" s="118"/>
      <c r="BS285" s="118"/>
      <c r="BT285" s="118"/>
      <c r="BU285" s="118"/>
      <c r="BV285" s="118"/>
      <c r="BW285" s="118"/>
      <c r="BX285" s="118"/>
      <c r="BY285" s="118"/>
      <c r="BZ285" s="118"/>
      <c r="CA285" s="118"/>
      <c r="CB285" s="118"/>
      <c r="CC285" s="118"/>
      <c r="CD285" s="118"/>
      <c r="CE285" s="118"/>
      <c r="CF285" s="118"/>
      <c r="CG285" s="118"/>
      <c r="CH285" s="118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/>
      <c r="DL285"/>
      <c r="DM285"/>
      <c r="DN285"/>
      <c r="DO285"/>
      <c r="DP285"/>
    </row>
    <row r="286" spans="2:120" s="109" customFormat="1" ht="14.25">
      <c r="B286" s="301"/>
      <c r="C286" s="301"/>
      <c r="D286" s="118"/>
      <c r="E286" s="118"/>
      <c r="F286" s="118"/>
      <c r="G286" s="118"/>
      <c r="H286" s="118"/>
      <c r="I286" s="118"/>
      <c r="J286" s="118"/>
      <c r="K286" s="118"/>
      <c r="L286" s="118"/>
      <c r="M286" s="118"/>
      <c r="N286" s="118"/>
      <c r="O286" s="118"/>
      <c r="P286" s="118"/>
      <c r="Q286" s="118"/>
      <c r="R286" s="118"/>
      <c r="S286" s="118"/>
      <c r="T286" s="118"/>
      <c r="U286" s="118"/>
      <c r="V286" s="118"/>
      <c r="W286" s="118"/>
      <c r="X286" s="118"/>
      <c r="Y286" s="118"/>
      <c r="Z286" s="118"/>
      <c r="AA286" s="118"/>
      <c r="AB286" s="118"/>
      <c r="AC286" s="118"/>
      <c r="AD286" s="118"/>
      <c r="AE286" s="118"/>
      <c r="AF286" s="118"/>
      <c r="AG286" s="118"/>
      <c r="AH286" s="118"/>
      <c r="AI286" s="118"/>
      <c r="AJ286" s="118"/>
      <c r="AK286" s="118"/>
      <c r="AL286" s="118"/>
      <c r="AM286" s="118"/>
      <c r="AN286" s="118"/>
      <c r="AO286" s="118"/>
      <c r="AP286" s="118"/>
      <c r="AQ286" s="118"/>
      <c r="AR286" s="118"/>
      <c r="AS286" s="118"/>
      <c r="AT286" s="118"/>
      <c r="AU286" s="118"/>
      <c r="AV286" s="118"/>
      <c r="AW286" s="118"/>
      <c r="AX286" s="118"/>
      <c r="AY286" s="118"/>
      <c r="AZ286" s="118"/>
      <c r="BA286" s="118"/>
      <c r="BB286" s="118"/>
      <c r="BC286" s="118"/>
      <c r="BD286" s="118"/>
      <c r="BE286" s="118"/>
      <c r="BF286" s="118"/>
      <c r="BG286" s="118"/>
      <c r="BH286" s="118"/>
      <c r="BI286" s="118"/>
      <c r="BJ286" s="118"/>
      <c r="BK286" s="118"/>
      <c r="BL286" s="118"/>
      <c r="BM286" s="118"/>
      <c r="BN286" s="118"/>
      <c r="BO286" s="118"/>
      <c r="BP286" s="118"/>
      <c r="BQ286" s="118"/>
      <c r="BR286" s="118"/>
      <c r="BS286" s="118"/>
      <c r="BT286" s="118"/>
      <c r="BU286" s="118"/>
      <c r="BV286" s="118"/>
      <c r="BW286" s="118"/>
      <c r="BX286" s="118"/>
      <c r="BY286" s="118"/>
      <c r="BZ286" s="118"/>
      <c r="CA286" s="118"/>
      <c r="CB286" s="118"/>
      <c r="CC286" s="118"/>
      <c r="CD286" s="118"/>
      <c r="CE286" s="118"/>
      <c r="CF286" s="118"/>
      <c r="CG286" s="118"/>
      <c r="CH286" s="118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/>
      <c r="DL286"/>
      <c r="DM286"/>
      <c r="DN286"/>
      <c r="DO286"/>
      <c r="DP286"/>
    </row>
    <row r="287" spans="2:120" s="109" customFormat="1" ht="14.25">
      <c r="B287" s="301"/>
      <c r="C287" s="301"/>
      <c r="D287" s="118"/>
      <c r="E287" s="118"/>
      <c r="F287" s="118"/>
      <c r="G287" s="118"/>
      <c r="H287" s="118"/>
      <c r="I287" s="118"/>
      <c r="J287" s="118"/>
      <c r="K287" s="118"/>
      <c r="L287" s="118"/>
      <c r="M287" s="118"/>
      <c r="N287" s="118"/>
      <c r="O287" s="118"/>
      <c r="P287" s="118"/>
      <c r="Q287" s="118"/>
      <c r="R287" s="118"/>
      <c r="S287" s="118"/>
      <c r="T287" s="118"/>
      <c r="U287" s="118"/>
      <c r="V287" s="118"/>
      <c r="W287" s="118"/>
      <c r="X287" s="118"/>
      <c r="Y287" s="118"/>
      <c r="Z287" s="118"/>
      <c r="AA287" s="118"/>
      <c r="AB287" s="118"/>
      <c r="AC287" s="118"/>
      <c r="AD287" s="118"/>
      <c r="AE287" s="118"/>
      <c r="AF287" s="118"/>
      <c r="AG287" s="118"/>
      <c r="AH287" s="118"/>
      <c r="AI287" s="118"/>
      <c r="AJ287" s="118"/>
      <c r="AK287" s="118"/>
      <c r="AL287" s="118"/>
      <c r="AM287" s="118"/>
      <c r="AN287" s="118"/>
      <c r="AO287" s="118"/>
      <c r="AP287" s="118"/>
      <c r="AQ287" s="118"/>
      <c r="AR287" s="118"/>
      <c r="AS287" s="118"/>
      <c r="AT287" s="118"/>
      <c r="AU287" s="118"/>
      <c r="AV287" s="118"/>
      <c r="AW287" s="118"/>
      <c r="AX287" s="118"/>
      <c r="AY287" s="118"/>
      <c r="AZ287" s="118"/>
      <c r="BA287" s="118"/>
      <c r="BB287" s="118"/>
      <c r="BC287" s="118"/>
      <c r="BD287" s="118"/>
      <c r="BE287" s="118"/>
      <c r="BF287" s="118"/>
      <c r="BG287" s="118"/>
      <c r="BH287" s="118"/>
      <c r="BI287" s="118"/>
      <c r="BJ287" s="118"/>
      <c r="BK287" s="118"/>
      <c r="BL287" s="118"/>
      <c r="BM287" s="118"/>
      <c r="BN287" s="118"/>
      <c r="BO287" s="118"/>
      <c r="BP287" s="118"/>
      <c r="BQ287" s="118"/>
      <c r="BR287" s="118"/>
      <c r="BS287" s="118"/>
      <c r="BT287" s="118"/>
      <c r="BU287" s="118"/>
      <c r="BV287" s="118"/>
      <c r="BW287" s="118"/>
      <c r="BX287" s="118"/>
      <c r="BY287" s="118"/>
      <c r="BZ287" s="118"/>
      <c r="CA287" s="118"/>
      <c r="CB287" s="118"/>
      <c r="CC287" s="118"/>
      <c r="CD287" s="118"/>
      <c r="CE287" s="118"/>
      <c r="CF287" s="118"/>
      <c r="CG287" s="118"/>
      <c r="CH287" s="118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/>
      <c r="DL287"/>
      <c r="DM287"/>
      <c r="DN287"/>
      <c r="DO287"/>
      <c r="DP287"/>
    </row>
    <row r="288" spans="2:120" s="109" customFormat="1" ht="14.25">
      <c r="B288" s="301"/>
      <c r="C288" s="301"/>
      <c r="D288" s="118"/>
      <c r="E288" s="118"/>
      <c r="F288" s="118"/>
      <c r="G288" s="118"/>
      <c r="H288" s="118"/>
      <c r="I288" s="118"/>
      <c r="J288" s="118"/>
      <c r="K288" s="118"/>
      <c r="L288" s="118"/>
      <c r="M288" s="118"/>
      <c r="N288" s="118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  <c r="AF288" s="118"/>
      <c r="AG288" s="118"/>
      <c r="AH288" s="118"/>
      <c r="AI288" s="118"/>
      <c r="AJ288" s="118"/>
      <c r="AK288" s="118"/>
      <c r="AL288" s="118"/>
      <c r="AM288" s="118"/>
      <c r="AN288" s="118"/>
      <c r="AO288" s="118"/>
      <c r="AP288" s="118"/>
      <c r="AQ288" s="118"/>
      <c r="AR288" s="118"/>
      <c r="AS288" s="118"/>
      <c r="AT288" s="118"/>
      <c r="AU288" s="118"/>
      <c r="AV288" s="118"/>
      <c r="AW288" s="118"/>
      <c r="AX288" s="118"/>
      <c r="AY288" s="118"/>
      <c r="AZ288" s="118"/>
      <c r="BA288" s="118"/>
      <c r="BB288" s="118"/>
      <c r="BC288" s="118"/>
      <c r="BD288" s="118"/>
      <c r="BE288" s="118"/>
      <c r="BF288" s="118"/>
      <c r="BG288" s="118"/>
      <c r="BH288" s="118"/>
      <c r="BI288" s="118"/>
      <c r="BJ288" s="118"/>
      <c r="BK288" s="118"/>
      <c r="BL288" s="118"/>
      <c r="BM288" s="118"/>
      <c r="BN288" s="118"/>
      <c r="BO288" s="118"/>
      <c r="BP288" s="118"/>
      <c r="BQ288" s="118"/>
      <c r="BR288" s="118"/>
      <c r="BS288" s="118"/>
      <c r="BT288" s="118"/>
      <c r="BU288" s="118"/>
      <c r="BV288" s="118"/>
      <c r="BW288" s="118"/>
      <c r="BX288" s="118"/>
      <c r="BY288" s="118"/>
      <c r="BZ288" s="118"/>
      <c r="CA288" s="118"/>
      <c r="CB288" s="118"/>
      <c r="CC288" s="118"/>
      <c r="CD288" s="118"/>
      <c r="CE288" s="118"/>
      <c r="CF288" s="118"/>
      <c r="CG288" s="118"/>
      <c r="CH288" s="118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/>
      <c r="DL288"/>
      <c r="DM288"/>
      <c r="DN288"/>
      <c r="DO288"/>
      <c r="DP288"/>
    </row>
    <row r="289" spans="1:122" s="109" customFormat="1" ht="14.25">
      <c r="B289" s="301"/>
      <c r="C289" s="301"/>
      <c r="D289" s="118"/>
      <c r="E289" s="118"/>
      <c r="F289" s="118"/>
      <c r="G289" s="118"/>
      <c r="H289" s="118"/>
      <c r="I289" s="118"/>
      <c r="J289" s="118"/>
      <c r="K289" s="118"/>
      <c r="L289" s="118"/>
      <c r="M289" s="118"/>
      <c r="N289" s="118"/>
      <c r="O289" s="118"/>
      <c r="P289" s="118"/>
      <c r="Q289" s="118"/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/>
      <c r="AC289" s="118"/>
      <c r="AD289" s="118"/>
      <c r="AE289" s="118"/>
      <c r="AF289" s="118"/>
      <c r="AG289" s="118"/>
      <c r="AH289" s="118"/>
      <c r="AI289" s="118"/>
      <c r="AJ289" s="118"/>
      <c r="AK289" s="118"/>
      <c r="AL289" s="118"/>
      <c r="AM289" s="118"/>
      <c r="AN289" s="118"/>
      <c r="AO289" s="118"/>
      <c r="AP289" s="118"/>
      <c r="AQ289" s="118"/>
      <c r="AR289" s="118"/>
      <c r="AS289" s="118"/>
      <c r="AT289" s="118"/>
      <c r="AU289" s="118"/>
      <c r="AV289" s="118"/>
      <c r="AW289" s="118"/>
      <c r="AX289" s="118"/>
      <c r="AY289" s="118"/>
      <c r="AZ289" s="118"/>
      <c r="BA289" s="118"/>
      <c r="BB289" s="118"/>
      <c r="BC289" s="118"/>
      <c r="BD289" s="118"/>
      <c r="BE289" s="118"/>
      <c r="BF289" s="118"/>
      <c r="BG289" s="118"/>
      <c r="BH289" s="118"/>
      <c r="BI289" s="118"/>
      <c r="BJ289" s="118"/>
      <c r="BK289" s="118"/>
      <c r="BL289" s="118"/>
      <c r="BM289" s="118"/>
      <c r="BN289" s="118"/>
      <c r="BO289" s="118"/>
      <c r="BP289" s="118"/>
      <c r="BQ289" s="118"/>
      <c r="BR289" s="118"/>
      <c r="BS289" s="118"/>
      <c r="BT289" s="118"/>
      <c r="BU289" s="118"/>
      <c r="BV289" s="118"/>
      <c r="BW289" s="118"/>
      <c r="BX289" s="118"/>
      <c r="BY289" s="118"/>
      <c r="BZ289" s="118"/>
      <c r="CA289" s="118"/>
      <c r="CB289" s="118"/>
      <c r="CC289" s="118"/>
      <c r="CD289" s="118"/>
      <c r="CE289" s="118"/>
      <c r="CF289" s="118"/>
      <c r="CG289" s="118"/>
      <c r="CH289" s="118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/>
      <c r="DL289"/>
      <c r="DM289"/>
      <c r="DN289"/>
      <c r="DO289"/>
      <c r="DP289"/>
    </row>
    <row r="290" spans="1:122" s="109" customFormat="1" ht="14.25">
      <c r="B290" s="110"/>
      <c r="C290" s="110"/>
      <c r="D290" s="249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9"/>
      <c r="AA290" s="249"/>
      <c r="AB290" s="249"/>
      <c r="AC290" s="249"/>
      <c r="AD290" s="249"/>
      <c r="AE290" s="249"/>
      <c r="AF290" s="249"/>
      <c r="AG290" s="249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  <c r="AR290" s="249"/>
      <c r="AS290" s="249"/>
      <c r="AT290" s="249"/>
      <c r="AU290" s="249"/>
      <c r="AV290" s="249"/>
      <c r="AW290" s="249"/>
      <c r="AX290" s="249"/>
      <c r="AY290" s="249"/>
      <c r="AZ290" s="249"/>
      <c r="BA290" s="249"/>
      <c r="BB290" s="249"/>
      <c r="BC290" s="249"/>
      <c r="BD290" s="249"/>
      <c r="BE290" s="249"/>
      <c r="BF290" s="249"/>
      <c r="BG290" s="249"/>
      <c r="BH290" s="249"/>
      <c r="BI290" s="249"/>
      <c r="BJ290" s="249"/>
      <c r="BK290" s="249"/>
      <c r="BL290" s="249"/>
      <c r="BM290" s="249"/>
      <c r="BN290" s="249"/>
      <c r="BO290" s="249"/>
      <c r="BP290" s="249"/>
      <c r="BQ290" s="249"/>
      <c r="BR290" s="249"/>
      <c r="BS290" s="249"/>
      <c r="BT290" s="249"/>
      <c r="BU290" s="249"/>
      <c r="BV290" s="249"/>
      <c r="BW290" s="249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/>
      <c r="DL290"/>
      <c r="DM290"/>
      <c r="DN290"/>
      <c r="DO290"/>
      <c r="DP290"/>
    </row>
    <row r="291" spans="1:122" s="109" customFormat="1" ht="14.25">
      <c r="B291" s="110"/>
      <c r="C291" s="110"/>
      <c r="D291" s="249"/>
      <c r="E291" s="249"/>
      <c r="F291" s="249"/>
      <c r="G291" s="249"/>
      <c r="H291" s="249"/>
      <c r="I291" s="249"/>
      <c r="J291" s="249"/>
      <c r="K291" s="249"/>
      <c r="L291" s="249"/>
      <c r="M291" s="249"/>
      <c r="N291" s="249"/>
      <c r="O291" s="249"/>
      <c r="P291" s="249"/>
      <c r="Q291" s="249"/>
      <c r="R291" s="249"/>
      <c r="S291" s="249"/>
      <c r="T291" s="249"/>
      <c r="U291" s="249"/>
      <c r="V291" s="249"/>
      <c r="W291" s="249"/>
      <c r="X291" s="249"/>
      <c r="Y291" s="249"/>
      <c r="Z291" s="249"/>
      <c r="AA291" s="249"/>
      <c r="AB291" s="249"/>
      <c r="AC291" s="249"/>
      <c r="AD291" s="249"/>
      <c r="AE291" s="249"/>
      <c r="AF291" s="249"/>
      <c r="AG291" s="249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  <c r="AR291" s="249"/>
      <c r="AS291" s="249"/>
      <c r="AT291" s="249"/>
      <c r="AU291" s="249"/>
      <c r="AV291" s="249"/>
      <c r="AW291" s="249"/>
      <c r="AX291" s="249"/>
      <c r="AY291" s="249"/>
      <c r="AZ291" s="249"/>
      <c r="BA291" s="249"/>
      <c r="BB291" s="249"/>
      <c r="BC291" s="249"/>
      <c r="BD291" s="249"/>
      <c r="BE291" s="249"/>
      <c r="BF291" s="249"/>
      <c r="BG291" s="249"/>
      <c r="BH291" s="249"/>
      <c r="BI291" s="249"/>
      <c r="BJ291" s="249"/>
      <c r="BK291" s="249"/>
      <c r="BL291" s="249"/>
      <c r="BM291" s="249"/>
      <c r="BN291" s="249"/>
      <c r="BO291" s="249"/>
      <c r="BP291" s="249"/>
      <c r="BQ291" s="249"/>
      <c r="BR291" s="249"/>
      <c r="BS291" s="249"/>
      <c r="BT291" s="249"/>
      <c r="BU291" s="249"/>
      <c r="BV291" s="249"/>
      <c r="BW291" s="249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/>
      <c r="DL291"/>
      <c r="DM291"/>
      <c r="DN291"/>
      <c r="DO291"/>
      <c r="DP291"/>
    </row>
    <row r="292" spans="1:12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</row>
    <row r="293" spans="1:122" s="7" customFormat="1" ht="14.25">
      <c r="B293" s="93" t="s">
        <v>65</v>
      </c>
      <c r="C293" s="93"/>
      <c r="D293" s="97" t="e">
        <f>IS!D296</f>
        <v>#NAME?</v>
      </c>
      <c r="E293" s="97" t="e">
        <f>IS!E296</f>
        <v>#NAME?</v>
      </c>
      <c r="F293" s="97" t="e">
        <f>IS!F296</f>
        <v>#NAME?</v>
      </c>
      <c r="G293" s="97" t="e">
        <f>IS!G296</f>
        <v>#NAME?</v>
      </c>
      <c r="H293" s="97" t="e">
        <f>IS!H296</f>
        <v>#NAME?</v>
      </c>
      <c r="I293" s="97" t="e">
        <f>IS!I296</f>
        <v>#NAME?</v>
      </c>
      <c r="J293" s="97" t="e">
        <f>IS!J296</f>
        <v>#NAME?</v>
      </c>
      <c r="K293" s="97" t="e">
        <f>IS!K296</f>
        <v>#NAME?</v>
      </c>
      <c r="L293" s="97" t="e">
        <f>IS!L296</f>
        <v>#NAME?</v>
      </c>
      <c r="M293" s="97" t="e">
        <f>IS!M296</f>
        <v>#NAME?</v>
      </c>
      <c r="N293" s="97" t="e">
        <f>IS!N296</f>
        <v>#NAME?</v>
      </c>
      <c r="O293" s="97" t="e">
        <f>IS!O296</f>
        <v>#NAME?</v>
      </c>
      <c r="P293" s="97" t="e">
        <f>IS!P296</f>
        <v>#NAME?</v>
      </c>
      <c r="Q293" s="97" t="e">
        <f>IS!Q296</f>
        <v>#NAME?</v>
      </c>
      <c r="R293" s="97" t="e">
        <f>IS!R296</f>
        <v>#NAME?</v>
      </c>
      <c r="S293" s="97" t="e">
        <f>IS!S296</f>
        <v>#NAME?</v>
      </c>
      <c r="T293" s="97" t="e">
        <f>IS!T296</f>
        <v>#NAME?</v>
      </c>
      <c r="U293" s="97" t="e">
        <f>IS!U296</f>
        <v>#NAME?</v>
      </c>
      <c r="V293" s="97" t="e">
        <f>IS!V296</f>
        <v>#NAME?</v>
      </c>
      <c r="W293" s="97" t="e">
        <f>IS!W296</f>
        <v>#NAME?</v>
      </c>
      <c r="X293" s="97" t="e">
        <f>IS!X296</f>
        <v>#NAME?</v>
      </c>
      <c r="Y293" s="97" t="e">
        <f>IS!Y296</f>
        <v>#NAME?</v>
      </c>
      <c r="Z293" s="97" t="e">
        <f>IS!Z296</f>
        <v>#NAME?</v>
      </c>
      <c r="AA293" s="97" t="e">
        <f>IS!AA296</f>
        <v>#NAME?</v>
      </c>
      <c r="AB293" s="97" t="e">
        <f>IS!AB296</f>
        <v>#NAME?</v>
      </c>
      <c r="AC293" s="97" t="e">
        <f>IS!AC296</f>
        <v>#NAME?</v>
      </c>
      <c r="AD293" s="97" t="e">
        <f>IS!AD296</f>
        <v>#NAME?</v>
      </c>
      <c r="AE293" s="97" t="e">
        <f>IS!AE296</f>
        <v>#NAME?</v>
      </c>
      <c r="AF293" s="97" t="e">
        <f>IS!AF296</f>
        <v>#NAME?</v>
      </c>
      <c r="AG293" s="97" t="e">
        <f>IS!AG296</f>
        <v>#NAME?</v>
      </c>
      <c r="AH293" s="97" t="e">
        <f>IS!AH296</f>
        <v>#NAME?</v>
      </c>
      <c r="AI293" s="97" t="e">
        <f>IS!AI296</f>
        <v>#NAME?</v>
      </c>
      <c r="AJ293" s="97" t="e">
        <f>IS!AJ296</f>
        <v>#NAME?</v>
      </c>
      <c r="AK293" s="97" t="e">
        <f>IS!AK296</f>
        <v>#NAME?</v>
      </c>
      <c r="AL293" s="97" t="e">
        <f>IS!AL296</f>
        <v>#NAME?</v>
      </c>
      <c r="AM293" s="97" t="e">
        <f>IS!AM296</f>
        <v>#NAME?</v>
      </c>
      <c r="AN293" s="97" t="e">
        <f>IS!AN296</f>
        <v>#NAME?</v>
      </c>
      <c r="AO293" s="97" t="e">
        <f>IS!AO296</f>
        <v>#NAME?</v>
      </c>
      <c r="AP293" s="97" t="e">
        <f>IS!AP296</f>
        <v>#NAME?</v>
      </c>
      <c r="AQ293" s="97" t="e">
        <f>IS!AQ296</f>
        <v>#NAME?</v>
      </c>
      <c r="AR293" s="97" t="e">
        <f>IS!AR296</f>
        <v>#NAME?</v>
      </c>
      <c r="AS293" s="97" t="e">
        <f>IS!AS296</f>
        <v>#NAME?</v>
      </c>
      <c r="AT293" s="97" t="e">
        <f>IS!AT296</f>
        <v>#NAME?</v>
      </c>
      <c r="AU293" s="97" t="e">
        <f>IS!AU296</f>
        <v>#NAME?</v>
      </c>
      <c r="AV293" s="97" t="e">
        <f>IS!AV296</f>
        <v>#NAME?</v>
      </c>
      <c r="AW293" s="97" t="e">
        <f>IS!AW296</f>
        <v>#NAME?</v>
      </c>
      <c r="AX293" s="97" t="e">
        <f>IS!AX296</f>
        <v>#NAME?</v>
      </c>
      <c r="AY293" s="97" t="e">
        <f>IS!AY296</f>
        <v>#NAME?</v>
      </c>
      <c r="AZ293" s="97" t="e">
        <f>IS!AZ296</f>
        <v>#NAME?</v>
      </c>
      <c r="BA293" s="97" t="e">
        <f>IS!BA296</f>
        <v>#NAME?</v>
      </c>
      <c r="BB293" s="97" t="e">
        <f>IS!BB296</f>
        <v>#NAME?</v>
      </c>
      <c r="BC293" s="97" t="e">
        <f>IS!BC296</f>
        <v>#NAME?</v>
      </c>
      <c r="BD293" s="97" t="e">
        <f>IS!BD296</f>
        <v>#NAME?</v>
      </c>
      <c r="BE293" s="97" t="e">
        <f>IS!BE296</f>
        <v>#NAME?</v>
      </c>
      <c r="BF293" s="97" t="e">
        <f>IS!BF296</f>
        <v>#NAME?</v>
      </c>
      <c r="BG293" s="97" t="e">
        <f>IS!BG296</f>
        <v>#NAME?</v>
      </c>
      <c r="BH293" s="97" t="e">
        <f>IS!BH296</f>
        <v>#NAME?</v>
      </c>
      <c r="BI293" s="97" t="e">
        <f>IS!BI296</f>
        <v>#NAME?</v>
      </c>
      <c r="BJ293" s="97" t="e">
        <f>IS!BJ296</f>
        <v>#NAME?</v>
      </c>
      <c r="BK293" s="97" t="e">
        <f>IS!BK296</f>
        <v>#NAME?</v>
      </c>
      <c r="BL293" s="97" t="e">
        <f>IS!BL296</f>
        <v>#NAME?</v>
      </c>
      <c r="BM293" s="97" t="e">
        <f>IS!BM296</f>
        <v>#NAME?</v>
      </c>
      <c r="BN293" s="97" t="e">
        <f>IS!BN296</f>
        <v>#NAME?</v>
      </c>
      <c r="BO293" s="97" t="e">
        <f>IS!BO296</f>
        <v>#NAME?</v>
      </c>
      <c r="BP293" s="97" t="e">
        <f>IS!BP296</f>
        <v>#NAME?</v>
      </c>
      <c r="BQ293" s="97" t="e">
        <f>IS!BQ296</f>
        <v>#NAME?</v>
      </c>
      <c r="BR293" s="97" t="e">
        <f>IS!BR296</f>
        <v>#NAME?</v>
      </c>
      <c r="BS293" s="97" t="e">
        <f>IS!BS296</f>
        <v>#NAME?</v>
      </c>
      <c r="BT293" s="97" t="e">
        <f>IS!BT296</f>
        <v>#NAME?</v>
      </c>
      <c r="BU293" s="97" t="e">
        <f>IS!BU296</f>
        <v>#NAME?</v>
      </c>
      <c r="BV293" s="97" t="e">
        <f>IS!BV296</f>
        <v>#NAME?</v>
      </c>
      <c r="BW293" s="97" t="e">
        <f>IS!BW296</f>
        <v>#NAME?</v>
      </c>
      <c r="BX293" s="97"/>
      <c r="BY293" s="97" t="e">
        <f>IS!BY296</f>
        <v>#NAME?</v>
      </c>
      <c r="BZ293" s="97" t="e">
        <f>IS!BZ296</f>
        <v>#NAME?</v>
      </c>
      <c r="CA293" s="97" t="e">
        <f>IS!CA296</f>
        <v>#NAME?</v>
      </c>
      <c r="CB293" s="97" t="e">
        <f>IS!CB296</f>
        <v>#NAME?</v>
      </c>
      <c r="CC293" s="97" t="e">
        <f>IS!CC296</f>
        <v>#NAME?</v>
      </c>
      <c r="CD293" s="97" t="e">
        <f>IS!CD296</f>
        <v>#NAME?</v>
      </c>
      <c r="CE293" s="97" t="e">
        <f>IS!CE296</f>
        <v>#NAME?</v>
      </c>
      <c r="CF293" s="97" t="e">
        <f>IS!CF296</f>
        <v>#NAME?</v>
      </c>
      <c r="CG293" s="97" t="e">
        <f>IS!CG296</f>
        <v>#NAME?</v>
      </c>
      <c r="CH293" s="97" t="e">
        <f>IS!CH296</f>
        <v>#NAME?</v>
      </c>
      <c r="CI293" s="97" t="e">
        <f>IS!CI296</f>
        <v>#NAME?</v>
      </c>
      <c r="CJ293" s="97" t="e">
        <f>IS!CJ296</f>
        <v>#NAME?</v>
      </c>
      <c r="CK293" s="97" t="e">
        <f>IS!CK296</f>
        <v>#NAME?</v>
      </c>
      <c r="CL293" s="97" t="e">
        <f>IS!CL296</f>
        <v>#NAME?</v>
      </c>
      <c r="CM293" s="97" t="e">
        <f>IS!CM296</f>
        <v>#NAME?</v>
      </c>
      <c r="CN293" s="97" t="e">
        <f>IS!CN296</f>
        <v>#NAME?</v>
      </c>
      <c r="CO293" s="97" t="e">
        <f>IS!CO296</f>
        <v>#NAME?</v>
      </c>
      <c r="CP293" s="97" t="e">
        <f>IS!CP296</f>
        <v>#NAME?</v>
      </c>
      <c r="CQ293" s="510"/>
      <c r="CR293" s="97"/>
      <c r="CS293" s="97"/>
      <c r="CT293" s="97"/>
      <c r="CU293" s="97" t="e">
        <f>IS!CU296</f>
        <v>#NAME?</v>
      </c>
      <c r="CV293" s="97" t="e">
        <f>IS!CV296</f>
        <v>#NAME?</v>
      </c>
      <c r="CW293" s="97" t="e">
        <f>IS!CW296</f>
        <v>#NAME?</v>
      </c>
      <c r="CX293" s="97" t="e">
        <f>IS!CX296</f>
        <v>#NAME?</v>
      </c>
      <c r="CY293" s="97" t="e">
        <f>IS!CY296</f>
        <v>#NAME?</v>
      </c>
      <c r="CZ293" s="97" t="e">
        <f>IS!CZ296</f>
        <v>#NAME?</v>
      </c>
      <c r="DA293" s="97" t="e">
        <f>IS!DA296</f>
        <v>#NAME?</v>
      </c>
      <c r="DB293" s="97" t="str">
        <f>IS!DB296</f>
        <v>E</v>
      </c>
      <c r="DC293" s="97" t="str">
        <f>IS!DC296</f>
        <v>E</v>
      </c>
      <c r="DD293" s="97" t="str">
        <f>IS!DD296</f>
        <v>E</v>
      </c>
      <c r="DE293" s="97" t="str">
        <f>IS!DE296</f>
        <v>E</v>
      </c>
      <c r="DF293" s="97" t="str">
        <f>IS!DF296</f>
        <v>E</v>
      </c>
      <c r="DG293" s="344"/>
      <c r="DH293" s="344"/>
      <c r="DI293" s="344"/>
      <c r="DJ293" s="344"/>
      <c r="DK293"/>
      <c r="DL293"/>
      <c r="DM293"/>
      <c r="DN293"/>
      <c r="DO293"/>
      <c r="DP293"/>
      <c r="DQ293" s="101"/>
      <c r="DR293" s="101"/>
    </row>
    <row r="294" spans="1:122" s="7" customFormat="1" ht="14.25">
      <c r="B294" s="93"/>
      <c r="C294" s="93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  <c r="BA294" s="98"/>
      <c r="BB294" s="98"/>
      <c r="BC294" s="98"/>
      <c r="BD294" s="98"/>
      <c r="BE294" s="98"/>
      <c r="BF294" s="98"/>
      <c r="BG294" s="98"/>
      <c r="BH294" s="98"/>
      <c r="BI294" s="98"/>
      <c r="BJ294" s="98"/>
      <c r="BK294" s="98"/>
      <c r="BL294" s="98"/>
      <c r="BM294" s="98"/>
      <c r="BN294" s="98"/>
      <c r="BO294" s="98"/>
      <c r="BP294" s="98"/>
      <c r="BQ294" s="98"/>
      <c r="BR294" s="98"/>
      <c r="BS294" s="98"/>
      <c r="BT294" s="98"/>
      <c r="BU294" s="98"/>
      <c r="BV294" s="98"/>
      <c r="BW294" s="98"/>
      <c r="BX294" s="6"/>
      <c r="BY294" s="94"/>
      <c r="BZ294" s="94"/>
      <c r="CA294" s="94"/>
      <c r="CB294" s="94"/>
      <c r="CC294" s="94"/>
      <c r="CD294" s="94"/>
      <c r="CE294" s="102"/>
      <c r="CF294" s="102"/>
      <c r="CG294" s="102"/>
      <c r="CH294" s="102"/>
      <c r="CI294" s="102"/>
      <c r="CJ294" s="102"/>
      <c r="CK294" s="102"/>
      <c r="CL294" s="102"/>
      <c r="CM294" s="102"/>
      <c r="CN294" s="102"/>
      <c r="CO294" s="102"/>
      <c r="CP294" s="102"/>
      <c r="CQ294" s="6"/>
      <c r="CR294" s="102"/>
      <c r="CS294" s="102"/>
      <c r="CT294" s="102"/>
      <c r="CU294" s="102"/>
      <c r="CV294" s="102"/>
      <c r="CW294" s="102"/>
      <c r="CX294" s="102"/>
      <c r="CY294" s="102"/>
      <c r="CZ294" s="102"/>
      <c r="DA294" s="102"/>
      <c r="DB294" s="102"/>
      <c r="DC294" s="102"/>
      <c r="DD294" s="102"/>
      <c r="DE294" s="102"/>
      <c r="DF294" s="102"/>
      <c r="DG294" s="6"/>
      <c r="DH294" s="6"/>
      <c r="DI294" s="6"/>
      <c r="DJ294" s="6"/>
      <c r="DK294"/>
      <c r="DL294"/>
      <c r="DM294"/>
      <c r="DN294"/>
      <c r="DO294"/>
      <c r="DP294"/>
      <c r="DQ294" s="101"/>
      <c r="DR294" s="101"/>
    </row>
    <row r="295" spans="1:122" s="7" customFormat="1" ht="14.25">
      <c r="B295" s="93"/>
      <c r="C295" s="93"/>
      <c r="D295" s="344"/>
      <c r="E295" s="344"/>
      <c r="F295" s="344"/>
      <c r="G295" s="344"/>
      <c r="H295" s="344"/>
      <c r="I295" s="344"/>
      <c r="J295" s="344"/>
      <c r="K295" s="344"/>
      <c r="L295" s="344"/>
      <c r="M295" s="344"/>
      <c r="N295" s="344"/>
      <c r="O295" s="344"/>
      <c r="P295" s="344"/>
      <c r="Q295" s="344"/>
      <c r="R295" s="344"/>
      <c r="S295" s="344"/>
      <c r="T295" s="344"/>
      <c r="U295" s="344"/>
      <c r="V295" s="344"/>
      <c r="W295" s="344"/>
      <c r="X295" s="344"/>
      <c r="Y295" s="344"/>
      <c r="Z295" s="344"/>
      <c r="AA295" s="344"/>
      <c r="AB295" s="344"/>
      <c r="AC295" s="344"/>
      <c r="AD295" s="344"/>
      <c r="AE295" s="344"/>
      <c r="AF295" s="344"/>
      <c r="AG295" s="344"/>
      <c r="AH295" s="344"/>
      <c r="AI295" s="344"/>
      <c r="AJ295" s="344"/>
      <c r="AK295" s="344"/>
      <c r="AL295" s="344"/>
      <c r="AM295" s="344"/>
      <c r="AN295" s="344"/>
      <c r="AO295" s="344"/>
      <c r="AP295" s="344"/>
      <c r="AQ295" s="344"/>
      <c r="AR295" s="344"/>
      <c r="AS295" s="344"/>
      <c r="AT295" s="344"/>
      <c r="AU295" s="344"/>
      <c r="AV295" s="344"/>
      <c r="AW295" s="344"/>
      <c r="AX295" s="344"/>
      <c r="AY295" s="344"/>
      <c r="AZ295" s="344"/>
      <c r="BA295" s="344"/>
      <c r="BB295" s="344"/>
      <c r="BC295" s="344"/>
      <c r="BD295" s="344"/>
      <c r="BE295" s="344"/>
      <c r="BF295" s="344"/>
      <c r="BG295" s="344"/>
      <c r="BH295" s="344"/>
      <c r="BI295" s="344"/>
      <c r="BJ295" s="344"/>
      <c r="BK295" s="344"/>
      <c r="BL295" s="344"/>
      <c r="BM295" s="344"/>
      <c r="BN295" s="344"/>
      <c r="BO295" s="344"/>
      <c r="BP295" s="344"/>
      <c r="BQ295" s="344"/>
      <c r="BR295" s="344"/>
      <c r="BS295" s="344"/>
      <c r="BT295" s="344"/>
      <c r="BU295" s="344"/>
      <c r="BV295" s="344"/>
      <c r="BW295" s="344"/>
      <c r="BX295" s="6"/>
      <c r="BY295" s="94"/>
      <c r="BZ295" s="94"/>
      <c r="CA295" s="94"/>
      <c r="CB295" s="94"/>
      <c r="CC295" s="94"/>
      <c r="CD295" s="94"/>
      <c r="CE295" s="102"/>
      <c r="CF295" s="102"/>
      <c r="CG295" s="102"/>
      <c r="CH295" s="102"/>
      <c r="CI295" s="102"/>
      <c r="CJ295" s="102"/>
      <c r="CK295" s="102"/>
      <c r="CL295" s="102"/>
      <c r="CM295" s="102"/>
      <c r="CN295" s="102"/>
      <c r="CO295" s="102"/>
      <c r="CP295" s="102"/>
      <c r="CQ295" s="6"/>
      <c r="CR295" s="102"/>
      <c r="CS295" s="102"/>
      <c r="CT295" s="102"/>
      <c r="CU295" s="102"/>
      <c r="CV295" s="102"/>
      <c r="CW295" s="102"/>
      <c r="CX295" s="102"/>
      <c r="CY295" s="102"/>
      <c r="CZ295" s="102"/>
      <c r="DA295" s="102"/>
      <c r="DB295" s="102"/>
      <c r="DC295" s="102"/>
      <c r="DD295" s="102"/>
      <c r="DE295" s="102"/>
      <c r="DF295" s="102"/>
      <c r="DG295" s="6"/>
      <c r="DH295" s="6"/>
      <c r="DI295" s="6"/>
      <c r="DJ295" s="6"/>
      <c r="DK295"/>
      <c r="DL295"/>
      <c r="DM295"/>
      <c r="DN295"/>
      <c r="DO295"/>
      <c r="DP295"/>
      <c r="DQ295" s="101"/>
      <c r="DR295" s="101"/>
    </row>
    <row r="296" spans="1:122" s="7" customFormat="1" ht="14.25">
      <c r="B296" s="93"/>
      <c r="C296" s="93"/>
      <c r="D296" s="344"/>
      <c r="E296" s="344"/>
      <c r="F296" s="344"/>
      <c r="G296" s="344"/>
      <c r="H296" s="344"/>
      <c r="I296" s="344"/>
      <c r="J296" s="344"/>
      <c r="K296" s="344"/>
      <c r="L296" s="344"/>
      <c r="M296" s="344"/>
      <c r="N296" s="344"/>
      <c r="O296" s="344"/>
      <c r="P296" s="344"/>
      <c r="Q296" s="344"/>
      <c r="R296" s="344"/>
      <c r="S296" s="344"/>
      <c r="T296" s="344"/>
      <c r="U296" s="344"/>
      <c r="V296" s="344"/>
      <c r="W296" s="344"/>
      <c r="X296" s="344"/>
      <c r="Y296" s="344"/>
      <c r="Z296" s="344"/>
      <c r="AA296" s="344"/>
      <c r="AB296" s="344"/>
      <c r="AC296" s="344"/>
      <c r="AD296" s="344"/>
      <c r="AE296" s="344"/>
      <c r="AF296" s="344"/>
      <c r="AG296" s="344"/>
      <c r="AH296" s="344"/>
      <c r="AI296" s="344"/>
      <c r="AJ296" s="344"/>
      <c r="AK296" s="344"/>
      <c r="AL296" s="344"/>
      <c r="AM296" s="344"/>
      <c r="AN296" s="344"/>
      <c r="AO296" s="344"/>
      <c r="AP296" s="344"/>
      <c r="AQ296" s="344"/>
      <c r="AR296" s="344"/>
      <c r="AS296" s="344"/>
      <c r="AT296" s="344"/>
      <c r="AU296" s="344"/>
      <c r="AV296" s="344"/>
      <c r="AW296" s="344"/>
      <c r="AX296" s="344"/>
      <c r="AY296" s="344"/>
      <c r="AZ296" s="344"/>
      <c r="BA296" s="344"/>
      <c r="BB296" s="344"/>
      <c r="BC296" s="344"/>
      <c r="BD296" s="344"/>
      <c r="BE296" s="344"/>
      <c r="BF296" s="344"/>
      <c r="BG296" s="344"/>
      <c r="BH296" s="344"/>
      <c r="BI296" s="344"/>
      <c r="BJ296" s="344"/>
      <c r="BK296" s="344"/>
      <c r="BL296" s="344"/>
      <c r="BM296" s="344"/>
      <c r="BN296" s="344"/>
      <c r="BO296" s="344"/>
      <c r="BP296" s="344"/>
      <c r="BQ296" s="344"/>
      <c r="BR296" s="344"/>
      <c r="BS296" s="344"/>
      <c r="BT296" s="344"/>
      <c r="BU296" s="344"/>
      <c r="BV296" s="344"/>
      <c r="BW296" s="344"/>
      <c r="BX296" s="6"/>
      <c r="BY296" s="94"/>
      <c r="BZ296" s="94"/>
      <c r="CA296" s="94"/>
      <c r="CB296" s="94"/>
      <c r="CC296" s="94"/>
      <c r="CD296" s="94"/>
      <c r="CE296" s="102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2"/>
      <c r="CQ296" s="6"/>
      <c r="CR296" s="102"/>
      <c r="CS296" s="102"/>
      <c r="CT296" s="102"/>
      <c r="CU296" s="102"/>
      <c r="CV296" s="102"/>
      <c r="CW296" s="102"/>
      <c r="CX296" s="102"/>
      <c r="CY296" s="102"/>
      <c r="CZ296" s="102"/>
      <c r="DA296" s="102"/>
      <c r="DB296" s="102"/>
      <c r="DC296" s="102"/>
      <c r="DD296" s="102"/>
      <c r="DE296" s="102"/>
      <c r="DF296" s="102"/>
      <c r="DG296" s="6"/>
      <c r="DH296" s="6"/>
      <c r="DI296" s="6"/>
      <c r="DJ296" s="6"/>
      <c r="DK296"/>
      <c r="DL296"/>
      <c r="DM296"/>
      <c r="DN296"/>
      <c r="DO296"/>
      <c r="DP296"/>
      <c r="DQ296" s="101"/>
      <c r="DR296" s="101"/>
    </row>
    <row r="297" spans="1:122" s="109" customFormat="1" ht="14.25"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  <c r="U297" s="247"/>
      <c r="V297" s="247"/>
      <c r="W297" s="247"/>
      <c r="X297" s="247"/>
      <c r="Y297" s="247"/>
      <c r="Z297" s="247"/>
      <c r="AA297" s="247"/>
      <c r="AB297" s="247"/>
      <c r="AC297" s="247"/>
      <c r="AD297" s="247"/>
      <c r="AE297" s="247"/>
      <c r="AF297" s="247"/>
      <c r="AG297" s="247"/>
      <c r="AH297" s="247"/>
      <c r="AI297" s="247"/>
      <c r="AJ297" s="247"/>
      <c r="AK297" s="247"/>
      <c r="AL297" s="247"/>
      <c r="AM297" s="247"/>
      <c r="AN297" s="247"/>
      <c r="AO297" s="247"/>
      <c r="AP297" s="247"/>
      <c r="AQ297" s="247"/>
      <c r="AR297" s="247"/>
      <c r="AS297" s="247"/>
      <c r="AT297" s="247"/>
      <c r="AU297" s="247"/>
      <c r="AV297" s="247"/>
      <c r="AW297" s="247"/>
      <c r="AX297" s="247"/>
      <c r="AY297" s="247"/>
      <c r="AZ297" s="247"/>
      <c r="BA297" s="247"/>
      <c r="BB297" s="247"/>
      <c r="BC297" s="247"/>
      <c r="BD297" s="247"/>
      <c r="BE297" s="247"/>
      <c r="BF297" s="247"/>
      <c r="BG297" s="247"/>
      <c r="BH297" s="247"/>
      <c r="BI297" s="247"/>
      <c r="BJ297" s="247"/>
      <c r="BK297" s="247"/>
      <c r="BL297" s="247"/>
      <c r="BM297" s="247"/>
      <c r="BN297" s="247"/>
      <c r="BO297" s="247"/>
      <c r="BP297" s="247"/>
      <c r="BQ297" s="247"/>
      <c r="BR297" s="247"/>
      <c r="BS297" s="247"/>
      <c r="BT297" s="247"/>
      <c r="BU297" s="247"/>
      <c r="BV297" s="247"/>
      <c r="BW297" s="247"/>
      <c r="DG297" s="110"/>
      <c r="DH297" s="110"/>
      <c r="DI297" s="110"/>
      <c r="DJ297" s="110"/>
      <c r="DK297"/>
      <c r="DL297"/>
      <c r="DM297"/>
      <c r="DN297"/>
      <c r="DO297"/>
      <c r="DP297"/>
    </row>
    <row r="298" spans="1:122" ht="14.25">
      <c r="DG298" s="110"/>
      <c r="DH298" s="110"/>
      <c r="DI298" s="110"/>
      <c r="DJ298" s="110"/>
    </row>
    <row r="299" spans="1:122" ht="14.25">
      <c r="DG299" s="110"/>
      <c r="DH299" s="110"/>
      <c r="DI299" s="110"/>
      <c r="DJ299" s="110"/>
    </row>
    <row r="300" spans="1:122" ht="14.25">
      <c r="DG300" s="110"/>
      <c r="DH300" s="110"/>
      <c r="DI300" s="110"/>
      <c r="DJ300" s="110"/>
    </row>
    <row r="301" spans="1:122" ht="14.25">
      <c r="DG301" s="110"/>
      <c r="DH301" s="110"/>
      <c r="DI301" s="110"/>
      <c r="DJ301" s="110"/>
    </row>
  </sheetData>
  <phoneticPr fontId="9" type="noConversion"/>
  <pageMargins left="0.75" right="0.75" top="1" bottom="1" header="0.5" footer="0.5"/>
  <pageSetup orientation="portrait" r:id="rId1"/>
  <headerFooter alignWithMargins="0"/>
  <ignoredErrors>
    <ignoredError sqref="AE38 Y15:Z15" 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51"/>
    <pageSetUpPr fitToPage="1"/>
  </sheetPr>
  <dimension ref="A1:IL302"/>
  <sheetViews>
    <sheetView showGridLines="0" zoomScale="85" zoomScaleNormal="85" workbookViewId="0">
      <pane xSplit="3" ySplit="8" topLeftCell="BH9" activePane="bottomRight" state="frozen"/>
      <selection activeCell="CP1" sqref="CP1:CR4"/>
      <selection pane="topRight" activeCell="CP1" sqref="CP1:CR4"/>
      <selection pane="bottomLeft" activeCell="CP1" sqref="CP1:CR4"/>
      <selection pane="bottomRight" activeCell="B4" sqref="B4"/>
    </sheetView>
  </sheetViews>
  <sheetFormatPr defaultRowHeight="12.75" outlineLevelRow="1" outlineLevelCol="1"/>
  <cols>
    <col min="1" max="1" width="1.7109375" customWidth="1"/>
    <col min="2" max="2" width="43" customWidth="1"/>
    <col min="3" max="3" width="1.7109375" customWidth="1"/>
    <col min="4" max="35" width="11" hidden="1" customWidth="1" outlineLevel="1"/>
    <col min="36" max="36" width="11" hidden="1" customWidth="1" outlineLevel="1" collapsed="1"/>
    <col min="37" max="51" width="11" hidden="1" customWidth="1" outlineLevel="1"/>
    <col min="52" max="52" width="11" hidden="1" customWidth="1" outlineLevel="1" collapsed="1"/>
    <col min="53" max="55" width="11" hidden="1" customWidth="1" outlineLevel="1"/>
    <col min="56" max="56" width="11" hidden="1" customWidth="1" outlineLevel="1" collapsed="1"/>
    <col min="57" max="59" width="11" hidden="1" customWidth="1" outlineLevel="1"/>
    <col min="60" max="60" width="11" customWidth="1" collapsed="1"/>
    <col min="61" max="62" width="11" customWidth="1"/>
    <col min="63" max="63" width="11" style="919" customWidth="1"/>
    <col min="64" max="71" width="11" customWidth="1"/>
    <col min="72" max="75" width="11" style="911" customWidth="1"/>
    <col min="76" max="76" width="2.7109375" customWidth="1"/>
    <col min="77" max="87" width="11" hidden="1" customWidth="1" outlineLevel="1"/>
    <col min="88" max="88" width="11" customWidth="1" collapsed="1"/>
    <col min="89" max="92" width="11" customWidth="1"/>
    <col min="93" max="93" width="11" style="911" customWidth="1"/>
    <col min="94" max="94" width="11" customWidth="1" outlineLevel="1"/>
    <col min="95" max="95" width="3.42578125" customWidth="1"/>
    <col min="96" max="104" width="11" hidden="1" customWidth="1" outlineLevel="1"/>
    <col min="105" max="105" width="11" customWidth="1" collapsed="1"/>
    <col min="106" max="108" width="11" customWidth="1"/>
    <col min="109" max="110" width="11" style="911" customWidth="1"/>
  </cols>
  <sheetData>
    <row r="1" spans="1:114" ht="68.25" customHeight="1">
      <c r="A1" s="1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AH1" s="7"/>
      <c r="AI1" s="7"/>
      <c r="AJ1" s="7"/>
      <c r="AK1" s="7"/>
      <c r="AL1" s="708"/>
      <c r="AM1" s="7"/>
      <c r="BH1" s="712"/>
      <c r="DG1" s="7"/>
      <c r="DH1" s="7"/>
      <c r="DI1" s="7"/>
      <c r="DJ1" s="7"/>
    </row>
    <row r="2" spans="1:114" ht="18">
      <c r="A2" s="3"/>
      <c r="B2" s="4" t="s">
        <v>70</v>
      </c>
      <c r="C2" s="5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AH2" s="7"/>
      <c r="AI2" s="7"/>
      <c r="AJ2" s="7"/>
      <c r="AK2" s="7"/>
      <c r="AL2" s="7"/>
      <c r="AM2" s="7"/>
      <c r="AX2" s="851"/>
      <c r="AY2" s="851"/>
      <c r="AZ2" s="851"/>
      <c r="BA2" s="851"/>
      <c r="BB2" s="851"/>
      <c r="BC2" s="851"/>
      <c r="BD2" s="851"/>
      <c r="BE2" s="851"/>
      <c r="BF2" s="851"/>
      <c r="BG2" s="851"/>
      <c r="BH2" s="851"/>
      <c r="BI2" s="851"/>
      <c r="BJ2" s="851"/>
      <c r="BK2" s="851"/>
      <c r="BL2" s="851"/>
      <c r="BM2" s="851"/>
      <c r="BN2" s="851"/>
      <c r="BO2" s="851"/>
      <c r="BP2" s="851"/>
      <c r="BQ2" s="851"/>
      <c r="BR2" s="851"/>
      <c r="BS2" s="851"/>
      <c r="BT2" s="851"/>
      <c r="BU2" s="851"/>
      <c r="BV2" s="851"/>
      <c r="BW2" s="851"/>
      <c r="DG2" s="7"/>
      <c r="DH2" s="7"/>
      <c r="DI2" s="7"/>
      <c r="DJ2" s="7"/>
    </row>
    <row r="3" spans="1:114" ht="18">
      <c r="A3" s="3"/>
      <c r="B3" s="4"/>
      <c r="C3" s="5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AH3" s="7"/>
      <c r="AI3" s="7"/>
      <c r="AJ3" s="7"/>
      <c r="AK3" s="7"/>
      <c r="AL3" s="7"/>
      <c r="AM3" s="7"/>
      <c r="AY3" s="712"/>
      <c r="AZ3" s="712"/>
      <c r="BA3" s="712"/>
      <c r="BB3" s="712"/>
      <c r="BC3" s="712"/>
      <c r="BD3" s="712"/>
      <c r="BE3" s="712"/>
      <c r="BF3" s="712"/>
      <c r="BG3" s="712"/>
      <c r="BH3" s="973">
        <f>BH33+BH43</f>
        <v>688.46789999999999</v>
      </c>
      <c r="BI3" s="973">
        <f t="shared" ref="BI3:BJ3" si="0">BI33+BI43</f>
        <v>634.51650000000006</v>
      </c>
      <c r="BJ3" s="973">
        <f t="shared" si="0"/>
        <v>657.58399999999995</v>
      </c>
      <c r="BK3" s="973">
        <f>BK33+BK43</f>
        <v>728.60400000000004</v>
      </c>
      <c r="BL3" s="973">
        <f t="shared" ref="BL3:BR3" si="1">BL33+BL43</f>
        <v>809.96300000000008</v>
      </c>
      <c r="BM3" s="973">
        <f t="shared" si="1"/>
        <v>652.30948750000005</v>
      </c>
      <c r="BN3" s="973">
        <f t="shared" si="1"/>
        <v>600.18587018750009</v>
      </c>
      <c r="BO3" s="973">
        <f t="shared" si="1"/>
        <v>750.29945552875006</v>
      </c>
      <c r="BP3" s="973">
        <f t="shared" si="1"/>
        <v>804.03526165654387</v>
      </c>
      <c r="BQ3" s="973">
        <f t="shared" si="1"/>
        <v>694.43866424606335</v>
      </c>
      <c r="BR3" s="973">
        <f t="shared" si="1"/>
        <v>680.54989096114207</v>
      </c>
      <c r="BS3" s="973">
        <f t="shared" ref="BS3:BW3" si="2">BS33+BS43</f>
        <v>739.65870897622733</v>
      </c>
      <c r="BT3" s="973">
        <f t="shared" si="2"/>
        <v>796.5661280165765</v>
      </c>
      <c r="BU3" s="973">
        <f t="shared" si="2"/>
        <v>721.98601999484879</v>
      </c>
      <c r="BV3" s="973">
        <f t="shared" si="2"/>
        <v>719.72502286594147</v>
      </c>
      <c r="BW3" s="973">
        <f t="shared" si="2"/>
        <v>788.6599950443416</v>
      </c>
      <c r="DG3" s="7"/>
      <c r="DH3" s="7"/>
      <c r="DI3" s="7"/>
      <c r="DJ3" s="7"/>
    </row>
    <row r="4" spans="1:114" s="944" customFormat="1" ht="18">
      <c r="A4" s="3"/>
      <c r="B4" s="4"/>
      <c r="C4" s="5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AH4" s="7"/>
      <c r="AI4" s="7"/>
      <c r="AJ4" s="7"/>
      <c r="AK4" s="7"/>
      <c r="AL4" s="7"/>
      <c r="AM4" s="7"/>
      <c r="AY4" s="712"/>
      <c r="AZ4" s="712"/>
      <c r="BA4" s="712"/>
      <c r="BB4" s="712"/>
      <c r="BC4" s="712"/>
      <c r="BD4" s="712"/>
      <c r="BE4" s="712"/>
      <c r="BF4" s="712"/>
      <c r="BG4" s="712"/>
      <c r="BH4" s="712"/>
      <c r="BI4" s="712">
        <f>BI3/BH3-1</f>
        <v>-7.8364437906255247E-2</v>
      </c>
      <c r="BJ4" s="712">
        <f t="shared" ref="BJ4:BO4" si="3">BJ3/BI3-1</f>
        <v>3.6354452563487127E-2</v>
      </c>
      <c r="BK4" s="712">
        <f t="shared" si="3"/>
        <v>0.1080014112265506</v>
      </c>
      <c r="BL4" s="712">
        <f t="shared" si="3"/>
        <v>0.1116642236386296</v>
      </c>
      <c r="BM4" s="712">
        <f t="shared" si="3"/>
        <v>-0.19464285714285712</v>
      </c>
      <c r="BN4" s="712">
        <f t="shared" si="3"/>
        <v>-7.9906268897399602E-2</v>
      </c>
      <c r="BO4" s="712">
        <f t="shared" si="3"/>
        <v>0.25011182834803147</v>
      </c>
      <c r="BP4" s="712">
        <f t="shared" ref="BP4" si="4">BP3/BO3-1</f>
        <v>7.1619145838144327E-2</v>
      </c>
      <c r="BQ4" s="712">
        <f t="shared" ref="BQ4" si="5">BQ3/BP3-1</f>
        <v>-0.13630819770849356</v>
      </c>
      <c r="BR4" s="712">
        <f t="shared" ref="BR4" si="6">BR3/BQ3-1</f>
        <v>-2.0000000000000018E-2</v>
      </c>
      <c r="BS4" s="712">
        <f t="shared" ref="BS4" si="7">BS3/BR3-1</f>
        <v>8.6854496342076759E-2</v>
      </c>
      <c r="BT4" s="712">
        <f t="shared" ref="BT4" si="8">BT3/BS3-1</f>
        <v>7.6937401466029565E-2</v>
      </c>
      <c r="BU4" s="712">
        <f t="shared" ref="BU4" si="9">BU3/BT3-1</f>
        <v>-9.3627014002503173E-2</v>
      </c>
      <c r="BV4" s="712">
        <f t="shared" ref="BV4" si="10">BV3/BU3-1</f>
        <v>-3.1316356082953245E-3</v>
      </c>
      <c r="BW4" s="712">
        <f t="shared" ref="BW4" si="11">BW3/BV3-1</f>
        <v>9.5779596357371988E-2</v>
      </c>
      <c r="CJ4" s="973">
        <f>CJ33+CJ43</f>
        <v>1692.9560000000001</v>
      </c>
      <c r="CK4" s="973">
        <f t="shared" ref="CK4:CP4" si="12">CK33+CK43</f>
        <v>2550.3150000000001</v>
      </c>
      <c r="CL4" s="973">
        <f t="shared" si="12"/>
        <v>2493.0468000000001</v>
      </c>
      <c r="CM4" s="973">
        <f t="shared" si="12"/>
        <v>2709.1723999999995</v>
      </c>
      <c r="CN4" s="973">
        <f t="shared" si="12"/>
        <v>2812.7578132162503</v>
      </c>
      <c r="CO4" s="973">
        <f t="shared" si="12"/>
        <v>2918.6825258399767</v>
      </c>
      <c r="CP4" s="973">
        <f t="shared" si="12"/>
        <v>3026.9371659217086</v>
      </c>
      <c r="CQ4" s="955"/>
      <c r="CR4" s="955"/>
      <c r="CS4" s="955"/>
      <c r="CT4" s="955"/>
      <c r="CU4" s="955"/>
      <c r="CV4" s="955"/>
      <c r="CW4" s="955"/>
      <c r="CX4" s="955"/>
      <c r="CY4" s="955"/>
      <c r="CZ4" s="955"/>
      <c r="DA4" s="955"/>
      <c r="DB4" s="955"/>
      <c r="DC4" s="955"/>
      <c r="DD4" s="955"/>
      <c r="DE4" s="955"/>
      <c r="DF4" s="955"/>
      <c r="DG4" s="955"/>
      <c r="DH4" s="7"/>
      <c r="DI4" s="7"/>
      <c r="DJ4" s="7"/>
    </row>
    <row r="5" spans="1:114" ht="18">
      <c r="A5" s="3"/>
      <c r="B5" s="4"/>
      <c r="C5" s="5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AH5" s="7"/>
      <c r="AI5" s="7"/>
      <c r="AJ5" s="7"/>
      <c r="AK5" s="7"/>
      <c r="AL5" s="7"/>
      <c r="AM5" s="7"/>
      <c r="AV5" s="711"/>
      <c r="AW5" s="711"/>
      <c r="AX5" s="711"/>
      <c r="AY5" s="711"/>
      <c r="AZ5" s="711"/>
      <c r="BA5" s="711"/>
      <c r="BB5" s="711"/>
      <c r="BC5" s="711"/>
      <c r="BD5" s="711"/>
      <c r="BE5" s="805"/>
      <c r="BF5" s="805"/>
      <c r="BG5" s="805"/>
      <c r="BH5" s="805"/>
      <c r="BI5" s="805"/>
      <c r="BJ5" s="805"/>
      <c r="BK5" s="805"/>
      <c r="BL5" s="805">
        <f>BL3/BH3-1</f>
        <v>0.17647169897100512</v>
      </c>
      <c r="BM5" s="805">
        <f t="shared" ref="BM5:BO5" si="13">BM3/BI3-1</f>
        <v>2.8041804271441206E-2</v>
      </c>
      <c r="BN5" s="805">
        <f t="shared" si="13"/>
        <v>-8.7286384420089069E-2</v>
      </c>
      <c r="BO5" s="805">
        <f t="shared" si="13"/>
        <v>2.9776745020271722E-2</v>
      </c>
      <c r="BP5" s="805">
        <f t="shared" ref="BP5" si="14">BP3/BL3-1</f>
        <v>-7.3185297889609702E-3</v>
      </c>
      <c r="BQ5" s="805">
        <f t="shared" ref="BQ5" si="15">BQ3/BM3-1</f>
        <v>6.458464510078632E-2</v>
      </c>
      <c r="BR5" s="805">
        <f t="shared" ref="BR5" si="16">BR3/BN3-1</f>
        <v>0.13389855504018455</v>
      </c>
      <c r="BS5" s="805">
        <f t="shared" ref="BS5" si="17">BS3/BO3-1</f>
        <v>-1.4181999565792025E-2</v>
      </c>
      <c r="BT5" s="805">
        <f t="shared" ref="BT5" si="18">BT3/BP3-1</f>
        <v>-9.2895597944036012E-3</v>
      </c>
      <c r="BU5" s="805">
        <f t="shared" ref="BU5" si="19">BU3/BQ3-1</f>
        <v>3.9668522458629285E-2</v>
      </c>
      <c r="BV5" s="805">
        <f t="shared" ref="BV5" si="20">BV3/BR3-1</f>
        <v>5.756393825803463E-2</v>
      </c>
      <c r="BW5" s="805">
        <f t="shared" ref="BW5" si="21">BW3/BS3-1</f>
        <v>6.6248508228798686E-2</v>
      </c>
      <c r="CJ5" s="820"/>
      <c r="CK5" s="804">
        <f>CK4/CJ4-1</f>
        <v>0.5064272196087789</v>
      </c>
      <c r="CL5" s="804">
        <f t="shared" ref="CL5:CP5" si="22">CL4/CK4-1</f>
        <v>-2.2455343751654144E-2</v>
      </c>
      <c r="CM5" s="804">
        <f t="shared" si="22"/>
        <v>8.6691352926066001E-2</v>
      </c>
      <c r="CN5" s="804">
        <f t="shared" si="22"/>
        <v>3.8235076223370301E-2</v>
      </c>
      <c r="CO5" s="804">
        <f t="shared" si="22"/>
        <v>3.7658667989835415E-2</v>
      </c>
      <c r="CP5" s="804">
        <f t="shared" si="22"/>
        <v>3.7090241615290731E-2</v>
      </c>
      <c r="CQ5" s="820"/>
      <c r="CR5" s="820"/>
      <c r="CS5" s="820"/>
      <c r="CT5" s="820"/>
      <c r="CU5" s="820"/>
      <c r="CV5" s="820"/>
      <c r="CW5" s="820"/>
      <c r="CX5" s="820"/>
      <c r="CY5" s="820"/>
      <c r="CZ5" s="820"/>
      <c r="DA5" s="820"/>
      <c r="DB5" s="820"/>
      <c r="DC5" s="820"/>
      <c r="DD5" s="820"/>
      <c r="DE5" s="820"/>
      <c r="DF5" s="820"/>
      <c r="DG5" s="7"/>
      <c r="DH5" s="7"/>
      <c r="DI5" s="7"/>
      <c r="DJ5" s="7"/>
    </row>
    <row r="6" spans="1:114" ht="15">
      <c r="B6" s="466" t="s">
        <v>264</v>
      </c>
      <c r="C6" s="8"/>
      <c r="D6" s="529" t="str">
        <f>IS!D5</f>
        <v>C4Q02A</v>
      </c>
      <c r="E6" s="530" t="str">
        <f>IS!E5</f>
        <v>C1Q03A</v>
      </c>
      <c r="F6" s="530" t="str">
        <f>IS!F5</f>
        <v>C2Q03A</v>
      </c>
      <c r="G6" s="530" t="str">
        <f>IS!G5</f>
        <v>C3Q03A</v>
      </c>
      <c r="H6" s="529" t="str">
        <f>IS!H5</f>
        <v>C4Q03A</v>
      </c>
      <c r="I6" s="530" t="str">
        <f>IS!I5</f>
        <v>C1Q04A</v>
      </c>
      <c r="J6" s="530" t="str">
        <f>IS!J5</f>
        <v>C2Q04A</v>
      </c>
      <c r="K6" s="530" t="str">
        <f>IS!K5</f>
        <v>C3Q04A</v>
      </c>
      <c r="L6" s="529" t="str">
        <f>IS!L5</f>
        <v>C4Q04A</v>
      </c>
      <c r="M6" s="530" t="str">
        <f>IS!M5</f>
        <v>C1Q05A</v>
      </c>
      <c r="N6" s="530" t="str">
        <f>IS!N5</f>
        <v>C2Q05A</v>
      </c>
      <c r="O6" s="530" t="str">
        <f>IS!O5</f>
        <v>C3Q05A</v>
      </c>
      <c r="P6" s="529" t="str">
        <f>IS!P5</f>
        <v>C4Q05A</v>
      </c>
      <c r="Q6" s="530" t="str">
        <f>IS!Q5</f>
        <v>C1Q06A</v>
      </c>
      <c r="R6" s="530" t="str">
        <f>IS!R5</f>
        <v>C2Q06A</v>
      </c>
      <c r="S6" s="530" t="str">
        <f>IS!S5</f>
        <v>C3Q06A</v>
      </c>
      <c r="T6" s="529" t="str">
        <f>IS!T5</f>
        <v>C4Q06A</v>
      </c>
      <c r="U6" s="530" t="str">
        <f>IS!U5</f>
        <v>C1Q07A</v>
      </c>
      <c r="V6" s="530" t="str">
        <f>IS!V5</f>
        <v>C2Q07A</v>
      </c>
      <c r="W6" s="530" t="str">
        <f>IS!W5</f>
        <v>C3Q07A</v>
      </c>
      <c r="X6" s="529" t="str">
        <f>IS!X5</f>
        <v>C4Q07A</v>
      </c>
      <c r="Y6" s="530" t="str">
        <f>IS!Y5</f>
        <v>C1Q08A</v>
      </c>
      <c r="Z6" s="530" t="str">
        <f>IS!Z5</f>
        <v>C2Q08A</v>
      </c>
      <c r="AA6" s="530" t="str">
        <f>IS!AA5</f>
        <v>C3Q08A</v>
      </c>
      <c r="AB6" s="529" t="str">
        <f>IS!AB5</f>
        <v>C4Q08A</v>
      </c>
      <c r="AC6" s="530" t="str">
        <f>IS!AC5</f>
        <v>C1Q09A</v>
      </c>
      <c r="AD6" s="530" t="str">
        <f>IS!AD5</f>
        <v>C2Q09A</v>
      </c>
      <c r="AE6" s="530" t="str">
        <f>IS!AE5</f>
        <v>C3Q09A</v>
      </c>
      <c r="AF6" s="529" t="str">
        <f>IS!AF5</f>
        <v>C4Q09A</v>
      </c>
      <c r="AG6" s="530" t="str">
        <f>IS!AG5</f>
        <v>C1Q10A</v>
      </c>
      <c r="AH6" s="530" t="str">
        <f>IS!AH5</f>
        <v>C2Q10A</v>
      </c>
      <c r="AI6" s="530" t="str">
        <f>IS!AI5</f>
        <v>C3Q10A</v>
      </c>
      <c r="AJ6" s="529" t="str">
        <f>IS!AJ5</f>
        <v>C4Q10A</v>
      </c>
      <c r="AK6" s="530" t="str">
        <f>IS!AK5</f>
        <v>C1Q11A</v>
      </c>
      <c r="AL6" s="530" t="str">
        <f>IS!AL5</f>
        <v>C2Q11A</v>
      </c>
      <c r="AM6" s="530" t="str">
        <f>IS!AM5</f>
        <v>C3Q11A</v>
      </c>
      <c r="AN6" s="529" t="str">
        <f>IS!AN5</f>
        <v>C4Q11A</v>
      </c>
      <c r="AO6" s="530" t="str">
        <f>IS!AO5</f>
        <v>C1Q12A</v>
      </c>
      <c r="AP6" s="530" t="str">
        <f>IS!AP5</f>
        <v>C2Q12A</v>
      </c>
      <c r="AQ6" s="530" t="str">
        <f>IS!AQ5</f>
        <v>C3Q12A</v>
      </c>
      <c r="AR6" s="529" t="str">
        <f>IS!AR5</f>
        <v>C4Q12A</v>
      </c>
      <c r="AS6" s="530" t="str">
        <f>IS!AS5</f>
        <v>C1Q13A</v>
      </c>
      <c r="AT6" s="530" t="str">
        <f>IS!AT5</f>
        <v>C2Q13A</v>
      </c>
      <c r="AU6" s="531" t="str">
        <f>IS!AU5</f>
        <v>C3Q13A</v>
      </c>
      <c r="AV6" s="529" t="str">
        <f>IS!AV5</f>
        <v>C4Q13A</v>
      </c>
      <c r="AW6" s="530" t="str">
        <f>IS!AW5</f>
        <v>C1Q14A</v>
      </c>
      <c r="AX6" s="530" t="str">
        <f>IS!AX5</f>
        <v>C2Q14A</v>
      </c>
      <c r="AY6" s="531" t="str">
        <f>IS!AY5</f>
        <v>C3Q14A</v>
      </c>
      <c r="AZ6" s="529" t="str">
        <f>IS!AZ5</f>
        <v>C4Q14A</v>
      </c>
      <c r="BA6" s="530" t="str">
        <f>IS!BA5</f>
        <v>C1Q15A</v>
      </c>
      <c r="BB6" s="530" t="str">
        <f>IS!BB5</f>
        <v>C2Q15A</v>
      </c>
      <c r="BC6" s="531" t="str">
        <f>IS!BC5</f>
        <v>C3Q15A</v>
      </c>
      <c r="BD6" s="529" t="str">
        <f>IS!BD5</f>
        <v>C4Q15A</v>
      </c>
      <c r="BE6" s="530" t="str">
        <f>IS!BE5</f>
        <v>C1Q16A</v>
      </c>
      <c r="BF6" s="530" t="str">
        <f>IS!BF5</f>
        <v>C2Q16A</v>
      </c>
      <c r="BG6" s="531" t="str">
        <f>IS!BG5</f>
        <v>C3Q16A</v>
      </c>
      <c r="BH6" s="893" t="str">
        <f>IS!BH5</f>
        <v>C4Q16A</v>
      </c>
      <c r="BI6" s="894" t="str">
        <f>IS!BI5</f>
        <v>C1Q17A</v>
      </c>
      <c r="BJ6" s="894" t="str">
        <f>IS!BJ5</f>
        <v>C2Q17A</v>
      </c>
      <c r="BK6" s="895" t="str">
        <f>IS!BK5</f>
        <v>C3Q17A</v>
      </c>
      <c r="BL6" s="530" t="str">
        <f>IS!BL5</f>
        <v>C4Q17A</v>
      </c>
      <c r="BM6" s="530" t="str">
        <f>IS!BM5</f>
        <v>C1Q18E</v>
      </c>
      <c r="BN6" s="530" t="str">
        <f>IS!BN5</f>
        <v>C2Q18E</v>
      </c>
      <c r="BO6" s="531" t="str">
        <f>IS!BO5</f>
        <v>C3Q18E</v>
      </c>
      <c r="BP6" s="530" t="str">
        <f>IS!BP5</f>
        <v>C4Q18E</v>
      </c>
      <c r="BQ6" s="530" t="str">
        <f>IS!BQ5</f>
        <v>C1Q19E</v>
      </c>
      <c r="BR6" s="530" t="str">
        <f>IS!BR5</f>
        <v>C2Q19E</v>
      </c>
      <c r="BS6" s="531" t="str">
        <f>IS!BS5</f>
        <v>C3Q19E</v>
      </c>
      <c r="BT6" s="894" t="str">
        <f>IS!BT5</f>
        <v>C4Q19E</v>
      </c>
      <c r="BU6" s="894" t="str">
        <f>IS!BU5</f>
        <v>C1Q20E</v>
      </c>
      <c r="BV6" s="894" t="str">
        <f>IS!BV5</f>
        <v>C2Q20E</v>
      </c>
      <c r="BW6" s="895" t="str">
        <f>IS!BW5</f>
        <v>C3Q20E</v>
      </c>
      <c r="BX6" s="509"/>
      <c r="CJ6" s="105"/>
      <c r="CK6" s="712"/>
      <c r="CL6" s="712"/>
      <c r="CM6" s="712"/>
      <c r="CN6" s="712"/>
      <c r="CO6" s="712"/>
      <c r="CP6" s="712"/>
      <c r="CZ6" s="806">
        <f>CZ33+CZ9+CZ43</f>
        <v>1171.7759999999998</v>
      </c>
      <c r="DA6" s="806"/>
      <c r="DB6" s="806"/>
      <c r="DC6" s="105"/>
      <c r="DD6" s="105"/>
      <c r="DE6" s="105"/>
      <c r="DF6" s="105"/>
      <c r="DG6" s="7"/>
      <c r="DH6" s="7"/>
      <c r="DI6" s="7"/>
      <c r="DJ6" s="7"/>
    </row>
    <row r="7" spans="1:114" ht="15">
      <c r="B7" s="467" t="s">
        <v>115</v>
      </c>
      <c r="D7" s="534">
        <f>IS!D6</f>
        <v>37620</v>
      </c>
      <c r="E7" s="532">
        <f>IS!E6</f>
        <v>37711</v>
      </c>
      <c r="F7" s="532">
        <f>IS!F6</f>
        <v>37802</v>
      </c>
      <c r="G7" s="532">
        <f>IS!G6</f>
        <v>37894</v>
      </c>
      <c r="H7" s="534">
        <f>IS!H6</f>
        <v>37985</v>
      </c>
      <c r="I7" s="532">
        <f>IS!I6</f>
        <v>38077</v>
      </c>
      <c r="J7" s="532">
        <f>IS!J6</f>
        <v>38168</v>
      </c>
      <c r="K7" s="532">
        <f>IS!K6</f>
        <v>38260</v>
      </c>
      <c r="L7" s="534">
        <f>IS!L6</f>
        <v>38351</v>
      </c>
      <c r="M7" s="532">
        <f>IS!M6</f>
        <v>38442</v>
      </c>
      <c r="N7" s="532">
        <f>IS!N6</f>
        <v>38533</v>
      </c>
      <c r="O7" s="532">
        <f>IS!O6</f>
        <v>38625</v>
      </c>
      <c r="P7" s="534">
        <f>IS!P6</f>
        <v>38716</v>
      </c>
      <c r="Q7" s="532">
        <f>IS!Q6</f>
        <v>38807</v>
      </c>
      <c r="R7" s="532">
        <f>IS!R6</f>
        <v>38898</v>
      </c>
      <c r="S7" s="532">
        <f>IS!S6</f>
        <v>38990</v>
      </c>
      <c r="T7" s="534">
        <f>IS!T6</f>
        <v>39081</v>
      </c>
      <c r="U7" s="532">
        <f>IS!U6</f>
        <v>39172</v>
      </c>
      <c r="V7" s="532">
        <f>IS!V6</f>
        <v>39263</v>
      </c>
      <c r="W7" s="532">
        <f>IS!W6</f>
        <v>39355</v>
      </c>
      <c r="X7" s="534">
        <f>IS!X6</f>
        <v>39446</v>
      </c>
      <c r="Y7" s="532">
        <f>IS!Y6</f>
        <v>39538</v>
      </c>
      <c r="Z7" s="532">
        <f>IS!Z6</f>
        <v>39629</v>
      </c>
      <c r="AA7" s="532">
        <f>IS!AA6</f>
        <v>39721</v>
      </c>
      <c r="AB7" s="534">
        <f>IS!AB6</f>
        <v>39813</v>
      </c>
      <c r="AC7" s="532">
        <f>IS!AC6</f>
        <v>39903</v>
      </c>
      <c r="AD7" s="532">
        <f>IS!AD6</f>
        <v>39994</v>
      </c>
      <c r="AE7" s="533">
        <f>IS!AE6</f>
        <v>40086</v>
      </c>
      <c r="AF7" s="534">
        <f>IS!AF6</f>
        <v>40178</v>
      </c>
      <c r="AG7" s="532">
        <f>IS!AG6</f>
        <v>40268</v>
      </c>
      <c r="AH7" s="532">
        <f>IS!AH6</f>
        <v>40359</v>
      </c>
      <c r="AI7" s="533">
        <f>IS!AI6</f>
        <v>40451</v>
      </c>
      <c r="AJ7" s="534">
        <f>IS!AJ6</f>
        <v>40543</v>
      </c>
      <c r="AK7" s="532">
        <f>IS!AK6</f>
        <v>40633</v>
      </c>
      <c r="AL7" s="532">
        <f>IS!AL6</f>
        <v>40724</v>
      </c>
      <c r="AM7" s="533">
        <f>IS!AM6</f>
        <v>40816</v>
      </c>
      <c r="AN7" s="534">
        <f>IS!AN6</f>
        <v>40908</v>
      </c>
      <c r="AO7" s="532">
        <f>IS!AO6</f>
        <v>40999</v>
      </c>
      <c r="AP7" s="532">
        <f>IS!AP6</f>
        <v>41090</v>
      </c>
      <c r="AQ7" s="532">
        <f>IS!AQ6</f>
        <v>41182</v>
      </c>
      <c r="AR7" s="534">
        <f>IS!AR6</f>
        <v>41274</v>
      </c>
      <c r="AS7" s="532">
        <f>IS!AS6</f>
        <v>41364</v>
      </c>
      <c r="AT7" s="532">
        <f>IS!AT6</f>
        <v>41455</v>
      </c>
      <c r="AU7" s="533">
        <f>IS!AU6</f>
        <v>41547</v>
      </c>
      <c r="AV7" s="534">
        <f>IS!AV6</f>
        <v>41639</v>
      </c>
      <c r="AW7" s="532">
        <f>IS!AW6</f>
        <v>41729</v>
      </c>
      <c r="AX7" s="532">
        <f>IS!AX6</f>
        <v>41820</v>
      </c>
      <c r="AY7" s="533">
        <f>IS!AY6</f>
        <v>41912</v>
      </c>
      <c r="AZ7" s="534">
        <f>IS!AZ6</f>
        <v>42004</v>
      </c>
      <c r="BA7" s="532">
        <f>IS!BA6</f>
        <v>42094</v>
      </c>
      <c r="BB7" s="532">
        <f>IS!BB6</f>
        <v>42185</v>
      </c>
      <c r="BC7" s="533">
        <f>IS!BC6</f>
        <v>42277</v>
      </c>
      <c r="BD7" s="534">
        <f>IS!BD6</f>
        <v>42369</v>
      </c>
      <c r="BE7" s="532">
        <f>IS!BE6</f>
        <v>42460</v>
      </c>
      <c r="BF7" s="532">
        <f>IS!BF6</f>
        <v>42551</v>
      </c>
      <c r="BG7" s="533">
        <f>IS!BG6</f>
        <v>42643</v>
      </c>
      <c r="BH7" s="898">
        <f>IS!BH6</f>
        <v>42735</v>
      </c>
      <c r="BI7" s="896">
        <f>IS!BI6</f>
        <v>42825</v>
      </c>
      <c r="BJ7" s="896">
        <f>IS!BJ6</f>
        <v>42916</v>
      </c>
      <c r="BK7" s="897">
        <f>IS!BK6</f>
        <v>43008</v>
      </c>
      <c r="BL7" s="532">
        <f>IS!BL6</f>
        <v>43100</v>
      </c>
      <c r="BM7" s="532">
        <f>IS!BM6</f>
        <v>43190</v>
      </c>
      <c r="BN7" s="532">
        <f>IS!BN6</f>
        <v>43281</v>
      </c>
      <c r="BO7" s="533">
        <f>IS!BO6</f>
        <v>43373</v>
      </c>
      <c r="BP7" s="532">
        <f>IS!BP6</f>
        <v>43465</v>
      </c>
      <c r="BQ7" s="532">
        <f>IS!BQ6</f>
        <v>43555</v>
      </c>
      <c r="BR7" s="532">
        <f>IS!BR6</f>
        <v>43646</v>
      </c>
      <c r="BS7" s="533">
        <f>IS!BS6</f>
        <v>43738</v>
      </c>
      <c r="BT7" s="896">
        <f>IS!BT6</f>
        <v>43830</v>
      </c>
      <c r="BU7" s="896">
        <f>IS!BU6</f>
        <v>43921</v>
      </c>
      <c r="BV7" s="896">
        <f>IS!BV6</f>
        <v>44012</v>
      </c>
      <c r="BW7" s="897">
        <f>IS!BW6</f>
        <v>44104</v>
      </c>
      <c r="BX7" s="509"/>
      <c r="CC7" s="23"/>
      <c r="CD7" s="23"/>
      <c r="CE7" s="23"/>
      <c r="CJ7" s="105"/>
      <c r="CZ7" s="23"/>
      <c r="DA7" s="23"/>
      <c r="DB7" s="23"/>
      <c r="DC7" s="23"/>
      <c r="DD7" s="23"/>
      <c r="DE7" s="23"/>
      <c r="DF7" s="23"/>
      <c r="DG7" s="7"/>
      <c r="DH7" s="7"/>
      <c r="DI7" s="7"/>
      <c r="DJ7" s="7"/>
    </row>
    <row r="8" spans="1:114" ht="15">
      <c r="B8" s="468"/>
      <c r="C8" s="10"/>
      <c r="D8" s="529" t="str">
        <f>IS!D7</f>
        <v>F1Q03A</v>
      </c>
      <c r="E8" s="530" t="str">
        <f>IS!E7</f>
        <v>F2Q03A</v>
      </c>
      <c r="F8" s="530" t="str">
        <f>IS!F7</f>
        <v>F3Q03A</v>
      </c>
      <c r="G8" s="530" t="str">
        <f>IS!G7</f>
        <v>F4Q03A</v>
      </c>
      <c r="H8" s="529" t="str">
        <f>IS!H7</f>
        <v>F1Q04A</v>
      </c>
      <c r="I8" s="530" t="str">
        <f>IS!I7</f>
        <v>F2Q04A</v>
      </c>
      <c r="J8" s="530" t="str">
        <f>IS!J7</f>
        <v>F3Q04A</v>
      </c>
      <c r="K8" s="530" t="str">
        <f>IS!K7</f>
        <v>F4Q04A</v>
      </c>
      <c r="L8" s="529" t="str">
        <f>IS!L7</f>
        <v>F1Q05A</v>
      </c>
      <c r="M8" s="530" t="str">
        <f>IS!M7</f>
        <v>F2Q05A</v>
      </c>
      <c r="N8" s="530" t="str">
        <f>IS!N7</f>
        <v>F3Q05A</v>
      </c>
      <c r="O8" s="530" t="str">
        <f>IS!O7</f>
        <v>F4Q05A</v>
      </c>
      <c r="P8" s="529" t="str">
        <f>IS!P7</f>
        <v>F1Q06A</v>
      </c>
      <c r="Q8" s="530" t="str">
        <f>IS!Q7</f>
        <v>F2Q06A</v>
      </c>
      <c r="R8" s="530" t="str">
        <f>IS!R7</f>
        <v>F3Q06A</v>
      </c>
      <c r="S8" s="530" t="str">
        <f>IS!S7</f>
        <v>F4Q06A</v>
      </c>
      <c r="T8" s="529" t="str">
        <f>IS!T7</f>
        <v>F1Q07A</v>
      </c>
      <c r="U8" s="530" t="str">
        <f>IS!U7</f>
        <v>F2Q07A</v>
      </c>
      <c r="V8" s="530" t="str">
        <f>IS!V7</f>
        <v>F3Q07A</v>
      </c>
      <c r="W8" s="530" t="str">
        <f>IS!W7</f>
        <v>F4Q07A</v>
      </c>
      <c r="X8" s="529" t="str">
        <f>IS!X7</f>
        <v>F1Q08A</v>
      </c>
      <c r="Y8" s="530" t="str">
        <f>IS!Y7</f>
        <v>F2Q08A</v>
      </c>
      <c r="Z8" s="530" t="str">
        <f>IS!Z7</f>
        <v>F3Q08A</v>
      </c>
      <c r="AA8" s="530" t="str">
        <f>IS!AA7</f>
        <v>F4Q08A</v>
      </c>
      <c r="AB8" s="529" t="str">
        <f>IS!AB7</f>
        <v>F1Q09A</v>
      </c>
      <c r="AC8" s="530" t="str">
        <f>IS!AC7</f>
        <v>F2Q09A</v>
      </c>
      <c r="AD8" s="530" t="str">
        <f>IS!AD7</f>
        <v>F3Q09A</v>
      </c>
      <c r="AE8" s="530" t="str">
        <f>IS!AE7</f>
        <v>F4Q09A</v>
      </c>
      <c r="AF8" s="529" t="str">
        <f>IS!AF7</f>
        <v>F1Q10A</v>
      </c>
      <c r="AG8" s="530" t="str">
        <f>IS!AG7</f>
        <v>F2Q10A</v>
      </c>
      <c r="AH8" s="530" t="str">
        <f>IS!AH7</f>
        <v>F3Q10A</v>
      </c>
      <c r="AI8" s="530" t="str">
        <f>IS!AI7</f>
        <v>F4Q10A</v>
      </c>
      <c r="AJ8" s="529" t="str">
        <f>IS!AJ7</f>
        <v>F1Q11A</v>
      </c>
      <c r="AK8" s="530" t="str">
        <f>IS!AK7</f>
        <v>F2Q11A</v>
      </c>
      <c r="AL8" s="530" t="str">
        <f>IS!AL7</f>
        <v>F3Q11A</v>
      </c>
      <c r="AM8" s="530" t="str">
        <f>IS!AM7</f>
        <v>F4Q11A</v>
      </c>
      <c r="AN8" s="529" t="str">
        <f>IS!AN7</f>
        <v>F1Q12A</v>
      </c>
      <c r="AO8" s="530" t="str">
        <f>IS!AO7</f>
        <v>F2Q12A</v>
      </c>
      <c r="AP8" s="530" t="str">
        <f>IS!AP7</f>
        <v>F3Q12A</v>
      </c>
      <c r="AQ8" s="530" t="str">
        <f>IS!AQ7</f>
        <v>F4Q12A</v>
      </c>
      <c r="AR8" s="529" t="str">
        <f>IS!AR7</f>
        <v>F1Q13A</v>
      </c>
      <c r="AS8" s="530" t="str">
        <f>IS!AS7</f>
        <v>F2Q13A</v>
      </c>
      <c r="AT8" s="530" t="str">
        <f>IS!AT7</f>
        <v>F3Q13A</v>
      </c>
      <c r="AU8" s="531" t="str">
        <f>IS!AU7</f>
        <v>F4Q13A</v>
      </c>
      <c r="AV8" s="529" t="str">
        <f>IS!AV7</f>
        <v>F1Q14A</v>
      </c>
      <c r="AW8" s="530" t="str">
        <f>IS!AW7</f>
        <v>F2Q14A</v>
      </c>
      <c r="AX8" s="530" t="str">
        <f>IS!AX7</f>
        <v>F3Q14A</v>
      </c>
      <c r="AY8" s="531" t="str">
        <f>IS!AY7</f>
        <v>F4Q14A</v>
      </c>
      <c r="AZ8" s="529" t="str">
        <f>IS!AZ7</f>
        <v>F1Q15A</v>
      </c>
      <c r="BA8" s="530" t="str">
        <f>IS!BA7</f>
        <v>F2Q15A</v>
      </c>
      <c r="BB8" s="530" t="str">
        <f>IS!BB7</f>
        <v>F3Q15A</v>
      </c>
      <c r="BC8" s="531" t="str">
        <f>IS!BC7</f>
        <v>F4Q15A</v>
      </c>
      <c r="BD8" s="529" t="str">
        <f>IS!BD7</f>
        <v>F1Q16A</v>
      </c>
      <c r="BE8" s="530" t="str">
        <f>IS!BE7</f>
        <v>F2Q16A</v>
      </c>
      <c r="BF8" s="530" t="str">
        <f>IS!BF7</f>
        <v>F3Q16A</v>
      </c>
      <c r="BG8" s="531" t="str">
        <f>IS!BG7</f>
        <v>F4Q16A</v>
      </c>
      <c r="BH8" s="893" t="str">
        <f>IS!BH7</f>
        <v>F1Q17A</v>
      </c>
      <c r="BI8" s="894" t="str">
        <f>IS!BI7</f>
        <v>F2Q17A</v>
      </c>
      <c r="BJ8" s="894" t="str">
        <f>IS!BJ7</f>
        <v>F3Q17A</v>
      </c>
      <c r="BK8" s="895" t="str">
        <f>IS!BK7</f>
        <v>F4Q17A</v>
      </c>
      <c r="BL8" s="530" t="str">
        <f>IS!BL7</f>
        <v>F1Q18A</v>
      </c>
      <c r="BM8" s="530" t="str">
        <f>IS!BM7</f>
        <v>F2Q18E</v>
      </c>
      <c r="BN8" s="530" t="str">
        <f>IS!BN7</f>
        <v>F3Q18E</v>
      </c>
      <c r="BO8" s="531" t="str">
        <f>IS!BO7</f>
        <v>F4Q18E</v>
      </c>
      <c r="BP8" s="530" t="str">
        <f>IS!BP7</f>
        <v>F1Q19E</v>
      </c>
      <c r="BQ8" s="530" t="str">
        <f>IS!BQ7</f>
        <v>F2Q19E</v>
      </c>
      <c r="BR8" s="530" t="str">
        <f>IS!BR7</f>
        <v>F3Q19E</v>
      </c>
      <c r="BS8" s="531" t="str">
        <f>IS!BS7</f>
        <v>F4Q19E</v>
      </c>
      <c r="BT8" s="894" t="str">
        <f>IS!BT7</f>
        <v>F1Q20E</v>
      </c>
      <c r="BU8" s="894" t="str">
        <f>IS!BU7</f>
        <v>F2Q20E</v>
      </c>
      <c r="BV8" s="894" t="str">
        <f>IS!BV7</f>
        <v>F3Q20E</v>
      </c>
      <c r="BW8" s="895" t="str">
        <f>IS!BW7</f>
        <v>F4Q20E</v>
      </c>
      <c r="BX8" s="509"/>
      <c r="BY8" s="11" t="e">
        <f>IS!BY7</f>
        <v>#NAME?</v>
      </c>
      <c r="BZ8" s="12" t="e">
        <f>IS!BZ7</f>
        <v>#NAME?</v>
      </c>
      <c r="CA8" s="12" t="e">
        <f>IS!CA7</f>
        <v>#NAME?</v>
      </c>
      <c r="CB8" s="12" t="e">
        <f>IS!CB7</f>
        <v>#NAME?</v>
      </c>
      <c r="CC8" s="813" t="e">
        <f>IS!CC7</f>
        <v>#NAME?</v>
      </c>
      <c r="CD8" s="808" t="e">
        <f>IS!CD7</f>
        <v>#NAME?</v>
      </c>
      <c r="CE8" s="813" t="e">
        <f>IS!CE7</f>
        <v>#NAME?</v>
      </c>
      <c r="CF8" s="12" t="e">
        <f>IS!CF7</f>
        <v>#NAME?</v>
      </c>
      <c r="CG8" s="12" t="e">
        <f>IS!CG7</f>
        <v>#NAME?</v>
      </c>
      <c r="CH8" s="12" t="e">
        <f>IS!CH7</f>
        <v>#NAME?</v>
      </c>
      <c r="CI8" s="879" t="str">
        <f>IS!CI7</f>
        <v>FY2013A</v>
      </c>
      <c r="CJ8" s="877" t="str">
        <f>IS!CJ7</f>
        <v>FY2014A</v>
      </c>
      <c r="CK8" s="12" t="str">
        <f>IS!CK7</f>
        <v>FY2015A</v>
      </c>
      <c r="CL8" s="12" t="str">
        <f>IS!CL7</f>
        <v>FY2016A</v>
      </c>
      <c r="CM8" s="12" t="str">
        <f>IS!CM7</f>
        <v>FY2017A</v>
      </c>
      <c r="CN8" s="12" t="str">
        <f>IS!CN7</f>
        <v>FY2018E</v>
      </c>
      <c r="CO8" s="878" t="str">
        <f>IS!CO7</f>
        <v>FY2019E</v>
      </c>
      <c r="CP8" s="879" t="str">
        <f>IS!CP7</f>
        <v>FY2020E</v>
      </c>
      <c r="CQ8" s="104"/>
      <c r="CR8" s="631" t="str">
        <f>IS!CR6</f>
        <v>CY2005</v>
      </c>
      <c r="CS8" s="633" t="str">
        <f>IS!CS6</f>
        <v>CY2006</v>
      </c>
      <c r="CT8" s="633" t="str">
        <f>IS!CT6</f>
        <v>CY2007</v>
      </c>
      <c r="CU8" s="633" t="str">
        <f>IS!CU6</f>
        <v>CY2008</v>
      </c>
      <c r="CV8" s="633" t="str">
        <f>IS!CV6</f>
        <v>CY2009</v>
      </c>
      <c r="CW8" s="633" t="str">
        <f>IS!CW6</f>
        <v>CY2010</v>
      </c>
      <c r="CX8" s="633" t="str">
        <f>IS!CX6</f>
        <v>CY2011</v>
      </c>
      <c r="CY8" s="633" t="str">
        <f>IS!CY6</f>
        <v>CY2012</v>
      </c>
      <c r="CZ8" s="633" t="str">
        <f>IS!CZ6</f>
        <v>CY2013</v>
      </c>
      <c r="DA8" s="633" t="str">
        <f>IS!DA6</f>
        <v>CY2014</v>
      </c>
      <c r="DB8" s="633" t="str">
        <f>IS!DB6</f>
        <v>CY2015</v>
      </c>
      <c r="DC8" s="633" t="str">
        <f>IS!DC6</f>
        <v>CY2016</v>
      </c>
      <c r="DD8" s="902" t="str">
        <f>IS!DD6</f>
        <v>CY2017</v>
      </c>
      <c r="DE8" s="902" t="str">
        <f>IS!DE6</f>
        <v>CY2018</v>
      </c>
      <c r="DF8" s="876" t="str">
        <f>IS!DF6</f>
        <v>CY2019</v>
      </c>
      <c r="DG8" s="7"/>
      <c r="DH8" s="7"/>
      <c r="DI8" s="7"/>
      <c r="DJ8" s="7"/>
    </row>
    <row r="9" spans="1:114" ht="15" hidden="1" outlineLevel="1">
      <c r="B9" s="417" t="s">
        <v>269</v>
      </c>
      <c r="D9" s="425">
        <f t="shared" ref="D9:K9" si="23">D67-D27</f>
        <v>120.1455</v>
      </c>
      <c r="E9" s="426">
        <f t="shared" si="23"/>
        <v>118.023</v>
      </c>
      <c r="F9" s="426">
        <f t="shared" si="23"/>
        <v>115.65323000000001</v>
      </c>
      <c r="G9" s="427">
        <f t="shared" si="23"/>
        <v>115.52464000000001</v>
      </c>
      <c r="H9" s="425">
        <f t="shared" si="23"/>
        <v>131.33100000000002</v>
      </c>
      <c r="I9" s="426">
        <f t="shared" si="23"/>
        <v>137.60325</v>
      </c>
      <c r="J9" s="426">
        <f t="shared" si="23"/>
        <v>159.68029000000001</v>
      </c>
      <c r="K9" s="427">
        <f t="shared" si="23"/>
        <v>167.91158999999996</v>
      </c>
      <c r="L9" s="428">
        <f>L12*L67</f>
        <v>77.055999999999997</v>
      </c>
      <c r="M9" s="426">
        <f>M12*M67</f>
        <v>31.675499999999996</v>
      </c>
      <c r="N9" s="426">
        <f>N12*N67</f>
        <v>57.459600000000002</v>
      </c>
      <c r="O9" s="427">
        <f t="shared" ref="O9:AI9" si="24">O67-O27</f>
        <v>211.82237999999995</v>
      </c>
      <c r="P9" s="425">
        <f t="shared" si="24"/>
        <v>148.74374999999998</v>
      </c>
      <c r="Q9" s="426">
        <f t="shared" si="24"/>
        <v>138.9255</v>
      </c>
      <c r="R9" s="426">
        <f t="shared" si="24"/>
        <v>151.73465999999999</v>
      </c>
      <c r="S9" s="427">
        <f t="shared" si="24"/>
        <v>148.71240999999998</v>
      </c>
      <c r="T9" s="425">
        <f t="shared" si="24"/>
        <v>147.02250000000001</v>
      </c>
      <c r="U9" s="426">
        <f t="shared" si="24"/>
        <v>135.1575</v>
      </c>
      <c r="V9" s="426">
        <f t="shared" si="24"/>
        <v>134.7885</v>
      </c>
      <c r="W9" s="427">
        <f t="shared" si="24"/>
        <v>146.64957999999993</v>
      </c>
      <c r="X9" s="425">
        <f t="shared" si="24"/>
        <v>157.89974999999998</v>
      </c>
      <c r="Y9" s="426">
        <f t="shared" si="24"/>
        <v>151.28100000000001</v>
      </c>
      <c r="Z9" s="426">
        <f t="shared" si="24"/>
        <v>165.71170000000001</v>
      </c>
      <c r="AA9" s="427">
        <f t="shared" si="24"/>
        <v>179.07582000000005</v>
      </c>
      <c r="AB9" s="425">
        <f t="shared" si="24"/>
        <v>161.87556000000001</v>
      </c>
      <c r="AC9" s="426">
        <f t="shared" si="24"/>
        <v>133.20230000000001</v>
      </c>
      <c r="AD9" s="426">
        <f t="shared" si="24"/>
        <v>147.23400999999998</v>
      </c>
      <c r="AE9" s="427">
        <f t="shared" si="24"/>
        <v>182.51680000000002</v>
      </c>
      <c r="AF9" s="425">
        <f t="shared" si="24"/>
        <v>188.75626</v>
      </c>
      <c r="AG9" s="426">
        <f t="shared" si="24"/>
        <v>179.9848078</v>
      </c>
      <c r="AH9" s="426">
        <f t="shared" si="24"/>
        <v>213.41175000000001</v>
      </c>
      <c r="AI9" s="427">
        <f t="shared" si="24"/>
        <v>250.62639999999993</v>
      </c>
      <c r="AJ9" s="426">
        <f t="shared" ref="AJ9:AQ9" si="25">AJ12*AJ67</f>
        <v>234.58399999999997</v>
      </c>
      <c r="AK9" s="426">
        <f t="shared" si="25"/>
        <v>211.51715000000002</v>
      </c>
      <c r="AL9" s="426">
        <f t="shared" si="25"/>
        <v>231.44874999999999</v>
      </c>
      <c r="AM9" s="427">
        <f t="shared" si="25"/>
        <v>241.38959999999997</v>
      </c>
      <c r="AN9" s="426">
        <f t="shared" si="25"/>
        <v>275.61799999999999</v>
      </c>
      <c r="AO9" s="426">
        <f t="shared" si="25"/>
        <v>237.04850000000002</v>
      </c>
      <c r="AP9" s="426">
        <f t="shared" si="25"/>
        <v>252.87470000000002</v>
      </c>
      <c r="AQ9" s="426">
        <f t="shared" si="25"/>
        <v>252.6678</v>
      </c>
      <c r="AR9" s="425">
        <f>AR67*AR12</f>
        <v>272.23379999999997</v>
      </c>
      <c r="AS9" s="426">
        <f>AS67*AS12</f>
        <v>255.11999999999998</v>
      </c>
      <c r="AT9" s="426">
        <f>AT67*AT12</f>
        <v>261.66000000000003</v>
      </c>
      <c r="AU9" s="427">
        <f>AU67*AU12</f>
        <v>286.2</v>
      </c>
      <c r="AV9" s="425"/>
      <c r="AW9" s="426"/>
      <c r="AX9" s="426"/>
      <c r="AY9" s="427"/>
      <c r="AZ9" s="425"/>
      <c r="BA9" s="426"/>
      <c r="BB9" s="426"/>
      <c r="BC9" s="427"/>
      <c r="BD9" s="425"/>
      <c r="BE9" s="426"/>
      <c r="BF9" s="426"/>
      <c r="BG9" s="427"/>
      <c r="BH9" s="425"/>
      <c r="BI9" s="426"/>
      <c r="BJ9" s="426"/>
      <c r="BK9" s="427"/>
      <c r="BL9" s="426"/>
      <c r="BM9" s="426"/>
      <c r="BN9" s="426"/>
      <c r="BO9" s="427"/>
      <c r="BP9" s="426"/>
      <c r="BQ9" s="426"/>
      <c r="BR9" s="426"/>
      <c r="BS9" s="427"/>
      <c r="BT9" s="426"/>
      <c r="BU9" s="426"/>
      <c r="BV9" s="426"/>
      <c r="BW9" s="427"/>
      <c r="BX9" s="104"/>
      <c r="BY9" s="429">
        <f>SUM(D9:G9)</f>
        <v>469.34636999999998</v>
      </c>
      <c r="BZ9" s="429">
        <f>SUM(H9:K9)</f>
        <v>596.52612999999997</v>
      </c>
      <c r="CA9" s="429">
        <f>SUM(L9:O9)</f>
        <v>378.01347999999996</v>
      </c>
      <c r="CB9" s="429">
        <f>SUM(P9:S9)</f>
        <v>588.11631999999997</v>
      </c>
      <c r="CC9" s="429">
        <f>SUM(T9:W9)</f>
        <v>563.61807999999996</v>
      </c>
      <c r="CD9" s="429">
        <f>SUM(X9:AA9)</f>
        <v>653.96827000000008</v>
      </c>
      <c r="CE9" s="429">
        <f>SUM(AB9:AE9)</f>
        <v>624.82866999999999</v>
      </c>
      <c r="CF9" s="429">
        <f>SUM(AF9:AI9)</f>
        <v>832.77921779999997</v>
      </c>
      <c r="CG9" s="429">
        <f>SUM(AJ9:AM9)</f>
        <v>918.93949999999995</v>
      </c>
      <c r="CH9" s="429">
        <f>SUM(AN9:AQ9)</f>
        <v>1018.2090000000001</v>
      </c>
      <c r="CI9" s="430">
        <f>SUM(AR9:AU9)</f>
        <v>1075.2138</v>
      </c>
      <c r="CJ9" s="429"/>
      <c r="CK9" s="105"/>
      <c r="CN9" s="105"/>
      <c r="CO9" s="105"/>
      <c r="CP9" s="15"/>
      <c r="CQ9" s="104"/>
      <c r="CR9" s="193">
        <f>SUM(M9:P9)</f>
        <v>449.7012299999999</v>
      </c>
      <c r="CS9" s="75">
        <f>SUM(Q9:T9)</f>
        <v>586.39507000000003</v>
      </c>
      <c r="CT9" s="75">
        <f>SUM(U9:X9)</f>
        <v>574.49532999999997</v>
      </c>
      <c r="CU9" s="75">
        <f>SUM(Y9:AB9)</f>
        <v>657.94407999999999</v>
      </c>
      <c r="CV9" s="75">
        <f>SUM(AC9:AF9)</f>
        <v>651.70937000000004</v>
      </c>
      <c r="CW9" s="75">
        <f>SUM(AG9:AJ9)</f>
        <v>878.6069577999998</v>
      </c>
      <c r="CX9" s="75">
        <f>SUM(AK9:AN9)</f>
        <v>959.97350000000006</v>
      </c>
      <c r="CY9" s="75">
        <f>SUM(AO9:AR9)</f>
        <v>1014.8248000000001</v>
      </c>
      <c r="CZ9" s="75">
        <f>SUM(AS9:AV9)</f>
        <v>802.98</v>
      </c>
      <c r="DA9" s="75"/>
      <c r="DB9" s="75"/>
      <c r="DC9" s="75"/>
      <c r="DD9" s="75"/>
      <c r="DE9" s="75"/>
      <c r="DF9" s="76"/>
      <c r="DG9" s="7"/>
      <c r="DH9" s="7"/>
      <c r="DI9" s="7"/>
      <c r="DJ9" s="7"/>
    </row>
    <row r="10" spans="1:114" ht="14.25" hidden="1" outlineLevel="1">
      <c r="B10" s="472" t="s">
        <v>275</v>
      </c>
      <c r="D10" s="414"/>
      <c r="E10" s="414">
        <f>E9/D9-1</f>
        <v>-1.7666079878147722E-2</v>
      </c>
      <c r="F10" s="414">
        <f>F9/E9-1</f>
        <v>-2.0078882929598363E-2</v>
      </c>
      <c r="G10" s="311">
        <f>G9/F9-1</f>
        <v>-1.1118582680310629E-3</v>
      </c>
      <c r="H10" s="414"/>
      <c r="I10" s="414">
        <f t="shared" ref="I10:O10" si="26">I9/H9-1</f>
        <v>4.7759097242844328E-2</v>
      </c>
      <c r="J10" s="414">
        <f t="shared" si="26"/>
        <v>0.16043981519331862</v>
      </c>
      <c r="K10" s="311">
        <f t="shared" si="26"/>
        <v>5.1548628825761389E-2</v>
      </c>
      <c r="L10" s="414">
        <f t="shared" si="26"/>
        <v>-0.54109183291040241</v>
      </c>
      <c r="M10" s="414">
        <f t="shared" si="26"/>
        <v>-0.58892883098006643</v>
      </c>
      <c r="N10" s="414">
        <f t="shared" si="26"/>
        <v>0.81400767154425369</v>
      </c>
      <c r="O10" s="311">
        <f t="shared" si="26"/>
        <v>2.6864576154376283</v>
      </c>
      <c r="P10" s="414"/>
      <c r="Q10" s="414">
        <f>Q9/P9-1</f>
        <v>-6.6007815454430685E-2</v>
      </c>
      <c r="R10" s="414">
        <f>R9/Q9-1</f>
        <v>9.2201647645680618E-2</v>
      </c>
      <c r="S10" s="311">
        <f>S9/R9-1</f>
        <v>-1.9917993687137869E-2</v>
      </c>
      <c r="T10" s="414"/>
      <c r="U10" s="414">
        <f>U9/T9-1</f>
        <v>-8.0701933377544277E-2</v>
      </c>
      <c r="V10" s="414">
        <f>V9/U9-1</f>
        <v>-2.7301481604794509E-3</v>
      </c>
      <c r="W10" s="311">
        <f>W9/V9-1</f>
        <v>8.7997714938588434E-2</v>
      </c>
      <c r="X10" s="414"/>
      <c r="Y10" s="414">
        <f t="shared" ref="Y10:AU10" si="27">Y9/X9-1</f>
        <v>-4.1917419121942689E-2</v>
      </c>
      <c r="Z10" s="414">
        <f t="shared" si="27"/>
        <v>9.5390035761265368E-2</v>
      </c>
      <c r="AA10" s="311">
        <f t="shared" si="27"/>
        <v>8.0646810092467991E-2</v>
      </c>
      <c r="AB10" s="414">
        <f t="shared" si="27"/>
        <v>-9.6050153504811719E-2</v>
      </c>
      <c r="AC10" s="414">
        <f t="shared" si="27"/>
        <v>-0.17713149532888106</v>
      </c>
      <c r="AD10" s="414">
        <f t="shared" si="27"/>
        <v>0.10534134921093696</v>
      </c>
      <c r="AE10" s="311">
        <f t="shared" si="27"/>
        <v>0.23963749951522773</v>
      </c>
      <c r="AF10" s="414">
        <f t="shared" si="27"/>
        <v>3.4185674962523782E-2</v>
      </c>
      <c r="AG10" s="414">
        <f t="shared" si="27"/>
        <v>-4.6469728739062743E-2</v>
      </c>
      <c r="AH10" s="414">
        <f t="shared" si="27"/>
        <v>0.18572090949556253</v>
      </c>
      <c r="AI10" s="311">
        <f t="shared" si="27"/>
        <v>0.1743795737582392</v>
      </c>
      <c r="AJ10" s="414">
        <f>AJ9/AI9-1</f>
        <v>-6.4009218502120935E-2</v>
      </c>
      <c r="AK10" s="414">
        <f>AK9/AJ9-1</f>
        <v>-9.8330875080994251E-2</v>
      </c>
      <c r="AL10" s="414">
        <f>AL9/AK9-1</f>
        <v>9.4231602496535061E-2</v>
      </c>
      <c r="AM10" s="311">
        <f t="shared" si="27"/>
        <v>4.2950545207092183E-2</v>
      </c>
      <c r="AN10" s="414">
        <f t="shared" si="27"/>
        <v>0.14179732681109725</v>
      </c>
      <c r="AO10" s="414">
        <f t="shared" si="27"/>
        <v>-0.13993824786479825</v>
      </c>
      <c r="AP10" s="414">
        <f t="shared" si="27"/>
        <v>6.6763552606323273E-2</v>
      </c>
      <c r="AQ10" s="310">
        <f t="shared" si="27"/>
        <v>-8.1819177640163332E-4</v>
      </c>
      <c r="AR10" s="309">
        <f t="shared" si="27"/>
        <v>7.7437647377307073E-2</v>
      </c>
      <c r="AS10" s="310">
        <f t="shared" si="27"/>
        <v>-6.2864346749007649E-2</v>
      </c>
      <c r="AT10" s="310">
        <f t="shared" si="27"/>
        <v>2.5634995296331287E-2</v>
      </c>
      <c r="AU10" s="311">
        <f t="shared" si="27"/>
        <v>9.3785828938316662E-2</v>
      </c>
      <c r="AV10" s="309"/>
      <c r="AW10" s="310"/>
      <c r="AX10" s="310"/>
      <c r="AY10" s="311"/>
      <c r="AZ10" s="309"/>
      <c r="BA10" s="310"/>
      <c r="BB10" s="310"/>
      <c r="BC10" s="311"/>
      <c r="BD10" s="309"/>
      <c r="BE10" s="310"/>
      <c r="BF10" s="310"/>
      <c r="BG10" s="311"/>
      <c r="BH10" s="309"/>
      <c r="BI10" s="310"/>
      <c r="BJ10" s="310"/>
      <c r="BK10" s="311"/>
      <c r="BL10" s="414"/>
      <c r="BM10" s="414"/>
      <c r="BN10" s="414"/>
      <c r="BO10" s="311"/>
      <c r="BP10" s="414"/>
      <c r="BQ10" s="414"/>
      <c r="BR10" s="414"/>
      <c r="BS10" s="311"/>
      <c r="BT10" s="414"/>
      <c r="BU10" s="414"/>
      <c r="BV10" s="414"/>
      <c r="BW10" s="311"/>
      <c r="BX10" s="104"/>
      <c r="BY10" s="310"/>
      <c r="BZ10" s="310"/>
      <c r="CA10" s="310"/>
      <c r="CB10" s="310"/>
      <c r="CC10" s="310"/>
      <c r="CD10" s="310"/>
      <c r="CE10" s="414"/>
      <c r="CF10" s="310"/>
      <c r="CG10" s="310"/>
      <c r="CH10" s="414"/>
      <c r="CI10" s="311"/>
      <c r="CJ10" s="310"/>
      <c r="CK10" s="105"/>
      <c r="CN10" s="105"/>
      <c r="CO10" s="105"/>
      <c r="CP10" s="15"/>
      <c r="CQ10" s="104"/>
      <c r="CR10" s="509"/>
      <c r="CS10" s="105"/>
      <c r="CT10" s="105"/>
      <c r="CV10" s="414"/>
      <c r="CW10" s="414"/>
      <c r="CX10" s="414"/>
      <c r="CY10" s="414"/>
      <c r="CZ10" s="310"/>
      <c r="DA10" s="310"/>
      <c r="DB10" s="310"/>
      <c r="DC10" s="310"/>
      <c r="DD10" s="310"/>
      <c r="DE10" s="310"/>
      <c r="DF10" s="311"/>
      <c r="DG10" s="7"/>
      <c r="DH10" s="7"/>
      <c r="DI10" s="7"/>
      <c r="DJ10" s="7"/>
    </row>
    <row r="11" spans="1:114" ht="14.25" hidden="1" outlineLevel="1">
      <c r="B11" s="473" t="s">
        <v>276</v>
      </c>
      <c r="D11" s="414"/>
      <c r="E11" s="414"/>
      <c r="F11" s="414"/>
      <c r="G11" s="311"/>
      <c r="H11" s="414"/>
      <c r="I11" s="414"/>
      <c r="J11" s="414"/>
      <c r="K11" s="311"/>
      <c r="M11" s="414"/>
      <c r="N11" s="414"/>
      <c r="O11" s="311"/>
      <c r="P11" s="414"/>
      <c r="Q11" s="414"/>
      <c r="R11" s="414"/>
      <c r="S11" s="311"/>
      <c r="T11" s="414"/>
      <c r="U11" s="414"/>
      <c r="V11" s="414"/>
      <c r="W11" s="311"/>
      <c r="X11" s="414"/>
      <c r="Y11" s="414"/>
      <c r="Z11" s="414"/>
      <c r="AA11" s="311"/>
      <c r="AB11" s="414">
        <f t="shared" ref="AB11:AU11" si="28">AB9/X9-1</f>
        <v>2.5179330556255097E-2</v>
      </c>
      <c r="AC11" s="414">
        <f t="shared" si="28"/>
        <v>-0.11950410163867242</v>
      </c>
      <c r="AD11" s="414">
        <f t="shared" si="28"/>
        <v>-0.11150504158728702</v>
      </c>
      <c r="AE11" s="311">
        <f t="shared" si="28"/>
        <v>1.9215212863467279E-2</v>
      </c>
      <c r="AF11" s="414">
        <f t="shared" si="28"/>
        <v>0.16605780390813774</v>
      </c>
      <c r="AG11" s="414">
        <f t="shared" si="28"/>
        <v>0.35121396402314375</v>
      </c>
      <c r="AH11" s="414">
        <f t="shared" si="28"/>
        <v>0.44947318897311872</v>
      </c>
      <c r="AI11" s="311">
        <f t="shared" si="28"/>
        <v>0.37316893568153686</v>
      </c>
      <c r="AJ11" s="414">
        <f>AJ9/AF9-1</f>
        <v>0.24278792131185467</v>
      </c>
      <c r="AK11" s="414">
        <f>AK9/AG9-1</f>
        <v>0.17519446549643747</v>
      </c>
      <c r="AL11" s="414">
        <f>AL9/AH9-1</f>
        <v>8.4517370763324884E-2</v>
      </c>
      <c r="AM11" s="311">
        <f t="shared" si="28"/>
        <v>-3.6854856471624564E-2</v>
      </c>
      <c r="AN11" s="414">
        <f t="shared" si="28"/>
        <v>0.17492241585103852</v>
      </c>
      <c r="AO11" s="414">
        <f t="shared" si="28"/>
        <v>0.12070581510766387</v>
      </c>
      <c r="AP11" s="414">
        <f t="shared" si="28"/>
        <v>9.257319384961038E-2</v>
      </c>
      <c r="AQ11" s="310">
        <f t="shared" si="28"/>
        <v>4.6721979737321062E-2</v>
      </c>
      <c r="AR11" s="309">
        <f t="shared" si="28"/>
        <v>-1.2278588481158814E-2</v>
      </c>
      <c r="AS11" s="310">
        <f t="shared" si="28"/>
        <v>7.6235453926095209E-2</v>
      </c>
      <c r="AT11" s="310">
        <f t="shared" si="28"/>
        <v>3.4741712002031022E-2</v>
      </c>
      <c r="AU11" s="311">
        <f t="shared" si="28"/>
        <v>0.13271259733135765</v>
      </c>
      <c r="AV11" s="309"/>
      <c r="AW11" s="310"/>
      <c r="AX11" s="310"/>
      <c r="AY11" s="311"/>
      <c r="AZ11" s="309"/>
      <c r="BA11" s="310"/>
      <c r="BB11" s="310"/>
      <c r="BC11" s="311"/>
      <c r="BD11" s="309"/>
      <c r="BE11" s="310"/>
      <c r="BF11" s="310"/>
      <c r="BG11" s="311"/>
      <c r="BH11" s="309"/>
      <c r="BI11" s="310"/>
      <c r="BJ11" s="310"/>
      <c r="BK11" s="311"/>
      <c r="BL11" s="414"/>
      <c r="BM11" s="414"/>
      <c r="BN11" s="414"/>
      <c r="BO11" s="311"/>
      <c r="BP11" s="414"/>
      <c r="BQ11" s="414"/>
      <c r="BR11" s="414"/>
      <c r="BS11" s="311"/>
      <c r="BT11" s="414"/>
      <c r="BU11" s="414"/>
      <c r="BV11" s="414"/>
      <c r="BW11" s="311"/>
      <c r="BX11" s="104"/>
      <c r="BY11" s="310"/>
      <c r="BZ11" s="310"/>
      <c r="CA11" s="310"/>
      <c r="CB11" s="310"/>
      <c r="CC11" s="310"/>
      <c r="CD11" s="310"/>
      <c r="CE11" s="414">
        <f>CE9/CD9-1</f>
        <v>-4.4558125121269443E-2</v>
      </c>
      <c r="CF11" s="310">
        <f>CF9/CE9-1</f>
        <v>0.33281210959797991</v>
      </c>
      <c r="CG11" s="310">
        <f>CG9/CF9-1</f>
        <v>0.10346113394569878</v>
      </c>
      <c r="CH11" s="414">
        <f>CH9/CG9-1</f>
        <v>0.1080261540612848</v>
      </c>
      <c r="CI11" s="311">
        <f>CI9/CH9-1</f>
        <v>5.5985362533625072E-2</v>
      </c>
      <c r="CJ11" s="310"/>
      <c r="CK11" s="105"/>
      <c r="CN11" s="105"/>
      <c r="CO11" s="105"/>
      <c r="CP11" s="15"/>
      <c r="CQ11" s="104"/>
      <c r="CR11" s="509"/>
      <c r="CS11" s="105"/>
      <c r="CT11" s="105"/>
      <c r="CV11" s="414">
        <f>CV9/CU9-1</f>
        <v>-9.4760484812022039E-3</v>
      </c>
      <c r="CW11" s="414">
        <f>CW9/CV9-1</f>
        <v>0.34815762707232478</v>
      </c>
      <c r="CX11" s="414">
        <f>CX9/CW9-1</f>
        <v>9.2608579385416112E-2</v>
      </c>
      <c r="CY11" s="414">
        <f>CY9/CX9-1</f>
        <v>5.7138348089817104E-2</v>
      </c>
      <c r="CZ11" s="310">
        <f>CZ9/CY9-1</f>
        <v>-0.20875012120318703</v>
      </c>
      <c r="DA11" s="310"/>
      <c r="DB11" s="310"/>
      <c r="DC11" s="310"/>
      <c r="DD11" s="310"/>
      <c r="DE11" s="310"/>
      <c r="DF11" s="311"/>
      <c r="DG11" s="7"/>
      <c r="DH11" s="7"/>
      <c r="DI11" s="7"/>
      <c r="DJ11" s="7"/>
    </row>
    <row r="12" spans="1:114" ht="14.25" hidden="1" outlineLevel="1">
      <c r="B12" s="472" t="s">
        <v>237</v>
      </c>
      <c r="D12" s="414">
        <f t="shared" ref="D12:K12" si="29">D9/D$67</f>
        <v>0.75</v>
      </c>
      <c r="E12" s="414">
        <f t="shared" si="29"/>
        <v>0.75</v>
      </c>
      <c r="F12" s="414">
        <f t="shared" si="29"/>
        <v>0.77</v>
      </c>
      <c r="G12" s="311">
        <f t="shared" si="29"/>
        <v>0.77</v>
      </c>
      <c r="H12" s="414">
        <f t="shared" si="29"/>
        <v>0.75000000000000011</v>
      </c>
      <c r="I12" s="414">
        <f t="shared" si="29"/>
        <v>0.75</v>
      </c>
      <c r="J12" s="414">
        <f t="shared" si="29"/>
        <v>0.77</v>
      </c>
      <c r="K12" s="311">
        <f t="shared" si="29"/>
        <v>0.77</v>
      </c>
      <c r="L12" s="413">
        <v>0.35</v>
      </c>
      <c r="M12" s="413">
        <v>0.3</v>
      </c>
      <c r="N12" s="413">
        <v>0.3</v>
      </c>
      <c r="O12" s="311">
        <f t="shared" ref="O12:AI12" si="30">O9/O$67</f>
        <v>0.77</v>
      </c>
      <c r="P12" s="414">
        <f t="shared" si="30"/>
        <v>0.74999999999999989</v>
      </c>
      <c r="Q12" s="414">
        <f t="shared" si="30"/>
        <v>0.75</v>
      </c>
      <c r="R12" s="414">
        <f t="shared" si="30"/>
        <v>0.77</v>
      </c>
      <c r="S12" s="311">
        <f t="shared" si="30"/>
        <v>0.76999999999999991</v>
      </c>
      <c r="T12" s="414">
        <f t="shared" si="30"/>
        <v>0.75</v>
      </c>
      <c r="U12" s="414">
        <f t="shared" si="30"/>
        <v>0.75</v>
      </c>
      <c r="V12" s="414">
        <f t="shared" si="30"/>
        <v>0.76999999999999991</v>
      </c>
      <c r="W12" s="311">
        <f t="shared" si="30"/>
        <v>0.76999999999999991</v>
      </c>
      <c r="X12" s="414">
        <f t="shared" si="30"/>
        <v>0.75</v>
      </c>
      <c r="Y12" s="414">
        <f t="shared" si="30"/>
        <v>0.75</v>
      </c>
      <c r="Z12" s="414">
        <f t="shared" si="30"/>
        <v>0.77</v>
      </c>
      <c r="AA12" s="311">
        <f t="shared" si="30"/>
        <v>0.77</v>
      </c>
      <c r="AB12" s="414">
        <f t="shared" si="30"/>
        <v>0.77</v>
      </c>
      <c r="AC12" s="414">
        <f t="shared" si="30"/>
        <v>0.77</v>
      </c>
      <c r="AD12" s="414">
        <f t="shared" si="30"/>
        <v>0.76999999999999991</v>
      </c>
      <c r="AE12" s="311">
        <f t="shared" si="30"/>
        <v>0.8</v>
      </c>
      <c r="AF12" s="414">
        <f t="shared" si="30"/>
        <v>0.77</v>
      </c>
      <c r="AG12" s="414">
        <f t="shared" si="30"/>
        <v>0.75605443967436514</v>
      </c>
      <c r="AH12" s="414">
        <f t="shared" si="30"/>
        <v>0.77500000000000002</v>
      </c>
      <c r="AI12" s="311">
        <f t="shared" si="30"/>
        <v>0.8</v>
      </c>
      <c r="AJ12" s="413">
        <v>0.7</v>
      </c>
      <c r="AK12" s="413">
        <v>0.65</v>
      </c>
      <c r="AL12" s="413">
        <v>0.65</v>
      </c>
      <c r="AM12" s="311">
        <v>0.6</v>
      </c>
      <c r="AN12" s="413">
        <v>0.7</v>
      </c>
      <c r="AO12" s="413">
        <v>0.65</v>
      </c>
      <c r="AP12" s="413">
        <v>0.65</v>
      </c>
      <c r="AQ12" s="113">
        <v>0.6</v>
      </c>
      <c r="AR12" s="698">
        <v>0.6</v>
      </c>
      <c r="AS12" s="416">
        <v>0.6</v>
      </c>
      <c r="AT12" s="416">
        <v>0.6</v>
      </c>
      <c r="AU12" s="415">
        <v>0.6</v>
      </c>
      <c r="AV12" s="698"/>
      <c r="AW12" s="416"/>
      <c r="AX12" s="416"/>
      <c r="AY12" s="415"/>
      <c r="AZ12" s="309"/>
      <c r="BA12" s="310"/>
      <c r="BB12" s="310"/>
      <c r="BC12" s="311"/>
      <c r="BD12" s="309"/>
      <c r="BE12" s="310"/>
      <c r="BF12" s="310"/>
      <c r="BG12" s="311"/>
      <c r="BH12" s="309"/>
      <c r="BI12" s="310"/>
      <c r="BJ12" s="310"/>
      <c r="BK12" s="311"/>
      <c r="BL12" s="414"/>
      <c r="BM12" s="414"/>
      <c r="BN12" s="414"/>
      <c r="BO12" s="311"/>
      <c r="BP12" s="414"/>
      <c r="BQ12" s="414"/>
      <c r="BR12" s="414"/>
      <c r="BS12" s="311"/>
      <c r="BT12" s="414"/>
      <c r="BU12" s="414"/>
      <c r="BV12" s="414"/>
      <c r="BW12" s="311"/>
      <c r="BX12" s="104"/>
      <c r="BY12" s="310">
        <f t="shared" ref="BY12:CI12" si="31">BY9/BY$67</f>
        <v>0.75971953207324827</v>
      </c>
      <c r="BZ12" s="310">
        <f t="shared" si="31"/>
        <v>0.76085284487827531</v>
      </c>
      <c r="CA12" s="310">
        <f t="shared" si="31"/>
        <v>0.47706627324826373</v>
      </c>
      <c r="CB12" s="310">
        <f t="shared" si="31"/>
        <v>0.76008571243941836</v>
      </c>
      <c r="CC12" s="310">
        <f t="shared" si="31"/>
        <v>0.7598552600358075</v>
      </c>
      <c r="CD12" s="310">
        <f t="shared" si="31"/>
        <v>0.7604131895067191</v>
      </c>
      <c r="CE12" s="414">
        <f t="shared" si="31"/>
        <v>0.77852800416657841</v>
      </c>
      <c r="CF12" s="310">
        <f t="shared" si="31"/>
        <v>0.77695572585317518</v>
      </c>
      <c r="CG12" s="310">
        <f t="shared" si="31"/>
        <v>0.64763214609400654</v>
      </c>
      <c r="CH12" s="414">
        <f t="shared" si="31"/>
        <v>0.64912745978690289</v>
      </c>
      <c r="CI12" s="311">
        <f t="shared" si="31"/>
        <v>0.6</v>
      </c>
      <c r="CJ12" s="310"/>
      <c r="CK12" s="105"/>
      <c r="CN12" s="105"/>
      <c r="CO12" s="105"/>
      <c r="CP12" s="15"/>
      <c r="CQ12" s="104"/>
      <c r="CR12" s="509"/>
      <c r="CS12" s="105"/>
      <c r="CT12" s="105"/>
      <c r="CV12" s="414">
        <f>CV9/CV$67</f>
        <v>0.77817252088689148</v>
      </c>
      <c r="CW12" s="414">
        <f>CW9/CW$67</f>
        <v>0.75622612737997164</v>
      </c>
      <c r="CX12" s="414">
        <f>CX9/CX$67</f>
        <v>0.64970978828351422</v>
      </c>
      <c r="CY12" s="414">
        <f>CY9/CY$67</f>
        <v>0.62314087748470437</v>
      </c>
      <c r="CZ12" s="310">
        <f>CZ9/CZ$67</f>
        <v>0.43557363710333608</v>
      </c>
      <c r="DA12" s="310"/>
      <c r="DB12" s="310"/>
      <c r="DC12" s="310"/>
      <c r="DD12" s="310"/>
      <c r="DE12" s="310"/>
      <c r="DF12" s="311"/>
      <c r="DG12" s="7"/>
      <c r="DH12" s="7"/>
      <c r="DI12" s="7"/>
      <c r="DJ12" s="7"/>
    </row>
    <row r="13" spans="1:114" ht="14.25" hidden="1" outlineLevel="1">
      <c r="B13" s="412"/>
      <c r="D13" s="416"/>
      <c r="E13" s="416"/>
      <c r="F13" s="416"/>
      <c r="G13" s="415"/>
      <c r="H13" s="416"/>
      <c r="I13" s="416"/>
      <c r="J13" s="416"/>
      <c r="K13" s="415"/>
      <c r="L13" s="416"/>
      <c r="M13" s="416"/>
      <c r="N13" s="416"/>
      <c r="O13" s="415"/>
      <c r="P13" s="416"/>
      <c r="Q13" s="416"/>
      <c r="R13" s="416"/>
      <c r="S13" s="415"/>
      <c r="T13" s="416"/>
      <c r="U13" s="416"/>
      <c r="V13" s="416"/>
      <c r="W13" s="415"/>
      <c r="X13" s="416"/>
      <c r="Y13" s="416"/>
      <c r="Z13" s="416"/>
      <c r="AA13" s="415"/>
      <c r="AB13" s="416"/>
      <c r="AC13" s="416"/>
      <c r="AD13" s="416"/>
      <c r="AE13" s="415"/>
      <c r="AF13" s="416"/>
      <c r="AG13" s="105"/>
      <c r="AH13" s="416"/>
      <c r="AI13" s="15"/>
      <c r="AJ13" s="105"/>
      <c r="AK13" s="105"/>
      <c r="AL13" s="105"/>
      <c r="AM13" s="15"/>
      <c r="AN13" s="105"/>
      <c r="AO13" s="105"/>
      <c r="AP13" s="105"/>
      <c r="AQ13" s="105"/>
      <c r="AR13" s="509"/>
      <c r="AS13" s="105"/>
      <c r="AT13" s="105"/>
      <c r="AU13" s="15"/>
      <c r="AV13" s="509"/>
      <c r="AW13" s="105"/>
      <c r="AX13" s="105"/>
      <c r="AY13" s="15"/>
      <c r="AZ13" s="509"/>
      <c r="BA13" s="105"/>
      <c r="BB13" s="105"/>
      <c r="BC13" s="15"/>
      <c r="BD13" s="509"/>
      <c r="BE13" s="105"/>
      <c r="BF13" s="105"/>
      <c r="BG13" s="15"/>
      <c r="BH13" s="509"/>
      <c r="BI13" s="105"/>
      <c r="BJ13" s="105"/>
      <c r="BK13" s="15"/>
      <c r="BL13" s="105"/>
      <c r="BM13" s="105"/>
      <c r="BN13" s="105"/>
      <c r="BO13" s="15"/>
      <c r="BP13" s="105"/>
      <c r="BQ13" s="105"/>
      <c r="BR13" s="105"/>
      <c r="BS13" s="15"/>
      <c r="BT13" s="105"/>
      <c r="BU13" s="105"/>
      <c r="BV13" s="105"/>
      <c r="BW13" s="15"/>
      <c r="BX13" s="104"/>
      <c r="BY13" s="105"/>
      <c r="BZ13" s="105"/>
      <c r="CA13" s="105"/>
      <c r="CB13" s="105"/>
      <c r="CC13" s="105"/>
      <c r="CD13" s="105"/>
      <c r="CF13" s="105"/>
      <c r="CG13" s="105"/>
      <c r="CI13" s="15"/>
      <c r="CJ13" s="105"/>
      <c r="CK13" s="105"/>
      <c r="CN13" s="105"/>
      <c r="CO13" s="105"/>
      <c r="CP13" s="15"/>
      <c r="CQ13" s="104"/>
      <c r="CR13" s="509"/>
      <c r="CS13" s="105"/>
      <c r="CT13" s="105"/>
      <c r="CZ13" s="105"/>
      <c r="DA13" s="105"/>
      <c r="DB13" s="105"/>
      <c r="DC13" s="105"/>
      <c r="DD13" s="105"/>
      <c r="DE13" s="105"/>
      <c r="DF13" s="15"/>
      <c r="DG13" s="7"/>
      <c r="DH13" s="7"/>
      <c r="DI13" s="7"/>
      <c r="DJ13" s="7"/>
    </row>
    <row r="14" spans="1:114" ht="14.25" hidden="1" customHeight="1" outlineLevel="1">
      <c r="B14" s="488" t="s">
        <v>278</v>
      </c>
      <c r="D14" s="416"/>
      <c r="E14" s="416"/>
      <c r="F14" s="416"/>
      <c r="G14" s="415"/>
      <c r="H14" s="416"/>
      <c r="I14" s="416"/>
      <c r="J14" s="416"/>
      <c r="K14" s="415"/>
      <c r="L14" s="416"/>
      <c r="M14" s="416"/>
      <c r="N14" s="416"/>
      <c r="O14" s="415"/>
      <c r="P14" s="416"/>
      <c r="Q14" s="416"/>
      <c r="R14" s="416"/>
      <c r="S14" s="415"/>
      <c r="T14" s="416"/>
      <c r="U14" s="416"/>
      <c r="V14" s="416"/>
      <c r="W14" s="415"/>
      <c r="X14" s="416"/>
      <c r="Y14" s="416"/>
      <c r="Z14" s="416"/>
      <c r="AA14" s="415"/>
      <c r="AB14" s="416"/>
      <c r="AC14" s="416"/>
      <c r="AD14" s="416"/>
      <c r="AE14" s="415"/>
      <c r="AF14" s="416"/>
      <c r="AG14" s="105"/>
      <c r="AH14" s="416"/>
      <c r="AI14" s="15"/>
      <c r="AJ14" s="429">
        <f>AJ9*AJ17</f>
        <v>164.20879999999997</v>
      </c>
      <c r="AK14" s="429">
        <f>AK9*AK17</f>
        <v>148.062005</v>
      </c>
      <c r="AL14" s="429">
        <f>AL9*AL17</f>
        <v>185.15899999999999</v>
      </c>
      <c r="AM14" s="430">
        <f>AM9*AM17</f>
        <v>193.11167999999998</v>
      </c>
      <c r="AN14" s="429">
        <f t="shared" ref="AN14:AU14" si="32">AN9*AN17</f>
        <v>192.93259999999998</v>
      </c>
      <c r="AO14" s="429">
        <f t="shared" si="32"/>
        <v>165.93395000000001</v>
      </c>
      <c r="AP14" s="429">
        <f t="shared" si="32"/>
        <v>202.29976000000002</v>
      </c>
      <c r="AQ14" s="429">
        <f t="shared" si="32"/>
        <v>202.13424000000001</v>
      </c>
      <c r="AR14" s="428">
        <f t="shared" si="32"/>
        <v>217.78703999999999</v>
      </c>
      <c r="AS14" s="429">
        <f t="shared" si="32"/>
        <v>216.85199999999998</v>
      </c>
      <c r="AT14" s="429">
        <f t="shared" si="32"/>
        <v>222.411</v>
      </c>
      <c r="AU14" s="430">
        <f t="shared" si="32"/>
        <v>243.26999999999998</v>
      </c>
      <c r="AV14" s="428"/>
      <c r="AW14" s="429"/>
      <c r="AX14" s="429"/>
      <c r="AY14" s="430"/>
      <c r="AZ14" s="509"/>
      <c r="BA14" s="105"/>
      <c r="BB14" s="105"/>
      <c r="BC14" s="430"/>
      <c r="BD14" s="509"/>
      <c r="BE14" s="105"/>
      <c r="BF14" s="105"/>
      <c r="BG14" s="15"/>
      <c r="BH14" s="509"/>
      <c r="BI14" s="105"/>
      <c r="BJ14" s="105"/>
      <c r="BK14" s="15"/>
      <c r="BL14" s="105"/>
      <c r="BM14" s="105"/>
      <c r="BN14" s="105"/>
      <c r="BO14" s="15"/>
      <c r="BP14" s="105"/>
      <c r="BQ14" s="105"/>
      <c r="BR14" s="105"/>
      <c r="BS14" s="15"/>
      <c r="BT14" s="105"/>
      <c r="BU14" s="105"/>
      <c r="BV14" s="105"/>
      <c r="BW14" s="15"/>
      <c r="BX14" s="104"/>
      <c r="BY14" s="105"/>
      <c r="BZ14" s="105"/>
      <c r="CA14" s="105"/>
      <c r="CB14" s="105"/>
      <c r="CC14" s="105"/>
      <c r="CD14" s="105"/>
      <c r="CF14" s="710"/>
      <c r="CG14" s="429">
        <f>SUM(AJ14:AM14)</f>
        <v>690.54148499999997</v>
      </c>
      <c r="CH14" s="429">
        <f>SUM(AN14:AQ14)</f>
        <v>763.30054999999993</v>
      </c>
      <c r="CI14" s="430">
        <f>SUM(AR14:AU14)</f>
        <v>900.32003999999995</v>
      </c>
      <c r="CJ14" s="105"/>
      <c r="CK14" s="105"/>
      <c r="CN14" s="105"/>
      <c r="CO14" s="105"/>
      <c r="CP14" s="15"/>
      <c r="CQ14" s="104"/>
      <c r="CR14" s="509"/>
      <c r="CS14" s="105"/>
      <c r="CT14" s="105"/>
      <c r="CZ14" s="105"/>
      <c r="DA14" s="105"/>
      <c r="DB14" s="105"/>
      <c r="DC14" s="105"/>
      <c r="DD14" s="105"/>
      <c r="DE14" s="105"/>
      <c r="DF14" s="15"/>
      <c r="DG14" s="7"/>
      <c r="DH14" s="7"/>
      <c r="DI14" s="7"/>
      <c r="DJ14" s="7"/>
    </row>
    <row r="15" spans="1:114" ht="14.25" hidden="1" customHeight="1" outlineLevel="1">
      <c r="B15" s="489" t="s">
        <v>275</v>
      </c>
      <c r="D15" s="416"/>
      <c r="E15" s="416"/>
      <c r="F15" s="416"/>
      <c r="G15" s="415"/>
      <c r="H15" s="416"/>
      <c r="I15" s="416"/>
      <c r="J15" s="416"/>
      <c r="K15" s="415"/>
      <c r="L15" s="416"/>
      <c r="M15" s="416"/>
      <c r="N15" s="416"/>
      <c r="O15" s="415"/>
      <c r="P15" s="416"/>
      <c r="Q15" s="416"/>
      <c r="R15" s="416"/>
      <c r="S15" s="415"/>
      <c r="T15" s="416"/>
      <c r="U15" s="416"/>
      <c r="V15" s="416"/>
      <c r="W15" s="415"/>
      <c r="X15" s="416"/>
      <c r="Y15" s="416"/>
      <c r="Z15" s="416"/>
      <c r="AA15" s="415"/>
      <c r="AB15" s="416"/>
      <c r="AC15" s="416"/>
      <c r="AD15" s="416"/>
      <c r="AE15" s="415"/>
      <c r="AF15" s="416"/>
      <c r="AG15" s="105"/>
      <c r="AH15" s="416"/>
      <c r="AI15" s="15"/>
      <c r="AJ15" s="486" t="e">
        <f>+AJ14/AI14-1</f>
        <v>#DIV/0!</v>
      </c>
      <c r="AK15" s="486">
        <f>+AK14/AJ14-1</f>
        <v>-9.8330875080994251E-2</v>
      </c>
      <c r="AL15" s="486">
        <f>+AL14/AK14-1</f>
        <v>0.25055040285318309</v>
      </c>
      <c r="AM15" s="487">
        <f t="shared" ref="AM15:AU15" si="33">+AM14/AL14-1</f>
        <v>4.2950545207092183E-2</v>
      </c>
      <c r="AN15" s="486">
        <f t="shared" si="33"/>
        <v>-9.2733904029007608E-4</v>
      </c>
      <c r="AO15" s="486">
        <f t="shared" si="33"/>
        <v>-0.13993824786479825</v>
      </c>
      <c r="AP15" s="486">
        <f t="shared" si="33"/>
        <v>0.21915834583579796</v>
      </c>
      <c r="AQ15" s="696">
        <f t="shared" si="33"/>
        <v>-8.1819177640163332E-4</v>
      </c>
      <c r="AR15" s="699">
        <f t="shared" si="33"/>
        <v>7.7437647377307295E-2</v>
      </c>
      <c r="AS15" s="696">
        <f t="shared" si="33"/>
        <v>-4.2933684208207312E-3</v>
      </c>
      <c r="AT15" s="696">
        <f t="shared" si="33"/>
        <v>2.5634995296331287E-2</v>
      </c>
      <c r="AU15" s="487">
        <f t="shared" si="33"/>
        <v>9.3785828938316884E-2</v>
      </c>
      <c r="AV15" s="699"/>
      <c r="AW15" s="696"/>
      <c r="AX15" s="696"/>
      <c r="AY15" s="487"/>
      <c r="AZ15" s="509"/>
      <c r="BA15" s="105"/>
      <c r="BB15" s="105"/>
      <c r="BC15" s="313"/>
      <c r="BD15" s="509"/>
      <c r="BE15" s="105"/>
      <c r="BF15" s="105"/>
      <c r="BG15" s="15"/>
      <c r="BH15" s="509"/>
      <c r="BI15" s="105"/>
      <c r="BJ15" s="105"/>
      <c r="BK15" s="15"/>
      <c r="BL15" s="105"/>
      <c r="BM15" s="105"/>
      <c r="BN15" s="105"/>
      <c r="BO15" s="15"/>
      <c r="BP15" s="105"/>
      <c r="BQ15" s="105"/>
      <c r="BR15" s="105"/>
      <c r="BS15" s="15"/>
      <c r="BT15" s="105"/>
      <c r="BU15" s="105"/>
      <c r="BV15" s="105"/>
      <c r="BW15" s="15"/>
      <c r="BX15" s="104"/>
      <c r="BY15" s="105"/>
      <c r="BZ15" s="105"/>
      <c r="CA15" s="105"/>
      <c r="CB15" s="105"/>
      <c r="CC15" s="105"/>
      <c r="CD15" s="105"/>
      <c r="CF15" s="105"/>
      <c r="CG15" s="105"/>
      <c r="CH15" s="414">
        <f>CH14/CG14-1</f>
        <v>0.10536523377737406</v>
      </c>
      <c r="CI15" s="311">
        <f>CI14/CH14-1</f>
        <v>0.17950922477391118</v>
      </c>
      <c r="CJ15" s="105"/>
      <c r="CK15" s="105"/>
      <c r="CN15" s="105"/>
      <c r="CO15" s="105"/>
      <c r="CP15" s="15"/>
      <c r="CQ15" s="104"/>
      <c r="CR15" s="509"/>
      <c r="CS15" s="105"/>
      <c r="CT15" s="105"/>
      <c r="CZ15" s="105"/>
      <c r="DA15" s="105"/>
      <c r="DB15" s="105"/>
      <c r="DC15" s="105"/>
      <c r="DD15" s="105"/>
      <c r="DE15" s="105"/>
      <c r="DF15" s="15"/>
      <c r="DG15" s="7"/>
      <c r="DH15" s="7"/>
      <c r="DI15" s="7"/>
      <c r="DJ15" s="7"/>
    </row>
    <row r="16" spans="1:114" ht="14.25" hidden="1" customHeight="1" outlineLevel="1">
      <c r="B16" s="489" t="s">
        <v>237</v>
      </c>
      <c r="D16" s="416"/>
      <c r="E16" s="416"/>
      <c r="F16" s="416"/>
      <c r="G16" s="415"/>
      <c r="H16" s="416"/>
      <c r="I16" s="416"/>
      <c r="J16" s="416"/>
      <c r="K16" s="415"/>
      <c r="L16" s="416"/>
      <c r="M16" s="416"/>
      <c r="N16" s="416"/>
      <c r="O16" s="415"/>
      <c r="P16" s="416"/>
      <c r="Q16" s="416"/>
      <c r="R16" s="416"/>
      <c r="S16" s="415"/>
      <c r="T16" s="416"/>
      <c r="U16" s="416"/>
      <c r="V16" s="416"/>
      <c r="W16" s="415"/>
      <c r="X16" s="416"/>
      <c r="Y16" s="416"/>
      <c r="Z16" s="416"/>
      <c r="AA16" s="415"/>
      <c r="AB16" s="416"/>
      <c r="AC16" s="416"/>
      <c r="AD16" s="416"/>
      <c r="AE16" s="415"/>
      <c r="AF16" s="416"/>
      <c r="AG16" s="105"/>
      <c r="AH16" s="416"/>
      <c r="AI16" s="15"/>
      <c r="AJ16" s="414">
        <f t="shared" ref="AJ16:AU16" si="34">AJ14/AJ$67</f>
        <v>0.48999999999999988</v>
      </c>
      <c r="AK16" s="414">
        <f t="shared" si="34"/>
        <v>0.45500000000000002</v>
      </c>
      <c r="AL16" s="414">
        <f t="shared" si="34"/>
        <v>0.52</v>
      </c>
      <c r="AM16" s="311">
        <f t="shared" si="34"/>
        <v>0.48</v>
      </c>
      <c r="AN16" s="414">
        <f t="shared" si="34"/>
        <v>0.48999999999999994</v>
      </c>
      <c r="AO16" s="414">
        <f t="shared" si="34"/>
        <v>0.45500000000000002</v>
      </c>
      <c r="AP16" s="414">
        <f t="shared" si="34"/>
        <v>0.52</v>
      </c>
      <c r="AQ16" s="310">
        <f t="shared" si="34"/>
        <v>0.48000000000000004</v>
      </c>
      <c r="AR16" s="309">
        <f t="shared" si="34"/>
        <v>0.48</v>
      </c>
      <c r="AS16" s="310">
        <f t="shared" si="34"/>
        <v>0.51</v>
      </c>
      <c r="AT16" s="310">
        <f t="shared" si="34"/>
        <v>0.51</v>
      </c>
      <c r="AU16" s="311">
        <f t="shared" si="34"/>
        <v>0.51</v>
      </c>
      <c r="AV16" s="309"/>
      <c r="AW16" s="310"/>
      <c r="AX16" s="310"/>
      <c r="AY16" s="311"/>
      <c r="AZ16" s="509"/>
      <c r="BA16" s="105"/>
      <c r="BB16" s="105"/>
      <c r="BC16" s="311"/>
      <c r="BD16" s="509"/>
      <c r="BE16" s="105"/>
      <c r="BF16" s="105"/>
      <c r="BG16" s="15"/>
      <c r="BH16" s="509"/>
      <c r="BI16" s="105"/>
      <c r="BJ16" s="105"/>
      <c r="BK16" s="15"/>
      <c r="BL16" s="105"/>
      <c r="BM16" s="105"/>
      <c r="BN16" s="105"/>
      <c r="BO16" s="15"/>
      <c r="BP16" s="105"/>
      <c r="BQ16" s="105"/>
      <c r="BR16" s="105"/>
      <c r="BS16" s="15"/>
      <c r="BT16" s="105"/>
      <c r="BU16" s="105"/>
      <c r="BV16" s="105"/>
      <c r="BW16" s="15"/>
      <c r="BX16" s="104"/>
      <c r="BY16" s="105"/>
      <c r="BZ16" s="105"/>
      <c r="CA16" s="105"/>
      <c r="CB16" s="105"/>
      <c r="CC16" s="105"/>
      <c r="CD16" s="105"/>
      <c r="CF16" s="105"/>
      <c r="CG16" s="310">
        <f>CG14/CG$67</f>
        <v>0.48666627552465885</v>
      </c>
      <c r="CH16" s="414">
        <f>CH14/CH$67</f>
        <v>0.48661851061564554</v>
      </c>
      <c r="CI16" s="311">
        <f>CI14/CI$67</f>
        <v>0.50240428833781703</v>
      </c>
      <c r="CJ16" s="105"/>
      <c r="CK16" s="105"/>
      <c r="CN16" s="105"/>
      <c r="CO16" s="105"/>
      <c r="CP16" s="15"/>
      <c r="CQ16" s="104"/>
      <c r="CR16" s="509"/>
      <c r="CS16" s="105"/>
      <c r="CT16" s="105"/>
      <c r="CZ16" s="105"/>
      <c r="DA16" s="105"/>
      <c r="DB16" s="105"/>
      <c r="DC16" s="105"/>
      <c r="DD16" s="105"/>
      <c r="DE16" s="105"/>
      <c r="DF16" s="15"/>
      <c r="DG16" s="7"/>
      <c r="DH16" s="7"/>
      <c r="DI16" s="7"/>
      <c r="DJ16" s="7"/>
    </row>
    <row r="17" spans="2:114" ht="14.25" hidden="1" outlineLevel="1">
      <c r="B17" s="489" t="s">
        <v>286</v>
      </c>
      <c r="D17" s="416"/>
      <c r="E17" s="416"/>
      <c r="F17" s="416"/>
      <c r="G17" s="415"/>
      <c r="H17" s="416"/>
      <c r="I17" s="416"/>
      <c r="J17" s="416"/>
      <c r="K17" s="415"/>
      <c r="L17" s="416"/>
      <c r="M17" s="416"/>
      <c r="N17" s="416"/>
      <c r="O17" s="415"/>
      <c r="P17" s="416"/>
      <c r="Q17" s="416"/>
      <c r="R17" s="416"/>
      <c r="S17" s="415"/>
      <c r="T17" s="416"/>
      <c r="U17" s="416"/>
      <c r="V17" s="416"/>
      <c r="W17" s="415"/>
      <c r="X17" s="416"/>
      <c r="Y17" s="416"/>
      <c r="Z17" s="416"/>
      <c r="AA17" s="415"/>
      <c r="AB17" s="416"/>
      <c r="AC17" s="416"/>
      <c r="AD17" s="416"/>
      <c r="AE17" s="415"/>
      <c r="AF17" s="416"/>
      <c r="AG17" s="105"/>
      <c r="AH17" s="416"/>
      <c r="AI17" s="15"/>
      <c r="AJ17" s="413">
        <v>0.7</v>
      </c>
      <c r="AK17" s="413">
        <v>0.7</v>
      </c>
      <c r="AL17" s="413">
        <v>0.8</v>
      </c>
      <c r="AM17" s="15">
        <v>0.8</v>
      </c>
      <c r="AN17" s="413">
        <v>0.7</v>
      </c>
      <c r="AO17" s="413">
        <v>0.7</v>
      </c>
      <c r="AP17" s="413">
        <v>0.8</v>
      </c>
      <c r="AQ17" s="113">
        <v>0.8</v>
      </c>
      <c r="AR17" s="698">
        <v>0.8</v>
      </c>
      <c r="AS17" s="416">
        <v>0.85</v>
      </c>
      <c r="AT17" s="416">
        <v>0.85</v>
      </c>
      <c r="AU17" s="415">
        <v>0.85</v>
      </c>
      <c r="AV17" s="698"/>
      <c r="AW17" s="416"/>
      <c r="AX17" s="416"/>
      <c r="AY17" s="415"/>
      <c r="AZ17" s="509"/>
      <c r="BA17" s="105"/>
      <c r="BB17" s="105"/>
      <c r="BC17" s="15"/>
      <c r="BD17" s="509"/>
      <c r="BE17" s="105"/>
      <c r="BF17" s="105"/>
      <c r="BG17" s="15"/>
      <c r="BH17" s="509"/>
      <c r="BI17" s="105"/>
      <c r="BJ17" s="105"/>
      <c r="BK17" s="15"/>
      <c r="BL17" s="105"/>
      <c r="BM17" s="105"/>
      <c r="BN17" s="105"/>
      <c r="BO17" s="15"/>
      <c r="BP17" s="105"/>
      <c r="BQ17" s="105"/>
      <c r="BR17" s="105"/>
      <c r="BS17" s="15"/>
      <c r="BT17" s="105"/>
      <c r="BU17" s="105"/>
      <c r="BV17" s="105"/>
      <c r="BW17" s="15"/>
      <c r="BX17" s="104"/>
      <c r="BY17" s="105"/>
      <c r="BZ17" s="105"/>
      <c r="CA17" s="105"/>
      <c r="CB17" s="105"/>
      <c r="CC17" s="105"/>
      <c r="CD17" s="105"/>
      <c r="CF17" s="105"/>
      <c r="CG17" s="105"/>
      <c r="CI17" s="15"/>
      <c r="CJ17" s="105"/>
      <c r="CK17" s="105"/>
      <c r="CN17" s="105"/>
      <c r="CO17" s="105"/>
      <c r="CP17" s="15"/>
      <c r="CQ17" s="104"/>
      <c r="CR17" s="509"/>
      <c r="CS17" s="105"/>
      <c r="CT17" s="105"/>
      <c r="CZ17" s="105"/>
      <c r="DA17" s="105"/>
      <c r="DB17" s="105"/>
      <c r="DC17" s="105"/>
      <c r="DD17" s="105"/>
      <c r="DE17" s="105"/>
      <c r="DF17" s="15"/>
      <c r="DG17" s="7"/>
      <c r="DH17" s="7"/>
      <c r="DI17" s="7"/>
      <c r="DJ17" s="7"/>
    </row>
    <row r="18" spans="2:114" ht="14.25" hidden="1" outlineLevel="1">
      <c r="B18" s="490" t="s">
        <v>279</v>
      </c>
      <c r="D18" s="416"/>
      <c r="E18" s="416"/>
      <c r="F18" s="416"/>
      <c r="G18" s="415"/>
      <c r="H18" s="416"/>
      <c r="I18" s="416"/>
      <c r="J18" s="416"/>
      <c r="K18" s="415"/>
      <c r="L18" s="416"/>
      <c r="M18" s="416"/>
      <c r="N18" s="416"/>
      <c r="O18" s="415"/>
      <c r="P18" s="416"/>
      <c r="Q18" s="416"/>
      <c r="R18" s="416"/>
      <c r="S18" s="415"/>
      <c r="T18" s="416"/>
      <c r="U18" s="416"/>
      <c r="V18" s="416"/>
      <c r="W18" s="415"/>
      <c r="X18" s="416"/>
      <c r="Y18" s="416"/>
      <c r="Z18" s="416"/>
      <c r="AA18" s="415"/>
      <c r="AB18" s="416"/>
      <c r="AC18" s="416"/>
      <c r="AD18" s="416"/>
      <c r="AE18" s="415"/>
      <c r="AF18" s="416"/>
      <c r="AG18" s="105"/>
      <c r="AH18" s="416"/>
      <c r="AI18" s="15"/>
      <c r="AJ18" s="429">
        <f>AJ9-AJ14</f>
        <v>70.375200000000007</v>
      </c>
      <c r="AK18" s="429">
        <f>AK9-AK14</f>
        <v>63.455145000000016</v>
      </c>
      <c r="AL18" s="429">
        <f>AL9-AL14</f>
        <v>46.289749999999998</v>
      </c>
      <c r="AM18" s="430">
        <f>AM9*AM20</f>
        <v>48.27791999999998</v>
      </c>
      <c r="AN18" s="429">
        <f>AN9-AN14</f>
        <v>82.685400000000016</v>
      </c>
      <c r="AO18" s="429">
        <f>AO9-AO14</f>
        <v>71.114550000000008</v>
      </c>
      <c r="AP18" s="429">
        <f>AP9-AP14</f>
        <v>50.574939999999998</v>
      </c>
      <c r="AQ18" s="429">
        <f>AQ9*AQ20</f>
        <v>50.533559999999987</v>
      </c>
      <c r="AR18" s="428">
        <f>AR9*AR20</f>
        <v>54.446759999999998</v>
      </c>
      <c r="AS18" s="429">
        <f>AS9*AS20</f>
        <v>38.267999999999994</v>
      </c>
      <c r="AT18" s="429">
        <f>AT9*AT20</f>
        <v>39.249000000000002</v>
      </c>
      <c r="AU18" s="430">
        <f>AU9*AU20</f>
        <v>42.93</v>
      </c>
      <c r="AV18" s="428"/>
      <c r="AW18" s="429"/>
      <c r="AX18" s="429"/>
      <c r="AY18" s="430"/>
      <c r="AZ18" s="509"/>
      <c r="BA18" s="105"/>
      <c r="BB18" s="105"/>
      <c r="BC18" s="430"/>
      <c r="BD18" s="509"/>
      <c r="BE18" s="105"/>
      <c r="BF18" s="105"/>
      <c r="BG18" s="15"/>
      <c r="BH18" s="509"/>
      <c r="BI18" s="105"/>
      <c r="BJ18" s="105"/>
      <c r="BK18" s="15"/>
      <c r="BL18" s="105"/>
      <c r="BM18" s="105"/>
      <c r="BN18" s="105"/>
      <c r="BO18" s="15"/>
      <c r="BP18" s="105"/>
      <c r="BQ18" s="105"/>
      <c r="BR18" s="105"/>
      <c r="BS18" s="15"/>
      <c r="BT18" s="105"/>
      <c r="BU18" s="105"/>
      <c r="BV18" s="105"/>
      <c r="BW18" s="15"/>
      <c r="BX18" s="104"/>
      <c r="BY18" s="105"/>
      <c r="BZ18" s="105"/>
      <c r="CA18" s="105"/>
      <c r="CB18" s="105"/>
      <c r="CC18" s="105"/>
      <c r="CD18" s="105"/>
      <c r="CF18" s="105"/>
      <c r="CG18" s="429">
        <f>SUM(AJ18:AM18)</f>
        <v>228.39801499999999</v>
      </c>
      <c r="CH18" s="429">
        <f>SUM(AN18:AQ18)</f>
        <v>254.90845000000002</v>
      </c>
      <c r="CI18" s="430">
        <f>SUM(AR18:AU18)</f>
        <v>174.89375999999999</v>
      </c>
      <c r="CJ18" s="105"/>
      <c r="CK18" s="105"/>
      <c r="CN18" s="105"/>
      <c r="CO18" s="105"/>
      <c r="CP18" s="15"/>
      <c r="CQ18" s="104"/>
      <c r="CR18" s="509"/>
      <c r="CS18" s="105"/>
      <c r="CT18" s="105"/>
      <c r="CZ18" s="105"/>
      <c r="DA18" s="105"/>
      <c r="DB18" s="105"/>
      <c r="DC18" s="105"/>
      <c r="DD18" s="105"/>
      <c r="DE18" s="105"/>
      <c r="DF18" s="15"/>
      <c r="DG18" s="7"/>
      <c r="DH18" s="7"/>
      <c r="DI18" s="7"/>
      <c r="DJ18" s="7"/>
    </row>
    <row r="19" spans="2:114" ht="14.25" hidden="1" outlineLevel="1">
      <c r="B19" s="491" t="s">
        <v>275</v>
      </c>
      <c r="D19" s="416"/>
      <c r="E19" s="416"/>
      <c r="F19" s="416"/>
      <c r="G19" s="415"/>
      <c r="H19" s="416"/>
      <c r="I19" s="416"/>
      <c r="J19" s="416"/>
      <c r="K19" s="415"/>
      <c r="L19" s="416"/>
      <c r="M19" s="416"/>
      <c r="N19" s="416"/>
      <c r="O19" s="415"/>
      <c r="P19" s="416"/>
      <c r="Q19" s="416"/>
      <c r="R19" s="416"/>
      <c r="S19" s="415"/>
      <c r="T19" s="416"/>
      <c r="U19" s="416"/>
      <c r="V19" s="416"/>
      <c r="W19" s="415"/>
      <c r="X19" s="416"/>
      <c r="Y19" s="416"/>
      <c r="Z19" s="416"/>
      <c r="AA19" s="415"/>
      <c r="AB19" s="416"/>
      <c r="AC19" s="416"/>
      <c r="AD19" s="416"/>
      <c r="AE19" s="415"/>
      <c r="AF19" s="416"/>
      <c r="AG19" s="105"/>
      <c r="AH19" s="416"/>
      <c r="AI19" s="15"/>
      <c r="AJ19" s="507" t="e">
        <f>AJ18/AI18-1</f>
        <v>#DIV/0!</v>
      </c>
      <c r="AK19" s="507">
        <f>AK18/AJ18-1</f>
        <v>-9.8330875080994251E-2</v>
      </c>
      <c r="AL19" s="507">
        <f>AL18/AK18-1</f>
        <v>-0.27051226500231007</v>
      </c>
      <c r="AM19" s="313">
        <v>0.1</v>
      </c>
      <c r="AN19" s="507">
        <f>AN18/AM18-1</f>
        <v>0.71269599021664654</v>
      </c>
      <c r="AO19" s="507">
        <f>AO18/AN18-1</f>
        <v>-0.13993824786479847</v>
      </c>
      <c r="AP19" s="507">
        <f>AP18/AO18-1</f>
        <v>-0.28882429826245137</v>
      </c>
      <c r="AQ19" s="312">
        <f>+AQ18/AP18-1</f>
        <v>-8.1819177640174434E-4</v>
      </c>
      <c r="AR19" s="519">
        <f>AR18/AQ18-1</f>
        <v>7.7437647377307517E-2</v>
      </c>
      <c r="AS19" s="79">
        <f>AS18/AR18-1</f>
        <v>-0.29714826006175588</v>
      </c>
      <c r="AT19" s="79">
        <f>AT18/AS18-1</f>
        <v>2.5634995296331287E-2</v>
      </c>
      <c r="AU19" s="400">
        <f>AU18/AT18-1</f>
        <v>9.3785828938316884E-2</v>
      </c>
      <c r="AV19" s="519"/>
      <c r="AW19" s="79"/>
      <c r="AX19" s="79"/>
      <c r="AY19" s="400"/>
      <c r="AZ19" s="509"/>
      <c r="BA19" s="105"/>
      <c r="BB19" s="105"/>
      <c r="BC19" s="313"/>
      <c r="BD19" s="509"/>
      <c r="BE19" s="105"/>
      <c r="BF19" s="105"/>
      <c r="BG19" s="15"/>
      <c r="BH19" s="509"/>
      <c r="BI19" s="105"/>
      <c r="BJ19" s="105"/>
      <c r="BK19" s="15"/>
      <c r="BL19" s="105"/>
      <c r="BM19" s="105"/>
      <c r="BN19" s="105"/>
      <c r="BO19" s="15"/>
      <c r="BP19" s="105"/>
      <c r="BQ19" s="105"/>
      <c r="BR19" s="105"/>
      <c r="BS19" s="15"/>
      <c r="BT19" s="105"/>
      <c r="BU19" s="105"/>
      <c r="BV19" s="105"/>
      <c r="BW19" s="15"/>
      <c r="BX19" s="104"/>
      <c r="BY19" s="105"/>
      <c r="BZ19" s="105"/>
      <c r="CA19" s="105"/>
      <c r="CB19" s="105"/>
      <c r="CC19" s="105"/>
      <c r="CD19" s="105"/>
      <c r="CF19" s="105"/>
      <c r="CG19" s="105"/>
      <c r="CH19" s="414">
        <f>CH18/CG18-1</f>
        <v>0.11607121454186031</v>
      </c>
      <c r="CI19" s="311">
        <f>CI18/CH18-1</f>
        <v>-0.31389579278364454</v>
      </c>
      <c r="CJ19" s="105"/>
      <c r="CK19" s="105"/>
      <c r="CN19" s="105"/>
      <c r="CO19" s="105"/>
      <c r="CP19" s="15"/>
      <c r="CQ19" s="104"/>
      <c r="CR19" s="509"/>
      <c r="CS19" s="105"/>
      <c r="CT19" s="105"/>
      <c r="CZ19" s="105"/>
      <c r="DA19" s="105"/>
      <c r="DB19" s="105"/>
      <c r="DC19" s="105"/>
      <c r="DD19" s="105"/>
      <c r="DE19" s="105"/>
      <c r="DF19" s="15"/>
      <c r="DG19" s="7"/>
      <c r="DH19" s="7"/>
      <c r="DI19" s="7"/>
      <c r="DJ19" s="7"/>
    </row>
    <row r="20" spans="2:114" ht="14.25" hidden="1" outlineLevel="1">
      <c r="B20" s="491" t="s">
        <v>237</v>
      </c>
      <c r="D20" s="416"/>
      <c r="E20" s="416"/>
      <c r="F20" s="416"/>
      <c r="G20" s="415"/>
      <c r="H20" s="416"/>
      <c r="I20" s="416"/>
      <c r="J20" s="416"/>
      <c r="K20" s="415"/>
      <c r="L20" s="416"/>
      <c r="M20" s="416"/>
      <c r="N20" s="416"/>
      <c r="O20" s="415"/>
      <c r="P20" s="416"/>
      <c r="Q20" s="416"/>
      <c r="R20" s="416"/>
      <c r="S20" s="415"/>
      <c r="T20" s="416"/>
      <c r="U20" s="416"/>
      <c r="V20" s="416"/>
      <c r="W20" s="415"/>
      <c r="X20" s="416"/>
      <c r="Y20" s="416"/>
      <c r="Z20" s="416"/>
      <c r="AA20" s="415"/>
      <c r="AB20" s="416"/>
      <c r="AC20" s="416"/>
      <c r="AD20" s="416"/>
      <c r="AE20" s="415"/>
      <c r="AF20" s="416"/>
      <c r="AG20" s="105"/>
      <c r="AH20" s="416"/>
      <c r="AI20" s="15"/>
      <c r="AJ20" s="414">
        <f t="shared" ref="AJ20:AQ20" si="35">1-AJ17</f>
        <v>0.30000000000000004</v>
      </c>
      <c r="AK20" s="414">
        <f t="shared" si="35"/>
        <v>0.30000000000000004</v>
      </c>
      <c r="AL20" s="414">
        <f t="shared" si="35"/>
        <v>0.19999999999999996</v>
      </c>
      <c r="AM20" s="311">
        <f t="shared" si="35"/>
        <v>0.19999999999999996</v>
      </c>
      <c r="AN20" s="414">
        <f t="shared" si="35"/>
        <v>0.30000000000000004</v>
      </c>
      <c r="AO20" s="414">
        <f t="shared" si="35"/>
        <v>0.30000000000000004</v>
      </c>
      <c r="AP20" s="414">
        <f t="shared" si="35"/>
        <v>0.19999999999999996</v>
      </c>
      <c r="AQ20" s="310">
        <f t="shared" si="35"/>
        <v>0.19999999999999996</v>
      </c>
      <c r="AR20" s="698">
        <v>0.2</v>
      </c>
      <c r="AS20" s="416">
        <v>0.15</v>
      </c>
      <c r="AT20" s="416">
        <v>0.15</v>
      </c>
      <c r="AU20" s="415">
        <v>0.15</v>
      </c>
      <c r="AV20" s="698"/>
      <c r="AW20" s="416"/>
      <c r="AX20" s="416"/>
      <c r="AY20" s="415"/>
      <c r="AZ20" s="509"/>
      <c r="BA20" s="105"/>
      <c r="BB20" s="105"/>
      <c r="BC20" s="311"/>
      <c r="BD20" s="509"/>
      <c r="BE20" s="105"/>
      <c r="BF20" s="105"/>
      <c r="BG20" s="15"/>
      <c r="BH20" s="509"/>
      <c r="BI20" s="105"/>
      <c r="BJ20" s="105"/>
      <c r="BK20" s="15"/>
      <c r="BL20" s="105"/>
      <c r="BM20" s="105"/>
      <c r="BN20" s="105"/>
      <c r="BO20" s="15"/>
      <c r="BP20" s="105"/>
      <c r="BQ20" s="105"/>
      <c r="BR20" s="105"/>
      <c r="BS20" s="15"/>
      <c r="BT20" s="105"/>
      <c r="BU20" s="105"/>
      <c r="BV20" s="105"/>
      <c r="BW20" s="15"/>
      <c r="BX20" s="104"/>
      <c r="BY20" s="105"/>
      <c r="BZ20" s="105"/>
      <c r="CA20" s="105"/>
      <c r="CB20" s="105"/>
      <c r="CC20" s="105"/>
      <c r="CD20" s="105"/>
      <c r="CF20" s="105"/>
      <c r="CG20" s="310">
        <f>CG18/CG$67</f>
        <v>0.16096587056934769</v>
      </c>
      <c r="CH20" s="414">
        <f>CH18/CH$67</f>
        <v>0.16250894917125733</v>
      </c>
      <c r="CI20" s="311">
        <f>CI18/CI$67</f>
        <v>9.7595711662182894E-2</v>
      </c>
      <c r="CJ20" s="105"/>
      <c r="CK20" s="105"/>
      <c r="CN20" s="105"/>
      <c r="CO20" s="105"/>
      <c r="CP20" s="15"/>
      <c r="CQ20" s="104"/>
      <c r="CR20" s="509"/>
      <c r="CS20" s="105"/>
      <c r="CT20" s="105"/>
      <c r="CZ20" s="105"/>
      <c r="DA20" s="105"/>
      <c r="DB20" s="105"/>
      <c r="DC20" s="105"/>
      <c r="DD20" s="105"/>
      <c r="DE20" s="105"/>
      <c r="DF20" s="15"/>
      <c r="DG20" s="7"/>
      <c r="DH20" s="7"/>
      <c r="DI20" s="7"/>
      <c r="DJ20" s="7"/>
    </row>
    <row r="21" spans="2:114" ht="14.25" hidden="1" outlineLevel="1">
      <c r="B21" s="491"/>
      <c r="D21" s="416"/>
      <c r="E21" s="416"/>
      <c r="F21" s="416"/>
      <c r="G21" s="415"/>
      <c r="H21" s="416"/>
      <c r="I21" s="416"/>
      <c r="J21" s="416"/>
      <c r="K21" s="415"/>
      <c r="L21" s="416"/>
      <c r="M21" s="416"/>
      <c r="N21" s="416"/>
      <c r="O21" s="415"/>
      <c r="P21" s="416"/>
      <c r="Q21" s="416"/>
      <c r="R21" s="416"/>
      <c r="S21" s="415"/>
      <c r="T21" s="416"/>
      <c r="U21" s="416"/>
      <c r="V21" s="416"/>
      <c r="W21" s="415"/>
      <c r="X21" s="416"/>
      <c r="Y21" s="416"/>
      <c r="Z21" s="416"/>
      <c r="AA21" s="415"/>
      <c r="AB21" s="416"/>
      <c r="AC21" s="416"/>
      <c r="AD21" s="416"/>
      <c r="AE21" s="415"/>
      <c r="AF21" s="416"/>
      <c r="AG21" s="105"/>
      <c r="AH21" s="416"/>
      <c r="AI21" s="15"/>
      <c r="AJ21" s="414"/>
      <c r="AK21" s="414"/>
      <c r="AL21" s="414"/>
      <c r="AM21" s="311"/>
      <c r="AN21" s="414"/>
      <c r="AO21" s="414"/>
      <c r="AP21" s="414"/>
      <c r="AQ21" s="310"/>
      <c r="AR21" s="698"/>
      <c r="AS21" s="416"/>
      <c r="AT21" s="416"/>
      <c r="AU21" s="415"/>
      <c r="AV21" s="698"/>
      <c r="AW21" s="416"/>
      <c r="AX21" s="416"/>
      <c r="AY21" s="415"/>
      <c r="AZ21" s="509"/>
      <c r="BA21" s="105"/>
      <c r="BB21" s="105"/>
      <c r="BC21" s="311"/>
      <c r="BD21" s="509"/>
      <c r="BE21" s="105"/>
      <c r="BF21" s="105"/>
      <c r="BG21" s="15"/>
      <c r="BH21" s="30">
        <f>BH19+BH16</f>
        <v>0</v>
      </c>
      <c r="BI21" s="105"/>
      <c r="BJ21" s="105"/>
      <c r="BK21" s="15"/>
      <c r="BL21" s="105"/>
      <c r="BM21" s="105"/>
      <c r="BN21" s="105"/>
      <c r="BO21" s="15"/>
      <c r="BP21" s="105"/>
      <c r="BQ21" s="105"/>
      <c r="BR21" s="105"/>
      <c r="BS21" s="15"/>
      <c r="BT21" s="105"/>
      <c r="BU21" s="105"/>
      <c r="BV21" s="105"/>
      <c r="BW21" s="15"/>
      <c r="BX21" s="104"/>
      <c r="BY21" s="105"/>
      <c r="BZ21" s="105"/>
      <c r="CA21" s="105"/>
      <c r="CB21" s="105"/>
      <c r="CC21" s="105"/>
      <c r="CD21" s="105"/>
      <c r="CF21" s="105"/>
      <c r="CG21" s="310"/>
      <c r="CH21" s="414"/>
      <c r="CI21" s="311"/>
      <c r="CJ21" s="105"/>
      <c r="CK21" s="105"/>
      <c r="CN21" s="105"/>
      <c r="CO21" s="105"/>
      <c r="CP21" s="15"/>
      <c r="CQ21" s="104"/>
      <c r="CR21" s="509"/>
      <c r="CS21" s="105"/>
      <c r="CT21" s="105"/>
      <c r="CZ21" s="105"/>
      <c r="DA21" s="105"/>
      <c r="DB21" s="105"/>
      <c r="DC21" s="105"/>
      <c r="DD21" s="105"/>
      <c r="DE21" s="105"/>
      <c r="DF21" s="15"/>
      <c r="DG21" s="7"/>
      <c r="DH21" s="7"/>
      <c r="DI21" s="7"/>
      <c r="DJ21" s="7"/>
    </row>
    <row r="22" spans="2:114" ht="15" hidden="1" outlineLevel="1">
      <c r="B22" s="330" t="s">
        <v>392</v>
      </c>
      <c r="D22" s="428">
        <f t="shared" ref="D22:K22" si="36">D25*D62</f>
        <v>0</v>
      </c>
      <c r="E22" s="429">
        <f t="shared" si="36"/>
        <v>0</v>
      </c>
      <c r="F22" s="429">
        <f t="shared" si="36"/>
        <v>0</v>
      </c>
      <c r="G22" s="430">
        <f t="shared" si="36"/>
        <v>0</v>
      </c>
      <c r="H22" s="428">
        <f t="shared" si="36"/>
        <v>0</v>
      </c>
      <c r="I22" s="429">
        <f t="shared" si="36"/>
        <v>0</v>
      </c>
      <c r="J22" s="429">
        <f t="shared" si="36"/>
        <v>0</v>
      </c>
      <c r="K22" s="430">
        <f t="shared" si="36"/>
        <v>0</v>
      </c>
      <c r="L22" s="428">
        <f>L25*L67</f>
        <v>121.08800000000001</v>
      </c>
      <c r="M22" s="429">
        <f>M25*M67</f>
        <v>52.792499999999997</v>
      </c>
      <c r="N22" s="429">
        <f>N25*N67</f>
        <v>105.34260000000002</v>
      </c>
      <c r="O22" s="430">
        <f t="shared" ref="O22:AF22" si="37">O25*O62</f>
        <v>0</v>
      </c>
      <c r="P22" s="428">
        <f t="shared" si="37"/>
        <v>0</v>
      </c>
      <c r="Q22" s="429">
        <f t="shared" si="37"/>
        <v>0</v>
      </c>
      <c r="R22" s="429">
        <f t="shared" si="37"/>
        <v>0</v>
      </c>
      <c r="S22" s="430">
        <f t="shared" si="37"/>
        <v>0</v>
      </c>
      <c r="T22" s="428">
        <f t="shared" si="37"/>
        <v>0</v>
      </c>
      <c r="U22" s="429">
        <f t="shared" si="37"/>
        <v>0</v>
      </c>
      <c r="V22" s="429">
        <f t="shared" si="37"/>
        <v>0</v>
      </c>
      <c r="W22" s="430">
        <f t="shared" si="37"/>
        <v>0</v>
      </c>
      <c r="X22" s="428">
        <f t="shared" si="37"/>
        <v>0</v>
      </c>
      <c r="Y22" s="429">
        <f t="shared" si="37"/>
        <v>0</v>
      </c>
      <c r="Z22" s="429">
        <f t="shared" si="37"/>
        <v>0</v>
      </c>
      <c r="AA22" s="430">
        <f t="shared" si="37"/>
        <v>0</v>
      </c>
      <c r="AB22" s="428">
        <f t="shared" si="37"/>
        <v>0</v>
      </c>
      <c r="AC22" s="429">
        <f t="shared" si="37"/>
        <v>0</v>
      </c>
      <c r="AD22" s="429">
        <f t="shared" si="37"/>
        <v>0</v>
      </c>
      <c r="AE22" s="430">
        <f t="shared" si="37"/>
        <v>0</v>
      </c>
      <c r="AF22" s="428">
        <f t="shared" si="37"/>
        <v>0</v>
      </c>
      <c r="AG22" s="429">
        <f>AF22*(1+AG23)</f>
        <v>0</v>
      </c>
      <c r="AH22" s="429">
        <f>AH25*AH62</f>
        <v>0</v>
      </c>
      <c r="AI22" s="430">
        <f>AI25*AI62</f>
        <v>0</v>
      </c>
      <c r="AJ22" s="429">
        <f t="shared" ref="AJ22:AU22" si="38">AJ62*AJ25</f>
        <v>0</v>
      </c>
      <c r="AK22" s="429">
        <f t="shared" si="38"/>
        <v>0</v>
      </c>
      <c r="AL22" s="429">
        <f t="shared" si="38"/>
        <v>0</v>
      </c>
      <c r="AM22" s="697">
        <f t="shared" si="38"/>
        <v>0</v>
      </c>
      <c r="AN22" s="429">
        <f t="shared" si="38"/>
        <v>0</v>
      </c>
      <c r="AO22" s="429">
        <f t="shared" si="38"/>
        <v>0</v>
      </c>
      <c r="AP22" s="429">
        <f t="shared" si="38"/>
        <v>0</v>
      </c>
      <c r="AQ22" s="697">
        <f t="shared" si="38"/>
        <v>0</v>
      </c>
      <c r="AR22" s="428">
        <f t="shared" si="38"/>
        <v>0</v>
      </c>
      <c r="AS22" s="429">
        <f t="shared" si="38"/>
        <v>0</v>
      </c>
      <c r="AT22" s="429">
        <f t="shared" si="38"/>
        <v>0</v>
      </c>
      <c r="AU22" s="430">
        <f t="shared" si="38"/>
        <v>0</v>
      </c>
      <c r="AV22" s="428"/>
      <c r="AW22" s="429"/>
      <c r="AX22" s="429"/>
      <c r="AY22" s="430"/>
      <c r="AZ22" s="428"/>
      <c r="BA22" s="429"/>
      <c r="BB22" s="429"/>
      <c r="BC22" s="577"/>
      <c r="BD22" s="428"/>
      <c r="BE22" s="429"/>
      <c r="BF22" s="429"/>
      <c r="BG22" s="430"/>
      <c r="BH22" s="428"/>
      <c r="BI22" s="429"/>
      <c r="BJ22" s="429"/>
      <c r="BK22" s="430"/>
      <c r="BL22" s="429"/>
      <c r="BM22" s="429"/>
      <c r="BN22" s="429"/>
      <c r="BO22" s="430"/>
      <c r="BP22" s="429"/>
      <c r="BQ22" s="429"/>
      <c r="BR22" s="429"/>
      <c r="BS22" s="430"/>
      <c r="BT22" s="429"/>
      <c r="BU22" s="429"/>
      <c r="BV22" s="429"/>
      <c r="BW22" s="430"/>
      <c r="BX22" s="104"/>
      <c r="BY22" s="429">
        <f>SUM(D22:G22)</f>
        <v>0</v>
      </c>
      <c r="BZ22" s="429">
        <f>SUM(H22:K22)</f>
        <v>0</v>
      </c>
      <c r="CA22" s="429">
        <f>SUM(L22:O22)</f>
        <v>279.22310000000004</v>
      </c>
      <c r="CB22" s="429">
        <f>SUM(P22:S22)</f>
        <v>0</v>
      </c>
      <c r="CC22" s="429">
        <f>SUM(T22:W22)</f>
        <v>0</v>
      </c>
      <c r="CD22" s="429">
        <f>SUM(X22:AA22)</f>
        <v>0</v>
      </c>
      <c r="CE22" s="429">
        <f>SUM(AB22:AE22)</f>
        <v>0</v>
      </c>
      <c r="CF22" s="429">
        <f>SUM(AF22:AI22)</f>
        <v>0</v>
      </c>
      <c r="CG22" s="429">
        <f>SUM(AJ22:AM22)</f>
        <v>0</v>
      </c>
      <c r="CH22" s="429">
        <f>SUM(AN22:AQ22)</f>
        <v>0</v>
      </c>
      <c r="CI22" s="430">
        <f>SUM(AR22:AU22)</f>
        <v>0</v>
      </c>
      <c r="CJ22" s="429"/>
      <c r="CK22" s="105"/>
      <c r="CN22" s="105"/>
      <c r="CO22" s="105"/>
      <c r="CP22" s="15"/>
      <c r="CQ22" s="104"/>
      <c r="CR22" s="193">
        <f>SUM(M22:P22)</f>
        <v>158.13510000000002</v>
      </c>
      <c r="CS22" s="75">
        <f>SUM(Q22:T22)</f>
        <v>0</v>
      </c>
      <c r="CT22" s="75">
        <f>SUM(U22:X22)</f>
        <v>0</v>
      </c>
      <c r="CU22" s="75">
        <f>SUM(Y22:AB22)</f>
        <v>0</v>
      </c>
      <c r="CV22" s="75">
        <f>SUM(AC22:AF22)</f>
        <v>0</v>
      </c>
      <c r="CW22" s="75">
        <f>SUM(AG22:AJ22)</f>
        <v>0</v>
      </c>
      <c r="CX22" s="75">
        <f>SUM(AK22:AN22)</f>
        <v>0</v>
      </c>
      <c r="CY22" s="75">
        <f>SUM(AO22:AR22)</f>
        <v>0</v>
      </c>
      <c r="CZ22" s="75">
        <f>SUM(AS22:AV22)</f>
        <v>0</v>
      </c>
      <c r="DA22" s="75"/>
      <c r="DB22" s="75"/>
      <c r="DC22" s="75"/>
      <c r="DD22" s="75"/>
      <c r="DE22" s="75"/>
      <c r="DF22" s="76"/>
      <c r="DG22" s="7"/>
      <c r="DH22" s="7"/>
      <c r="DI22" s="7"/>
      <c r="DJ22" s="7"/>
    </row>
    <row r="23" spans="2:114" ht="14.25" hidden="1" outlineLevel="1">
      <c r="B23" s="472" t="s">
        <v>275</v>
      </c>
      <c r="E23" s="414" t="e">
        <f>E22/D22-1</f>
        <v>#DIV/0!</v>
      </c>
      <c r="F23" s="414" t="e">
        <f>F22/E22-1</f>
        <v>#DIV/0!</v>
      </c>
      <c r="G23" s="311" t="e">
        <f>G22/F22-1</f>
        <v>#DIV/0!</v>
      </c>
      <c r="I23" s="414" t="e">
        <f>I22/H22-1</f>
        <v>#DIV/0!</v>
      </c>
      <c r="J23" s="414" t="e">
        <f>J22/I22-1</f>
        <v>#DIV/0!</v>
      </c>
      <c r="K23" s="311" t="e">
        <f>K22/J22-1</f>
        <v>#DIV/0!</v>
      </c>
      <c r="M23" s="414"/>
      <c r="N23" s="414">
        <f>N22/M22-1</f>
        <v>0.99540843869867923</v>
      </c>
      <c r="O23" s="311">
        <f>O22/N22-1</f>
        <v>-1</v>
      </c>
      <c r="Q23" s="414" t="e">
        <f>Q22/P22-1</f>
        <v>#DIV/0!</v>
      </c>
      <c r="R23" s="414" t="e">
        <f>R22/Q22-1</f>
        <v>#DIV/0!</v>
      </c>
      <c r="S23" s="311" t="e">
        <f>S22/R22-1</f>
        <v>#DIV/0!</v>
      </c>
      <c r="U23" s="414" t="e">
        <f>U22/T22-1</f>
        <v>#DIV/0!</v>
      </c>
      <c r="V23" s="414" t="e">
        <f>V22/U22-1</f>
        <v>#DIV/0!</v>
      </c>
      <c r="W23" s="311" t="e">
        <f>W22/V22-1</f>
        <v>#DIV/0!</v>
      </c>
      <c r="Y23" s="414" t="e">
        <f t="shared" ref="Y23:AF23" si="39">Y22/X22-1</f>
        <v>#DIV/0!</v>
      </c>
      <c r="Z23" s="414" t="e">
        <f t="shared" si="39"/>
        <v>#DIV/0!</v>
      </c>
      <c r="AA23" s="311" t="e">
        <f t="shared" si="39"/>
        <v>#DIV/0!</v>
      </c>
      <c r="AB23" s="414" t="e">
        <f t="shared" si="39"/>
        <v>#DIV/0!</v>
      </c>
      <c r="AC23" s="414" t="e">
        <f t="shared" si="39"/>
        <v>#DIV/0!</v>
      </c>
      <c r="AD23" s="414" t="e">
        <f t="shared" si="39"/>
        <v>#DIV/0!</v>
      </c>
      <c r="AE23" s="311" t="e">
        <f t="shared" si="39"/>
        <v>#DIV/0!</v>
      </c>
      <c r="AF23" s="414" t="e">
        <f t="shared" si="39"/>
        <v>#DIV/0!</v>
      </c>
      <c r="AG23" s="413">
        <v>0.03</v>
      </c>
      <c r="AH23" s="414" t="e">
        <f>AH22/AG22-1</f>
        <v>#DIV/0!</v>
      </c>
      <c r="AI23" s="311" t="e">
        <f>AI22/AH22-1</f>
        <v>#DIV/0!</v>
      </c>
      <c r="AJ23" s="486" t="e">
        <f>AJ22/AI22-1</f>
        <v>#DIV/0!</v>
      </c>
      <c r="AK23" s="414" t="e">
        <f>AK22/AJ22-1</f>
        <v>#DIV/0!</v>
      </c>
      <c r="AL23" s="414" t="e">
        <f>AL22/AK22-1</f>
        <v>#DIV/0!</v>
      </c>
      <c r="AM23" s="310" t="e">
        <f t="shared" ref="AM23:AU23" si="40">AM22/AL22-1</f>
        <v>#DIV/0!</v>
      </c>
      <c r="AN23" s="486" t="e">
        <f t="shared" si="40"/>
        <v>#DIV/0!</v>
      </c>
      <c r="AO23" s="414" t="e">
        <f t="shared" si="40"/>
        <v>#DIV/0!</v>
      </c>
      <c r="AP23" s="414" t="e">
        <f t="shared" si="40"/>
        <v>#DIV/0!</v>
      </c>
      <c r="AQ23" s="310" t="e">
        <f t="shared" si="40"/>
        <v>#DIV/0!</v>
      </c>
      <c r="AR23" s="699" t="e">
        <f t="shared" si="40"/>
        <v>#DIV/0!</v>
      </c>
      <c r="AS23" s="310" t="e">
        <f t="shared" si="40"/>
        <v>#DIV/0!</v>
      </c>
      <c r="AT23" s="310" t="e">
        <f t="shared" si="40"/>
        <v>#DIV/0!</v>
      </c>
      <c r="AU23" s="311" t="e">
        <f t="shared" si="40"/>
        <v>#DIV/0!</v>
      </c>
      <c r="AV23" s="699"/>
      <c r="AW23" s="310"/>
      <c r="AX23" s="310"/>
      <c r="AY23" s="311"/>
      <c r="AZ23" s="698"/>
      <c r="BA23" s="416"/>
      <c r="BB23" s="416"/>
      <c r="BC23" s="112"/>
      <c r="BD23" s="698"/>
      <c r="BE23" s="416"/>
      <c r="BF23" s="416"/>
      <c r="BG23" s="415"/>
      <c r="BH23" s="698"/>
      <c r="BI23" s="416"/>
      <c r="BJ23" s="416"/>
      <c r="BK23" s="415"/>
      <c r="BL23" s="413"/>
      <c r="BM23" s="413"/>
      <c r="BN23" s="413"/>
      <c r="BO23" s="415"/>
      <c r="BP23" s="413"/>
      <c r="BQ23" s="413"/>
      <c r="BR23" s="413"/>
      <c r="BS23" s="415"/>
      <c r="BT23" s="413"/>
      <c r="BU23" s="413"/>
      <c r="BV23" s="413"/>
      <c r="BW23" s="415"/>
      <c r="BX23" s="104"/>
      <c r="BY23" s="310"/>
      <c r="BZ23" s="310"/>
      <c r="CA23" s="310"/>
      <c r="CB23" s="310"/>
      <c r="CC23" s="310"/>
      <c r="CD23" s="310"/>
      <c r="CE23" s="414"/>
      <c r="CF23" s="310"/>
      <c r="CG23" s="310"/>
      <c r="CH23" s="414"/>
      <c r="CI23" s="311"/>
      <c r="CJ23" s="310"/>
      <c r="CK23" s="105"/>
      <c r="CN23" s="105"/>
      <c r="CO23" s="105"/>
      <c r="CP23" s="15"/>
      <c r="CQ23" s="104"/>
      <c r="CR23" s="509"/>
      <c r="CS23" s="105"/>
      <c r="CT23" s="105"/>
      <c r="CV23" s="414"/>
      <c r="CW23" s="414"/>
      <c r="CX23" s="414"/>
      <c r="CY23" s="414"/>
      <c r="CZ23" s="310"/>
      <c r="DA23" s="310"/>
      <c r="DB23" s="310"/>
      <c r="DC23" s="310"/>
      <c r="DD23" s="310"/>
      <c r="DE23" s="310"/>
      <c r="DF23" s="311"/>
      <c r="DG23" s="7"/>
      <c r="DH23" s="7"/>
      <c r="DI23" s="7"/>
      <c r="DJ23" s="7"/>
    </row>
    <row r="24" spans="2:114" ht="14.25" hidden="1" outlineLevel="1">
      <c r="B24" s="473" t="s">
        <v>276</v>
      </c>
      <c r="E24" s="414"/>
      <c r="F24" s="414"/>
      <c r="G24" s="311"/>
      <c r="I24" s="414"/>
      <c r="J24" s="414"/>
      <c r="K24" s="311"/>
      <c r="M24" s="414"/>
      <c r="N24" s="414"/>
      <c r="O24" s="311"/>
      <c r="Q24" s="414"/>
      <c r="R24" s="414"/>
      <c r="S24" s="311"/>
      <c r="U24" s="414"/>
      <c r="V24" s="414"/>
      <c r="W24" s="311"/>
      <c r="Y24" s="414"/>
      <c r="Z24" s="414"/>
      <c r="AA24" s="311"/>
      <c r="AB24" s="414" t="e">
        <f t="shared" ref="AB24:AU24" si="41">AB22/X22-1</f>
        <v>#DIV/0!</v>
      </c>
      <c r="AC24" s="414" t="e">
        <f t="shared" si="41"/>
        <v>#DIV/0!</v>
      </c>
      <c r="AD24" s="414" t="e">
        <f t="shared" si="41"/>
        <v>#DIV/0!</v>
      </c>
      <c r="AE24" s="311" t="e">
        <f t="shared" si="41"/>
        <v>#DIV/0!</v>
      </c>
      <c r="AF24" s="414" t="e">
        <f t="shared" si="41"/>
        <v>#DIV/0!</v>
      </c>
      <c r="AG24" s="414" t="e">
        <f t="shared" si="41"/>
        <v>#DIV/0!</v>
      </c>
      <c r="AH24" s="414" t="e">
        <f t="shared" si="41"/>
        <v>#DIV/0!</v>
      </c>
      <c r="AI24" s="311" t="e">
        <f t="shared" si="41"/>
        <v>#DIV/0!</v>
      </c>
      <c r="AJ24" s="414" t="e">
        <f>AJ22/AF22-1</f>
        <v>#DIV/0!</v>
      </c>
      <c r="AK24" s="414" t="e">
        <f>AK22/AG22-1</f>
        <v>#DIV/0!</v>
      </c>
      <c r="AL24" s="414" t="e">
        <f>AL22/AH22-1</f>
        <v>#DIV/0!</v>
      </c>
      <c r="AM24" s="310" t="e">
        <f t="shared" si="41"/>
        <v>#DIV/0!</v>
      </c>
      <c r="AN24" s="414" t="e">
        <f t="shared" si="41"/>
        <v>#DIV/0!</v>
      </c>
      <c r="AO24" s="414" t="e">
        <f t="shared" si="41"/>
        <v>#DIV/0!</v>
      </c>
      <c r="AP24" s="414" t="e">
        <f t="shared" si="41"/>
        <v>#DIV/0!</v>
      </c>
      <c r="AQ24" s="310" t="e">
        <f t="shared" si="41"/>
        <v>#DIV/0!</v>
      </c>
      <c r="AR24" s="309" t="e">
        <f t="shared" si="41"/>
        <v>#DIV/0!</v>
      </c>
      <c r="AS24" s="310" t="e">
        <f t="shared" si="41"/>
        <v>#DIV/0!</v>
      </c>
      <c r="AT24" s="310" t="e">
        <f t="shared" si="41"/>
        <v>#DIV/0!</v>
      </c>
      <c r="AU24" s="311" t="e">
        <f t="shared" si="41"/>
        <v>#DIV/0!</v>
      </c>
      <c r="AV24" s="309"/>
      <c r="AW24" s="310"/>
      <c r="AX24" s="310"/>
      <c r="AY24" s="311"/>
      <c r="AZ24" s="698"/>
      <c r="BA24" s="416"/>
      <c r="BB24" s="416"/>
      <c r="BC24" s="311"/>
      <c r="BD24" s="698"/>
      <c r="BE24" s="416"/>
      <c r="BF24" s="416"/>
      <c r="BG24" s="415"/>
      <c r="BH24" s="698"/>
      <c r="BI24" s="416"/>
      <c r="BJ24" s="416"/>
      <c r="BK24" s="415"/>
      <c r="BL24" s="413"/>
      <c r="BM24" s="413"/>
      <c r="BN24" s="413"/>
      <c r="BO24" s="415"/>
      <c r="BP24" s="413"/>
      <c r="BQ24" s="413"/>
      <c r="BR24" s="413"/>
      <c r="BS24" s="415"/>
      <c r="BT24" s="413"/>
      <c r="BU24" s="413"/>
      <c r="BV24" s="413"/>
      <c r="BW24" s="415"/>
      <c r="BX24" s="104"/>
      <c r="BY24" s="310"/>
      <c r="BZ24" s="310"/>
      <c r="CA24" s="310"/>
      <c r="CB24" s="310"/>
      <c r="CC24" s="310"/>
      <c r="CD24" s="310"/>
      <c r="CE24" s="414" t="e">
        <f>CE22/CD22-1</f>
        <v>#DIV/0!</v>
      </c>
      <c r="CF24" s="310" t="e">
        <f>CF22/CE22-1</f>
        <v>#DIV/0!</v>
      </c>
      <c r="CG24" s="310" t="e">
        <f>CG22/CF22-1</f>
        <v>#DIV/0!</v>
      </c>
      <c r="CH24" s="414" t="e">
        <f>CH22/CG22-1</f>
        <v>#DIV/0!</v>
      </c>
      <c r="CI24" s="311" t="e">
        <f>CI22/CH22-1</f>
        <v>#DIV/0!</v>
      </c>
      <c r="CJ24" s="310"/>
      <c r="CK24" s="105"/>
      <c r="CN24" s="105"/>
      <c r="CO24" s="105"/>
      <c r="CP24" s="15"/>
      <c r="CQ24" s="104"/>
      <c r="CR24" s="509"/>
      <c r="CS24" s="105"/>
      <c r="CT24" s="105"/>
      <c r="CV24" s="414" t="e">
        <f>CV22/CU22-1</f>
        <v>#DIV/0!</v>
      </c>
      <c r="CW24" s="414" t="e">
        <f>CW22/CV22-1</f>
        <v>#DIV/0!</v>
      </c>
      <c r="CX24" s="414" t="e">
        <f>CX22/CW22-1</f>
        <v>#DIV/0!</v>
      </c>
      <c r="CY24" s="414" t="e">
        <f>CY22/CX22-1</f>
        <v>#DIV/0!</v>
      </c>
      <c r="CZ24" s="310" t="e">
        <f>CZ22/CY22-1</f>
        <v>#DIV/0!</v>
      </c>
      <c r="DA24" s="310"/>
      <c r="DB24" s="310"/>
      <c r="DC24" s="310"/>
      <c r="DD24" s="310"/>
      <c r="DE24" s="310"/>
      <c r="DF24" s="311"/>
      <c r="DG24" s="7"/>
      <c r="DH24" s="7"/>
      <c r="DI24" s="7"/>
      <c r="DJ24" s="7"/>
    </row>
    <row r="25" spans="2:114" ht="14.25" hidden="1" outlineLevel="1">
      <c r="B25" s="472" t="s">
        <v>237</v>
      </c>
      <c r="D25" s="413">
        <v>0.25</v>
      </c>
      <c r="E25" s="413">
        <v>0.25</v>
      </c>
      <c r="F25" s="413">
        <v>0.23</v>
      </c>
      <c r="G25" s="415">
        <v>0.23</v>
      </c>
      <c r="H25" s="413">
        <v>0.25</v>
      </c>
      <c r="I25" s="413">
        <v>0.25</v>
      </c>
      <c r="J25" s="413">
        <v>0.23</v>
      </c>
      <c r="K25" s="415">
        <v>0.23</v>
      </c>
      <c r="L25" s="413">
        <v>0.55000000000000004</v>
      </c>
      <c r="M25" s="413">
        <v>0.5</v>
      </c>
      <c r="N25" s="413">
        <v>0.55000000000000004</v>
      </c>
      <c r="O25" s="415">
        <v>0.23</v>
      </c>
      <c r="P25" s="413">
        <v>0.25</v>
      </c>
      <c r="Q25" s="413">
        <v>0.25</v>
      </c>
      <c r="R25" s="413">
        <v>0.23</v>
      </c>
      <c r="S25" s="415">
        <v>0.23</v>
      </c>
      <c r="T25" s="413">
        <v>0.25</v>
      </c>
      <c r="U25" s="413">
        <v>0.25</v>
      </c>
      <c r="V25" s="413">
        <v>0.23</v>
      </c>
      <c r="W25" s="415">
        <v>0.23</v>
      </c>
      <c r="X25" s="413">
        <v>0.25</v>
      </c>
      <c r="Y25" s="413">
        <v>0.25</v>
      </c>
      <c r="Z25" s="413">
        <v>0.23</v>
      </c>
      <c r="AA25" s="415">
        <v>0.23</v>
      </c>
      <c r="AB25" s="413">
        <v>0.23</v>
      </c>
      <c r="AC25" s="413">
        <v>0.23</v>
      </c>
      <c r="AD25" s="413">
        <v>0.23</v>
      </c>
      <c r="AE25" s="415">
        <v>0.2</v>
      </c>
      <c r="AF25" s="413">
        <v>0.23</v>
      </c>
      <c r="AG25" s="414">
        <f>AG22/AG$67</f>
        <v>0</v>
      </c>
      <c r="AH25" s="413">
        <v>0.22500000000000001</v>
      </c>
      <c r="AI25" s="311">
        <v>0.2</v>
      </c>
      <c r="AJ25" s="413">
        <v>0.3</v>
      </c>
      <c r="AK25" s="413">
        <v>0.35</v>
      </c>
      <c r="AL25" s="413">
        <v>0.35</v>
      </c>
      <c r="AM25" s="113">
        <v>0.4</v>
      </c>
      <c r="AN25" s="413">
        <v>0.3</v>
      </c>
      <c r="AO25" s="413">
        <v>0.35</v>
      </c>
      <c r="AP25" s="413">
        <v>0.35</v>
      </c>
      <c r="AQ25" s="113">
        <v>0.4</v>
      </c>
      <c r="AR25" s="698">
        <v>0.4</v>
      </c>
      <c r="AS25" s="416">
        <v>0.4</v>
      </c>
      <c r="AT25" s="416">
        <v>0.4</v>
      </c>
      <c r="AU25" s="415">
        <v>0.4</v>
      </c>
      <c r="AV25" s="698"/>
      <c r="AW25" s="416"/>
      <c r="AX25" s="416"/>
      <c r="AY25" s="415"/>
      <c r="AZ25" s="309"/>
      <c r="BA25" s="310"/>
      <c r="BB25" s="310"/>
      <c r="BC25" s="311"/>
      <c r="BD25" s="309"/>
      <c r="BE25" s="310"/>
      <c r="BF25" s="310"/>
      <c r="BG25" s="311"/>
      <c r="BH25" s="309"/>
      <c r="BI25" s="310"/>
      <c r="BJ25" s="310"/>
      <c r="BK25" s="311"/>
      <c r="BL25" s="414"/>
      <c r="BM25" s="414"/>
      <c r="BN25" s="414"/>
      <c r="BO25" s="311"/>
      <c r="BP25" s="414"/>
      <c r="BQ25" s="414"/>
      <c r="BR25" s="414"/>
      <c r="BS25" s="311"/>
      <c r="BT25" s="414"/>
      <c r="BU25" s="414"/>
      <c r="BV25" s="414"/>
      <c r="BW25" s="311"/>
      <c r="BX25" s="104"/>
      <c r="BY25" s="310">
        <f t="shared" ref="BY25:CI25" si="42">BY22/BY$67</f>
        <v>0</v>
      </c>
      <c r="BZ25" s="310">
        <f t="shared" si="42"/>
        <v>0</v>
      </c>
      <c r="CA25" s="310">
        <f t="shared" si="42"/>
        <v>0.35238934791909354</v>
      </c>
      <c r="CB25" s="310">
        <f t="shared" si="42"/>
        <v>0</v>
      </c>
      <c r="CC25" s="310">
        <f t="shared" si="42"/>
        <v>0</v>
      </c>
      <c r="CD25" s="310">
        <f t="shared" si="42"/>
        <v>0</v>
      </c>
      <c r="CE25" s="414">
        <f t="shared" si="42"/>
        <v>0</v>
      </c>
      <c r="CF25" s="310">
        <f t="shared" si="42"/>
        <v>0</v>
      </c>
      <c r="CG25" s="310">
        <f t="shared" si="42"/>
        <v>0</v>
      </c>
      <c r="CH25" s="414">
        <f t="shared" si="42"/>
        <v>0</v>
      </c>
      <c r="CI25" s="311">
        <f t="shared" si="42"/>
        <v>0</v>
      </c>
      <c r="CJ25" s="310"/>
      <c r="CK25" s="105"/>
      <c r="CN25" s="105"/>
      <c r="CO25" s="105"/>
      <c r="CP25" s="15"/>
      <c r="CQ25" s="104"/>
      <c r="CR25" s="509"/>
      <c r="CS25" s="105"/>
      <c r="CT25" s="105"/>
      <c r="CV25" s="414">
        <f>CV22/CV$67</f>
        <v>0</v>
      </c>
      <c r="CW25" s="414">
        <f>CW22/CW$67</f>
        <v>0</v>
      </c>
      <c r="CX25" s="414">
        <f>CX22/CX$67</f>
        <v>0</v>
      </c>
      <c r="CY25" s="414">
        <f>CY22/CY$67</f>
        <v>0</v>
      </c>
      <c r="CZ25" s="310">
        <f>CZ22/CZ$67</f>
        <v>0</v>
      </c>
      <c r="DA25" s="310"/>
      <c r="DB25" s="310"/>
      <c r="DC25" s="310"/>
      <c r="DD25" s="310"/>
      <c r="DE25" s="310"/>
      <c r="DF25" s="311"/>
      <c r="DG25" s="7"/>
      <c r="DH25" s="7"/>
      <c r="DI25" s="7"/>
      <c r="DJ25" s="7"/>
    </row>
    <row r="26" spans="2:114" ht="14.25" hidden="1" outlineLevel="1">
      <c r="B26" s="412"/>
      <c r="D26" s="416"/>
      <c r="E26" s="416"/>
      <c r="F26" s="416"/>
      <c r="G26" s="415"/>
      <c r="H26" s="416"/>
      <c r="I26" s="416"/>
      <c r="J26" s="416"/>
      <c r="K26" s="415"/>
      <c r="L26" s="416"/>
      <c r="M26" s="416"/>
      <c r="N26" s="416"/>
      <c r="O26" s="415"/>
      <c r="P26" s="416"/>
      <c r="Q26" s="416"/>
      <c r="R26" s="416"/>
      <c r="S26" s="415"/>
      <c r="T26" s="416"/>
      <c r="U26" s="416"/>
      <c r="V26" s="416"/>
      <c r="W26" s="415"/>
      <c r="X26" s="416"/>
      <c r="Y26" s="416"/>
      <c r="Z26" s="416"/>
      <c r="AA26" s="415"/>
      <c r="AB26" s="416"/>
      <c r="AC26" s="416"/>
      <c r="AD26" s="416"/>
      <c r="AE26" s="415"/>
      <c r="AF26" s="416"/>
      <c r="AG26" s="105"/>
      <c r="AH26" s="416"/>
      <c r="AI26" s="576"/>
      <c r="AJ26" s="105"/>
      <c r="AK26" s="105"/>
      <c r="AL26" s="105"/>
      <c r="AM26" s="105"/>
      <c r="AN26" s="105"/>
      <c r="AO26" s="105"/>
      <c r="AP26" s="105"/>
      <c r="AQ26" s="105"/>
      <c r="AR26" s="698"/>
      <c r="AS26" s="105"/>
      <c r="AT26" s="105"/>
      <c r="AU26" s="15"/>
      <c r="AV26" s="698"/>
      <c r="AW26" s="105"/>
      <c r="AX26" s="105"/>
      <c r="AY26" s="15"/>
      <c r="AZ26" s="509"/>
      <c r="BA26" s="105"/>
      <c r="BB26" s="105"/>
      <c r="BC26" s="15"/>
      <c r="BD26" s="509"/>
      <c r="BE26" s="105"/>
      <c r="BF26" s="105"/>
      <c r="BG26" s="15"/>
      <c r="BH26" s="509"/>
      <c r="BI26" s="105"/>
      <c r="BJ26" s="105"/>
      <c r="BK26" s="15"/>
      <c r="BL26" s="105"/>
      <c r="BM26" s="105"/>
      <c r="BN26" s="105"/>
      <c r="BO26" s="15"/>
      <c r="BP26" s="105"/>
      <c r="BQ26" s="105"/>
      <c r="BR26" s="105"/>
      <c r="BS26" s="15"/>
      <c r="BT26" s="105"/>
      <c r="BU26" s="105"/>
      <c r="BV26" s="105"/>
      <c r="BW26" s="15"/>
      <c r="BX26" s="104"/>
      <c r="BY26" s="105"/>
      <c r="BZ26" s="105"/>
      <c r="CA26" s="105"/>
      <c r="CB26" s="105"/>
      <c r="CC26" s="105"/>
      <c r="CD26" s="105"/>
      <c r="CF26" s="105"/>
      <c r="CG26" s="105"/>
      <c r="CI26" s="15"/>
      <c r="CJ26" s="105"/>
      <c r="CK26" s="105"/>
      <c r="CN26" s="105"/>
      <c r="CO26" s="105"/>
      <c r="CP26" s="15"/>
      <c r="CQ26" s="104"/>
      <c r="CR26" s="509"/>
      <c r="CS26" s="105"/>
      <c r="CT26" s="105"/>
      <c r="CZ26" s="105"/>
      <c r="DA26" s="105"/>
      <c r="DB26" s="105"/>
      <c r="DC26" s="105"/>
      <c r="DD26" s="105"/>
      <c r="DE26" s="105"/>
      <c r="DF26" s="15"/>
      <c r="DG26" s="7"/>
      <c r="DH26" s="7"/>
      <c r="DI26" s="7"/>
      <c r="DJ26" s="7"/>
    </row>
    <row r="27" spans="2:114" ht="15" hidden="1" outlineLevel="1">
      <c r="B27" s="417" t="s">
        <v>265</v>
      </c>
      <c r="D27" s="428">
        <f t="shared" ref="D27:K27" si="43">D30*D67</f>
        <v>40.048499999999997</v>
      </c>
      <c r="E27" s="429">
        <f t="shared" si="43"/>
        <v>39.341000000000001</v>
      </c>
      <c r="F27" s="429">
        <f t="shared" si="43"/>
        <v>34.545770000000005</v>
      </c>
      <c r="G27" s="430">
        <f t="shared" si="43"/>
        <v>34.507360000000006</v>
      </c>
      <c r="H27" s="428">
        <f t="shared" si="43"/>
        <v>43.777000000000001</v>
      </c>
      <c r="I27" s="429">
        <f t="shared" si="43"/>
        <v>45.867750000000001</v>
      </c>
      <c r="J27" s="429">
        <f t="shared" si="43"/>
        <v>47.696710000000003</v>
      </c>
      <c r="K27" s="430">
        <f t="shared" si="43"/>
        <v>50.155409999999989</v>
      </c>
      <c r="L27" s="428">
        <f>L67-L22-L9</f>
        <v>22.015999999999991</v>
      </c>
      <c r="M27" s="429">
        <f>M67-M22-M9</f>
        <v>21.117000000000001</v>
      </c>
      <c r="N27" s="429">
        <f>N67-N22-N9</f>
        <v>28.72979999999999</v>
      </c>
      <c r="O27" s="430">
        <f t="shared" ref="O27:AF27" si="44">O30*O67</f>
        <v>63.271619999999992</v>
      </c>
      <c r="P27" s="428">
        <f t="shared" si="44"/>
        <v>49.581249999999997</v>
      </c>
      <c r="Q27" s="429">
        <f t="shared" si="44"/>
        <v>46.308500000000002</v>
      </c>
      <c r="R27" s="429">
        <f t="shared" si="44"/>
        <v>45.323340000000002</v>
      </c>
      <c r="S27" s="430">
        <f t="shared" si="44"/>
        <v>44.420589999999997</v>
      </c>
      <c r="T27" s="428">
        <f t="shared" si="44"/>
        <v>49.0075</v>
      </c>
      <c r="U27" s="429">
        <f t="shared" si="44"/>
        <v>45.052500000000002</v>
      </c>
      <c r="V27" s="429">
        <f t="shared" si="44"/>
        <v>40.261500000000005</v>
      </c>
      <c r="W27" s="430">
        <f t="shared" si="44"/>
        <v>43.804419999999986</v>
      </c>
      <c r="X27" s="428">
        <f t="shared" si="44"/>
        <v>52.633249999999997</v>
      </c>
      <c r="Y27" s="429">
        <f t="shared" si="44"/>
        <v>50.427</v>
      </c>
      <c r="Z27" s="429">
        <f t="shared" si="44"/>
        <v>49.498300000000008</v>
      </c>
      <c r="AA27" s="430">
        <f t="shared" si="44"/>
        <v>53.490180000000016</v>
      </c>
      <c r="AB27" s="428">
        <f t="shared" si="44"/>
        <v>48.352440000000001</v>
      </c>
      <c r="AC27" s="429">
        <f t="shared" si="44"/>
        <v>39.787700000000001</v>
      </c>
      <c r="AD27" s="429">
        <f t="shared" si="44"/>
        <v>43.978990000000003</v>
      </c>
      <c r="AE27" s="430">
        <f t="shared" si="44"/>
        <v>45.629200000000004</v>
      </c>
      <c r="AF27" s="428">
        <f t="shared" si="44"/>
        <v>56.381740000000001</v>
      </c>
      <c r="AG27" s="429">
        <f>AF27*(1+AG28)</f>
        <v>58.073192200000001</v>
      </c>
      <c r="AH27" s="429">
        <f>AH30*AH67</f>
        <v>61.95825</v>
      </c>
      <c r="AI27" s="430">
        <f>AI30*AI67</f>
        <v>62.656599999999983</v>
      </c>
      <c r="AJ27" s="429">
        <f t="shared" ref="AJ27:AU27" si="45">AJ67*AJ30</f>
        <v>100.536</v>
      </c>
      <c r="AK27" s="429">
        <f t="shared" si="45"/>
        <v>113.89384999999999</v>
      </c>
      <c r="AL27" s="429">
        <f t="shared" si="45"/>
        <v>124.62624999999998</v>
      </c>
      <c r="AM27" s="697">
        <f t="shared" si="45"/>
        <v>160.9264</v>
      </c>
      <c r="AN27" s="429">
        <f t="shared" si="45"/>
        <v>118.122</v>
      </c>
      <c r="AO27" s="429">
        <f t="shared" si="45"/>
        <v>127.64149999999999</v>
      </c>
      <c r="AP27" s="429">
        <f t="shared" si="45"/>
        <v>136.16329999999999</v>
      </c>
      <c r="AQ27" s="697">
        <f t="shared" si="45"/>
        <v>168.4452</v>
      </c>
      <c r="AR27" s="428">
        <f t="shared" si="45"/>
        <v>181.48920000000001</v>
      </c>
      <c r="AS27" s="429">
        <f t="shared" si="45"/>
        <v>170.08</v>
      </c>
      <c r="AT27" s="429">
        <f t="shared" si="45"/>
        <v>174.44000000000003</v>
      </c>
      <c r="AU27" s="430">
        <f t="shared" si="45"/>
        <v>190.8</v>
      </c>
      <c r="AV27" s="428"/>
      <c r="AW27" s="429"/>
      <c r="AX27" s="429"/>
      <c r="AY27" s="430"/>
      <c r="AZ27" s="428"/>
      <c r="BA27" s="429"/>
      <c r="BB27" s="429"/>
      <c r="BC27" s="577"/>
      <c r="BD27" s="428"/>
      <c r="BE27" s="429"/>
      <c r="BF27" s="429"/>
      <c r="BG27" s="430"/>
      <c r="BH27" s="428"/>
      <c r="BI27" s="429"/>
      <c r="BJ27" s="429"/>
      <c r="BK27" s="430"/>
      <c r="BL27" s="429"/>
      <c r="BM27" s="429"/>
      <c r="BN27" s="429"/>
      <c r="BO27" s="430"/>
      <c r="BP27" s="429"/>
      <c r="BQ27" s="429"/>
      <c r="BR27" s="429"/>
      <c r="BS27" s="430"/>
      <c r="BT27" s="429"/>
      <c r="BU27" s="429"/>
      <c r="BV27" s="429"/>
      <c r="BW27" s="430"/>
      <c r="BX27" s="104"/>
      <c r="BY27" s="429">
        <f>SUM(D27:G27)</f>
        <v>148.44263000000001</v>
      </c>
      <c r="BZ27" s="429">
        <f>SUM(H27:K27)</f>
        <v>187.49687</v>
      </c>
      <c r="CA27" s="429">
        <f>SUM(L27:O27)</f>
        <v>135.13441999999998</v>
      </c>
      <c r="CB27" s="429">
        <f>SUM(P27:S27)</f>
        <v>185.63368</v>
      </c>
      <c r="CC27" s="429">
        <f>SUM(T27:W27)</f>
        <v>178.12592000000001</v>
      </c>
      <c r="CD27" s="429">
        <f>SUM(X27:AA27)</f>
        <v>206.04873000000001</v>
      </c>
      <c r="CE27" s="429">
        <f>SUM(AB27:AE27)</f>
        <v>177.74833000000001</v>
      </c>
      <c r="CF27" s="429">
        <f>SUM(AF27:AI27)</f>
        <v>239.06978219999996</v>
      </c>
      <c r="CG27" s="429">
        <f>SUM(AJ27:AM27)</f>
        <v>499.98249999999996</v>
      </c>
      <c r="CH27" s="429">
        <f>SUM(AN27:AQ27)</f>
        <v>550.37199999999996</v>
      </c>
      <c r="CI27" s="430">
        <f>SUM(AR27:AU27)</f>
        <v>716.80920000000015</v>
      </c>
      <c r="CJ27" s="429"/>
      <c r="CK27" s="105"/>
      <c r="CN27" s="105"/>
      <c r="CO27" s="105"/>
      <c r="CP27" s="15"/>
      <c r="CQ27" s="104"/>
      <c r="CR27" s="193">
        <f>SUM(M27:P27)</f>
        <v>162.69966999999997</v>
      </c>
      <c r="CS27" s="75">
        <f>SUM(Q27:T27)</f>
        <v>185.05993000000001</v>
      </c>
      <c r="CT27" s="75">
        <f>SUM(U27:X27)</f>
        <v>181.75166999999999</v>
      </c>
      <c r="CU27" s="75">
        <f>SUM(Y27:AB27)</f>
        <v>201.76792000000003</v>
      </c>
      <c r="CV27" s="75">
        <f>SUM(AC27:AF27)</f>
        <v>185.77763000000002</v>
      </c>
      <c r="CW27" s="75">
        <f>SUM(AG27:AJ27)</f>
        <v>283.22404219999999</v>
      </c>
      <c r="CX27" s="75">
        <f>SUM(AK27:AN27)</f>
        <v>517.56849999999997</v>
      </c>
      <c r="CY27" s="75">
        <f>SUM(AO27:AR27)</f>
        <v>613.73919999999998</v>
      </c>
      <c r="CZ27" s="75">
        <f>SUM(AS27:AV27)</f>
        <v>535.32000000000005</v>
      </c>
      <c r="DA27" s="75"/>
      <c r="DB27" s="75"/>
      <c r="DC27" s="75"/>
      <c r="DD27" s="75"/>
      <c r="DE27" s="75"/>
      <c r="DF27" s="76"/>
      <c r="DG27" s="7"/>
      <c r="DH27" s="7"/>
      <c r="DI27" s="7"/>
      <c r="DJ27" s="7"/>
    </row>
    <row r="28" spans="2:114" ht="14.25" hidden="1" outlineLevel="1">
      <c r="B28" s="472" t="s">
        <v>275</v>
      </c>
      <c r="E28" s="414">
        <f>E27/D27-1</f>
        <v>-1.7666079878147611E-2</v>
      </c>
      <c r="F28" s="414">
        <f>F27/E27-1</f>
        <v>-0.12188886911873098</v>
      </c>
      <c r="G28" s="311">
        <f>G27/F27-1</f>
        <v>-1.1118582680310629E-3</v>
      </c>
      <c r="I28" s="414">
        <f>I27/H27-1</f>
        <v>4.7759097242844328E-2</v>
      </c>
      <c r="J28" s="414">
        <f>J27/I27-1</f>
        <v>3.9874639588817873E-2</v>
      </c>
      <c r="K28" s="311">
        <f>K27/J27-1</f>
        <v>5.1548628825761389E-2</v>
      </c>
      <c r="M28" s="414"/>
      <c r="N28" s="414"/>
      <c r="O28" s="311">
        <f>O27/N27-1</f>
        <v>1.2022993546770255</v>
      </c>
      <c r="Q28" s="414">
        <f>Q27/P27-1</f>
        <v>-6.6007815454430796E-2</v>
      </c>
      <c r="R28" s="414">
        <f>R27/Q27-1</f>
        <v>-2.1273848213610891E-2</v>
      </c>
      <c r="S28" s="311">
        <f>S27/R27-1</f>
        <v>-1.9917993687137869E-2</v>
      </c>
      <c r="U28" s="414">
        <f>U27/T27-1</f>
        <v>-8.0701933377544166E-2</v>
      </c>
      <c r="V28" s="414">
        <f>V27/U27-1</f>
        <v>-0.10634260029965037</v>
      </c>
      <c r="W28" s="311">
        <f>W27/V27-1</f>
        <v>8.7997714938588434E-2</v>
      </c>
      <c r="Y28" s="414">
        <f t="shared" ref="Y28:AF28" si="46">Y27/X27-1</f>
        <v>-4.1917419121942801E-2</v>
      </c>
      <c r="Z28" s="414">
        <f t="shared" si="46"/>
        <v>-1.8416721200943731E-2</v>
      </c>
      <c r="AA28" s="311">
        <f t="shared" si="46"/>
        <v>8.0646810092467991E-2</v>
      </c>
      <c r="AB28" s="414">
        <f t="shared" si="46"/>
        <v>-9.605015350481183E-2</v>
      </c>
      <c r="AC28" s="414">
        <f t="shared" si="46"/>
        <v>-0.17713149532888106</v>
      </c>
      <c r="AD28" s="414">
        <f t="shared" si="46"/>
        <v>0.10534134921093719</v>
      </c>
      <c r="AE28" s="311">
        <f t="shared" si="46"/>
        <v>3.752268981165785E-2</v>
      </c>
      <c r="AF28" s="414">
        <f t="shared" si="46"/>
        <v>0.2356504168383402</v>
      </c>
      <c r="AG28" s="413">
        <v>0.03</v>
      </c>
      <c r="AH28" s="414">
        <f>AH27/AG27-1</f>
        <v>6.6899332597735173E-2</v>
      </c>
      <c r="AI28" s="311">
        <f>AI27/AH27-1</f>
        <v>1.1271299625150499E-2</v>
      </c>
      <c r="AJ28" s="486">
        <f>AJ27/AI27-1</f>
        <v>0.60455562542493579</v>
      </c>
      <c r="AK28" s="414">
        <f>AK27/AJ27-1</f>
        <v>0.1328663364366991</v>
      </c>
      <c r="AL28" s="414">
        <f>AL27/AK27-1</f>
        <v>9.4231602496535061E-2</v>
      </c>
      <c r="AM28" s="310">
        <f t="shared" ref="AM28:AU28" si="47">AM27/AL27-1</f>
        <v>0.29127210358973343</v>
      </c>
      <c r="AN28" s="486">
        <f t="shared" si="47"/>
        <v>-0.26598743276429471</v>
      </c>
      <c r="AO28" s="414">
        <f t="shared" si="47"/>
        <v>8.0590406528842973E-2</v>
      </c>
      <c r="AP28" s="414">
        <f t="shared" si="47"/>
        <v>6.6763552606323273E-2</v>
      </c>
      <c r="AQ28" s="310">
        <f t="shared" si="47"/>
        <v>0.2370822387530267</v>
      </c>
      <c r="AR28" s="699">
        <f t="shared" si="47"/>
        <v>7.7437647377307295E-2</v>
      </c>
      <c r="AS28" s="310">
        <f t="shared" si="47"/>
        <v>-6.2864346749007649E-2</v>
      </c>
      <c r="AT28" s="310">
        <f t="shared" si="47"/>
        <v>2.5634995296331287E-2</v>
      </c>
      <c r="AU28" s="311">
        <f t="shared" si="47"/>
        <v>9.3785828938316884E-2</v>
      </c>
      <c r="AV28" s="699"/>
      <c r="AW28" s="310"/>
      <c r="AX28" s="310"/>
      <c r="AY28" s="311"/>
      <c r="AZ28" s="698"/>
      <c r="BA28" s="416"/>
      <c r="BB28" s="416"/>
      <c r="BC28" s="112"/>
      <c r="BD28" s="698"/>
      <c r="BE28" s="416"/>
      <c r="BF28" s="416"/>
      <c r="BG28" s="415"/>
      <c r="BH28" s="698"/>
      <c r="BI28" s="416"/>
      <c r="BJ28" s="416"/>
      <c r="BK28" s="415"/>
      <c r="BL28" s="413"/>
      <c r="BM28" s="413"/>
      <c r="BN28" s="413"/>
      <c r="BO28" s="415"/>
      <c r="BP28" s="413"/>
      <c r="BQ28" s="413"/>
      <c r="BR28" s="413"/>
      <c r="BS28" s="415"/>
      <c r="BT28" s="413"/>
      <c r="BU28" s="413"/>
      <c r="BV28" s="413"/>
      <c r="BW28" s="415"/>
      <c r="BX28" s="104"/>
      <c r="BY28" s="414"/>
      <c r="BZ28" s="414"/>
      <c r="CA28" s="414"/>
      <c r="CB28" s="414"/>
      <c r="CC28" s="414"/>
      <c r="CD28" s="414"/>
      <c r="CE28" s="414"/>
      <c r="CF28" s="310"/>
      <c r="CG28" s="310"/>
      <c r="CH28" s="414"/>
      <c r="CI28" s="311"/>
      <c r="CJ28" s="310"/>
      <c r="CK28" s="105"/>
      <c r="CN28" s="105"/>
      <c r="CO28" s="105"/>
      <c r="CP28" s="15"/>
      <c r="CQ28" s="104"/>
      <c r="CR28" s="509"/>
      <c r="CS28" s="105"/>
      <c r="CT28" s="105"/>
      <c r="CV28" s="414"/>
      <c r="CW28" s="414"/>
      <c r="CX28" s="414"/>
      <c r="CY28" s="414"/>
      <c r="CZ28" s="310"/>
      <c r="DA28" s="310"/>
      <c r="DB28" s="310"/>
      <c r="DC28" s="310"/>
      <c r="DD28" s="310"/>
      <c r="DE28" s="310"/>
      <c r="DF28" s="311"/>
      <c r="DG28" s="7"/>
      <c r="DH28" s="7"/>
      <c r="DI28" s="7"/>
      <c r="DJ28" s="7"/>
    </row>
    <row r="29" spans="2:114" ht="14.25" hidden="1" outlineLevel="1">
      <c r="B29" s="473" t="s">
        <v>276</v>
      </c>
      <c r="E29" s="414"/>
      <c r="F29" s="414"/>
      <c r="G29" s="311"/>
      <c r="I29" s="414"/>
      <c r="J29" s="414"/>
      <c r="K29" s="311"/>
      <c r="M29" s="414"/>
      <c r="N29" s="414"/>
      <c r="O29" s="311"/>
      <c r="Q29" s="414"/>
      <c r="R29" s="414"/>
      <c r="S29" s="311"/>
      <c r="U29" s="414"/>
      <c r="V29" s="414"/>
      <c r="W29" s="311"/>
      <c r="Y29" s="414"/>
      <c r="Z29" s="414"/>
      <c r="AA29" s="311"/>
      <c r="AB29" s="414">
        <f t="shared" ref="AB29:AU29" si="48">AB27/X27-1</f>
        <v>-8.1332807683355934E-2</v>
      </c>
      <c r="AC29" s="414">
        <f t="shared" si="48"/>
        <v>-0.21098419497491416</v>
      </c>
      <c r="AD29" s="414">
        <f t="shared" si="48"/>
        <v>-0.11150504158728691</v>
      </c>
      <c r="AE29" s="311">
        <f t="shared" si="48"/>
        <v>-0.14696118053818497</v>
      </c>
      <c r="AF29" s="414">
        <f t="shared" si="48"/>
        <v>0.16605780390813774</v>
      </c>
      <c r="AG29" s="414">
        <f t="shared" si="48"/>
        <v>0.4595765073125615</v>
      </c>
      <c r="AH29" s="414">
        <f t="shared" si="48"/>
        <v>0.40881475449981908</v>
      </c>
      <c r="AI29" s="311">
        <f t="shared" si="48"/>
        <v>0.37316893568153686</v>
      </c>
      <c r="AJ29" s="414">
        <f>AJ27/AF27-1</f>
        <v>0.78313049579526983</v>
      </c>
      <c r="AK29" s="414">
        <f>AK27/AG27-1</f>
        <v>0.96121214772829355</v>
      </c>
      <c r="AL29" s="414">
        <f>AL27/AH27-1</f>
        <v>1.011455294492662</v>
      </c>
      <c r="AM29" s="310">
        <f t="shared" si="48"/>
        <v>1.5683870494090013</v>
      </c>
      <c r="AN29" s="414">
        <f t="shared" si="48"/>
        <v>0.17492241585103852</v>
      </c>
      <c r="AO29" s="414">
        <f t="shared" si="48"/>
        <v>0.12070581510766387</v>
      </c>
      <c r="AP29" s="414">
        <f t="shared" si="48"/>
        <v>9.257319384961038E-2</v>
      </c>
      <c r="AQ29" s="310">
        <f t="shared" si="48"/>
        <v>4.672197973732084E-2</v>
      </c>
      <c r="AR29" s="309">
        <f t="shared" si="48"/>
        <v>0.53645552902930871</v>
      </c>
      <c r="AS29" s="310">
        <f t="shared" si="48"/>
        <v>0.3324819905751657</v>
      </c>
      <c r="AT29" s="310">
        <f t="shared" si="48"/>
        <v>0.28110878628822911</v>
      </c>
      <c r="AU29" s="311">
        <f t="shared" si="48"/>
        <v>0.13271259733135765</v>
      </c>
      <c r="AV29" s="309"/>
      <c r="AW29" s="310"/>
      <c r="AX29" s="310"/>
      <c r="AY29" s="311"/>
      <c r="AZ29" s="698"/>
      <c r="BA29" s="416"/>
      <c r="BB29" s="416"/>
      <c r="BC29" s="311"/>
      <c r="BD29" s="698"/>
      <c r="BE29" s="416"/>
      <c r="BF29" s="416"/>
      <c r="BG29" s="415"/>
      <c r="BH29" s="698"/>
      <c r="BI29" s="416"/>
      <c r="BJ29" s="416"/>
      <c r="BK29" s="415"/>
      <c r="BL29" s="413"/>
      <c r="BM29" s="413"/>
      <c r="BN29" s="413"/>
      <c r="BO29" s="415"/>
      <c r="BP29" s="413"/>
      <c r="BQ29" s="413"/>
      <c r="BR29" s="413"/>
      <c r="BS29" s="415"/>
      <c r="BT29" s="413"/>
      <c r="BU29" s="413"/>
      <c r="BV29" s="413"/>
      <c r="BW29" s="415"/>
      <c r="BX29" s="104"/>
      <c r="BY29" s="414"/>
      <c r="BZ29" s="414"/>
      <c r="CA29" s="414"/>
      <c r="CB29" s="414"/>
      <c r="CC29" s="414"/>
      <c r="CD29" s="414"/>
      <c r="CE29" s="414">
        <f>CE27/CD27-1</f>
        <v>-0.13734809236630574</v>
      </c>
      <c r="CF29" s="310">
        <f>CF27/CE27-1</f>
        <v>0.34499031411434333</v>
      </c>
      <c r="CG29" s="310">
        <f>CG27/CF27-1</f>
        <v>1.0913663592236293</v>
      </c>
      <c r="CH29" s="414">
        <f>CH27/CG27-1</f>
        <v>0.10078252738845861</v>
      </c>
      <c r="CI29" s="311">
        <f>CI27/CH27-1</f>
        <v>0.30240855276067857</v>
      </c>
      <c r="CJ29" s="310"/>
      <c r="CK29" s="105"/>
      <c r="CN29" s="105"/>
      <c r="CO29" s="105"/>
      <c r="CP29" s="15"/>
      <c r="CQ29" s="104"/>
      <c r="CR29" s="509"/>
      <c r="CS29" s="105"/>
      <c r="CT29" s="105"/>
      <c r="CV29" s="414">
        <f>CV27/CU27-1</f>
        <v>-7.9250903711551413E-2</v>
      </c>
      <c r="CW29" s="414">
        <f>CW27/CV27-1</f>
        <v>0.52453254032791774</v>
      </c>
      <c r="CX29" s="414">
        <f>CX27/CW27-1</f>
        <v>0.82741724883128587</v>
      </c>
      <c r="CY29" s="414">
        <f>CY27/CX27-1</f>
        <v>0.18581250597746979</v>
      </c>
      <c r="CZ29" s="310">
        <f>CZ27/CY27-1</f>
        <v>-0.12777283901696346</v>
      </c>
      <c r="DA29" s="310"/>
      <c r="DB29" s="310"/>
      <c r="DC29" s="310"/>
      <c r="DD29" s="310"/>
      <c r="DE29" s="310"/>
      <c r="DF29" s="311"/>
      <c r="DG29" s="7"/>
      <c r="DH29" s="7"/>
      <c r="DI29" s="7"/>
      <c r="DJ29" s="7"/>
    </row>
    <row r="30" spans="2:114" ht="14.25" hidden="1" outlineLevel="1">
      <c r="B30" s="472" t="s">
        <v>237</v>
      </c>
      <c r="D30" s="413">
        <v>0.25</v>
      </c>
      <c r="E30" s="413">
        <v>0.25</v>
      </c>
      <c r="F30" s="413">
        <v>0.23</v>
      </c>
      <c r="G30" s="415">
        <v>0.23</v>
      </c>
      <c r="H30" s="413">
        <v>0.25</v>
      </c>
      <c r="I30" s="413">
        <v>0.25</v>
      </c>
      <c r="J30" s="413">
        <v>0.23</v>
      </c>
      <c r="K30" s="415">
        <v>0.23</v>
      </c>
      <c r="L30" s="414">
        <f>L27/L$67</f>
        <v>9.9999999999999964E-2</v>
      </c>
      <c r="M30" s="414">
        <f>M27/M$67</f>
        <v>0.2</v>
      </c>
      <c r="N30" s="414">
        <f>N27/N$67</f>
        <v>0.14999999999999994</v>
      </c>
      <c r="O30" s="415">
        <v>0.23</v>
      </c>
      <c r="P30" s="413">
        <v>0.25</v>
      </c>
      <c r="Q30" s="413">
        <v>0.25</v>
      </c>
      <c r="R30" s="413">
        <v>0.23</v>
      </c>
      <c r="S30" s="415">
        <v>0.23</v>
      </c>
      <c r="T30" s="413">
        <v>0.25</v>
      </c>
      <c r="U30" s="413">
        <v>0.25</v>
      </c>
      <c r="V30" s="413">
        <v>0.23</v>
      </c>
      <c r="W30" s="415">
        <v>0.23</v>
      </c>
      <c r="X30" s="413">
        <v>0.25</v>
      </c>
      <c r="Y30" s="413">
        <v>0.25</v>
      </c>
      <c r="Z30" s="413">
        <v>0.23</v>
      </c>
      <c r="AA30" s="415">
        <v>0.23</v>
      </c>
      <c r="AB30" s="413">
        <v>0.23</v>
      </c>
      <c r="AC30" s="413">
        <v>0.23</v>
      </c>
      <c r="AD30" s="413">
        <v>0.23</v>
      </c>
      <c r="AE30" s="415">
        <v>0.2</v>
      </c>
      <c r="AF30" s="413">
        <v>0.23</v>
      </c>
      <c r="AG30" s="414">
        <f>AG27/AG$67</f>
        <v>0.24394556032563494</v>
      </c>
      <c r="AH30" s="413">
        <v>0.22500000000000001</v>
      </c>
      <c r="AI30" s="311">
        <v>0.2</v>
      </c>
      <c r="AJ30" s="413">
        <v>0.3</v>
      </c>
      <c r="AK30" s="413">
        <v>0.35</v>
      </c>
      <c r="AL30" s="413">
        <v>0.35</v>
      </c>
      <c r="AM30" s="113">
        <v>0.4</v>
      </c>
      <c r="AN30" s="413">
        <v>0.3</v>
      </c>
      <c r="AO30" s="413">
        <v>0.35</v>
      </c>
      <c r="AP30" s="413">
        <v>0.35</v>
      </c>
      <c r="AQ30" s="113">
        <v>0.4</v>
      </c>
      <c r="AR30" s="698">
        <v>0.4</v>
      </c>
      <c r="AS30" s="416">
        <v>0.4</v>
      </c>
      <c r="AT30" s="416">
        <v>0.4</v>
      </c>
      <c r="AU30" s="415">
        <v>0.4</v>
      </c>
      <c r="AV30" s="698"/>
      <c r="AW30" s="416"/>
      <c r="AX30" s="416"/>
      <c r="AY30" s="415"/>
      <c r="AZ30" s="309"/>
      <c r="BA30" s="310"/>
      <c r="BB30" s="310"/>
      <c r="BC30" s="311"/>
      <c r="BD30" s="309"/>
      <c r="BE30" s="310"/>
      <c r="BF30" s="310"/>
      <c r="BG30" s="311"/>
      <c r="BH30" s="309"/>
      <c r="BI30" s="310"/>
      <c r="BJ30" s="310"/>
      <c r="BK30" s="311"/>
      <c r="BL30" s="414"/>
      <c r="BM30" s="414"/>
      <c r="BN30" s="414"/>
      <c r="BO30" s="311"/>
      <c r="BP30" s="414"/>
      <c r="BQ30" s="414"/>
      <c r="BR30" s="414"/>
      <c r="BS30" s="311"/>
      <c r="BT30" s="414"/>
      <c r="BU30" s="414"/>
      <c r="BV30" s="414"/>
      <c r="BW30" s="311"/>
      <c r="BX30" s="104"/>
      <c r="BY30" s="414">
        <f t="shared" ref="BY30:CI30" si="49">BY27/BY$67</f>
        <v>0.2402804679267517</v>
      </c>
      <c r="BZ30" s="414">
        <f t="shared" si="49"/>
        <v>0.23914715512172477</v>
      </c>
      <c r="CA30" s="414">
        <f t="shared" si="49"/>
        <v>0.17054437883264276</v>
      </c>
      <c r="CB30" s="414">
        <f t="shared" si="49"/>
        <v>0.23991428756058159</v>
      </c>
      <c r="CC30" s="414">
        <f t="shared" si="49"/>
        <v>0.24014473996419253</v>
      </c>
      <c r="CD30" s="414">
        <f t="shared" si="49"/>
        <v>0.23958681049328093</v>
      </c>
      <c r="CE30" s="414">
        <f t="shared" si="49"/>
        <v>0.22147199583342161</v>
      </c>
      <c r="CF30" s="310">
        <f t="shared" si="49"/>
        <v>0.22304427414682476</v>
      </c>
      <c r="CG30" s="310">
        <f t="shared" si="49"/>
        <v>0.3523678539059934</v>
      </c>
      <c r="CH30" s="414">
        <f t="shared" si="49"/>
        <v>0.350872540213097</v>
      </c>
      <c r="CI30" s="311">
        <f t="shared" si="49"/>
        <v>0.40000000000000008</v>
      </c>
      <c r="CJ30" s="310"/>
      <c r="CK30" s="105"/>
      <c r="CN30" s="105"/>
      <c r="CO30" s="105"/>
      <c r="CP30" s="15"/>
      <c r="CQ30" s="104"/>
      <c r="CR30" s="509"/>
      <c r="CS30" s="105"/>
      <c r="CT30" s="105"/>
      <c r="CV30" s="414">
        <f>CV27/CV$67</f>
        <v>0.22182747911310866</v>
      </c>
      <c r="CW30" s="414">
        <f>CW27/CW$67</f>
        <v>0.24377387262002823</v>
      </c>
      <c r="CX30" s="414">
        <f>CX27/CX$67</f>
        <v>0.35029021171648589</v>
      </c>
      <c r="CY30" s="414">
        <f>CY27/CY$67</f>
        <v>0.37685912251529563</v>
      </c>
      <c r="CZ30" s="310">
        <f>CZ27/CZ$67</f>
        <v>0.29038242473555737</v>
      </c>
      <c r="DA30" s="310"/>
      <c r="DB30" s="310"/>
      <c r="DC30" s="310"/>
      <c r="DD30" s="310"/>
      <c r="DE30" s="310"/>
      <c r="DF30" s="311"/>
      <c r="DG30" s="7"/>
      <c r="DH30" s="7"/>
      <c r="DI30" s="7"/>
      <c r="DJ30" s="7"/>
    </row>
    <row r="31" spans="2:114" ht="14.25" collapsed="1">
      <c r="B31" s="472"/>
      <c r="C31" s="105"/>
      <c r="D31" s="416"/>
      <c r="E31" s="416"/>
      <c r="F31" s="416"/>
      <c r="G31" s="415"/>
      <c r="H31" s="416"/>
      <c r="I31" s="416"/>
      <c r="J31" s="416"/>
      <c r="K31" s="415"/>
      <c r="L31" s="416"/>
      <c r="M31" s="416"/>
      <c r="N31" s="416"/>
      <c r="O31" s="415"/>
      <c r="P31" s="416"/>
      <c r="Q31" s="416"/>
      <c r="R31" s="416"/>
      <c r="S31" s="415"/>
      <c r="T31" s="416"/>
      <c r="U31" s="416"/>
      <c r="V31" s="416"/>
      <c r="W31" s="415"/>
      <c r="X31" s="416"/>
      <c r="Y31" s="416"/>
      <c r="Z31" s="416"/>
      <c r="AA31" s="415"/>
      <c r="AB31" s="416"/>
      <c r="AC31" s="416"/>
      <c r="AD31" s="416"/>
      <c r="AE31" s="415"/>
      <c r="AF31" s="416"/>
      <c r="AG31" s="310"/>
      <c r="AH31" s="310"/>
      <c r="AI31" s="311"/>
      <c r="AJ31" s="416"/>
      <c r="AK31" s="310"/>
      <c r="AL31" s="310"/>
      <c r="AM31" s="311"/>
      <c r="AN31" s="416"/>
      <c r="AO31" s="416"/>
      <c r="AP31" s="416"/>
      <c r="AQ31" s="113"/>
      <c r="AR31" s="698"/>
      <c r="AS31" s="416"/>
      <c r="AT31" s="416"/>
      <c r="AU31" s="415"/>
      <c r="AV31" s="698"/>
      <c r="AW31" s="416"/>
      <c r="AX31" s="416"/>
      <c r="AY31" s="415"/>
      <c r="AZ31" s="309"/>
      <c r="BA31" s="310"/>
      <c r="BB31" s="310"/>
      <c r="BC31" s="311"/>
      <c r="BD31" s="309"/>
      <c r="BE31" s="310"/>
      <c r="BF31" s="310"/>
      <c r="BG31" s="311"/>
      <c r="BH31" s="309"/>
      <c r="BI31" s="310"/>
      <c r="BJ31" s="310"/>
      <c r="BK31" s="311"/>
      <c r="BL31" s="310"/>
      <c r="BM31" s="310"/>
      <c r="BN31" s="310"/>
      <c r="BO31" s="311"/>
      <c r="BP31" s="310"/>
      <c r="BQ31" s="310"/>
      <c r="BR31" s="310"/>
      <c r="BS31" s="311"/>
      <c r="BT31" s="310"/>
      <c r="BU31" s="310"/>
      <c r="BV31" s="310"/>
      <c r="BW31" s="311"/>
      <c r="BX31" s="15"/>
      <c r="BY31" s="334"/>
      <c r="BZ31" s="334"/>
      <c r="CA31" s="334"/>
      <c r="CB31" s="334"/>
      <c r="CC31" s="334"/>
      <c r="CD31" s="334"/>
      <c r="CE31" s="334"/>
      <c r="CF31" s="334"/>
      <c r="CG31" s="334"/>
      <c r="CH31" s="334"/>
      <c r="CI31" s="381"/>
      <c r="CJ31" s="334"/>
      <c r="CK31" s="23"/>
      <c r="CL31" s="23"/>
      <c r="CM31" s="23"/>
      <c r="CN31" s="23"/>
      <c r="CO31" s="23"/>
      <c r="CP31" s="10"/>
      <c r="CQ31" s="104"/>
      <c r="CR31" s="9"/>
      <c r="CS31" s="23"/>
      <c r="CT31" s="23"/>
      <c r="CU31" s="23"/>
      <c r="CV31" s="334"/>
      <c r="CW31" s="334"/>
      <c r="CX31" s="334"/>
      <c r="CY31" s="334"/>
      <c r="CZ31" s="334"/>
      <c r="DA31" s="334"/>
      <c r="DB31" s="334"/>
      <c r="DC31" s="334"/>
      <c r="DD31" s="334"/>
      <c r="DE31" s="334"/>
      <c r="DF31" s="381"/>
      <c r="DG31" s="7"/>
      <c r="DH31" s="7"/>
      <c r="DI31" s="7"/>
      <c r="DJ31" s="7"/>
    </row>
    <row r="32" spans="2:114" ht="15">
      <c r="B32" s="707" t="s">
        <v>379</v>
      </c>
      <c r="C32" s="688"/>
      <c r="D32" s="689"/>
      <c r="E32" s="689"/>
      <c r="F32" s="689"/>
      <c r="G32" s="701"/>
      <c r="H32" s="689"/>
      <c r="I32" s="689"/>
      <c r="J32" s="689"/>
      <c r="K32" s="701"/>
      <c r="L32" s="689"/>
      <c r="M32" s="689"/>
      <c r="N32" s="689"/>
      <c r="O32" s="701"/>
      <c r="P32" s="689"/>
      <c r="Q32" s="689"/>
      <c r="R32" s="689"/>
      <c r="S32" s="701"/>
      <c r="T32" s="689"/>
      <c r="U32" s="689"/>
      <c r="V32" s="689"/>
      <c r="W32" s="701"/>
      <c r="X32" s="689"/>
      <c r="Y32" s="689"/>
      <c r="Z32" s="689"/>
      <c r="AA32" s="701"/>
      <c r="AB32" s="689"/>
      <c r="AC32" s="689"/>
      <c r="AD32" s="689"/>
      <c r="AE32" s="701"/>
      <c r="AF32" s="689"/>
      <c r="AG32" s="690"/>
      <c r="AH32" s="690"/>
      <c r="AI32" s="692"/>
      <c r="AJ32" s="689"/>
      <c r="AK32" s="690"/>
      <c r="AL32" s="690"/>
      <c r="AM32" s="692"/>
      <c r="AN32" s="689"/>
      <c r="AO32" s="689"/>
      <c r="AP32" s="689"/>
      <c r="AQ32" s="691"/>
      <c r="AR32" s="700"/>
      <c r="AS32" s="689"/>
      <c r="AT32" s="689"/>
      <c r="AU32" s="701"/>
      <c r="AV32" s="700"/>
      <c r="AW32" s="689"/>
      <c r="AX32" s="689"/>
      <c r="AY32" s="701"/>
      <c r="AZ32" s="706"/>
      <c r="BA32" s="690"/>
      <c r="BB32" s="690"/>
      <c r="BC32" s="692"/>
      <c r="BD32" s="706"/>
      <c r="BE32" s="690"/>
      <c r="BF32" s="690"/>
      <c r="BG32" s="690"/>
      <c r="BH32" s="706"/>
      <c r="BI32" s="690"/>
      <c r="BJ32" s="690"/>
      <c r="BK32" s="692"/>
      <c r="BL32" s="690"/>
      <c r="BM32" s="690"/>
      <c r="BN32" s="690"/>
      <c r="BO32" s="692"/>
      <c r="BP32" s="690"/>
      <c r="BQ32" s="690"/>
      <c r="BR32" s="690"/>
      <c r="BS32" s="692"/>
      <c r="BT32" s="690"/>
      <c r="BU32" s="690"/>
      <c r="BV32" s="690"/>
      <c r="BW32" s="692"/>
      <c r="BX32" s="15"/>
      <c r="BY32" s="414"/>
      <c r="BZ32" s="414"/>
      <c r="CA32" s="414"/>
      <c r="CB32" s="414"/>
      <c r="CC32" s="414"/>
      <c r="CD32" s="414"/>
      <c r="CE32" s="414"/>
      <c r="CF32" s="414"/>
      <c r="CG32" s="414"/>
      <c r="CH32" s="414"/>
      <c r="CI32" s="311"/>
      <c r="CJ32" s="687"/>
      <c r="CK32" s="105"/>
      <c r="CN32" s="105"/>
      <c r="CO32" s="105"/>
      <c r="CP32" s="15"/>
      <c r="CQ32" s="104"/>
      <c r="CR32" s="509"/>
      <c r="CT32" s="105"/>
      <c r="CV32" s="414"/>
      <c r="CW32" s="414"/>
      <c r="CX32" s="414"/>
      <c r="CY32" s="414"/>
      <c r="CZ32" s="310"/>
      <c r="DD32" s="105"/>
      <c r="DE32" s="105"/>
      <c r="DF32" s="15"/>
      <c r="DG32" s="7"/>
      <c r="DH32" s="7"/>
      <c r="DI32" s="7"/>
      <c r="DJ32" s="7"/>
    </row>
    <row r="33" spans="2:114" ht="15">
      <c r="B33" s="330" t="s">
        <v>232</v>
      </c>
      <c r="C33" s="105"/>
      <c r="D33" s="416"/>
      <c r="E33" s="416"/>
      <c r="F33" s="416"/>
      <c r="G33" s="415"/>
      <c r="H33" s="416"/>
      <c r="I33" s="416"/>
      <c r="J33" s="416"/>
      <c r="K33" s="415"/>
      <c r="L33" s="416"/>
      <c r="M33" s="416"/>
      <c r="N33" s="416"/>
      <c r="O33" s="415"/>
      <c r="P33" s="416"/>
      <c r="Q33" s="416"/>
      <c r="R33" s="416"/>
      <c r="S33" s="415"/>
      <c r="T33" s="416"/>
      <c r="U33" s="416"/>
      <c r="V33" s="416"/>
      <c r="W33" s="415"/>
      <c r="X33" s="416"/>
      <c r="Y33" s="416"/>
      <c r="Z33" s="416"/>
      <c r="AA33" s="415"/>
      <c r="AB33" s="416"/>
      <c r="AC33" s="416"/>
      <c r="AD33" s="416"/>
      <c r="AE33" s="415"/>
      <c r="AF33" s="416"/>
      <c r="AG33" s="310"/>
      <c r="AH33" s="310"/>
      <c r="AI33" s="311"/>
      <c r="AJ33" s="310"/>
      <c r="AK33" s="310"/>
      <c r="AL33" s="310"/>
      <c r="AM33" s="311"/>
      <c r="AN33" s="416"/>
      <c r="AO33" s="416"/>
      <c r="AP33" s="416"/>
      <c r="AQ33" s="113"/>
      <c r="AR33" s="698"/>
      <c r="AS33" s="416"/>
      <c r="AT33" s="416"/>
      <c r="AU33" s="415"/>
      <c r="AV33" s="428">
        <f t="shared" ref="AV33:BD33" si="50">+AV67-AV53-AV43</f>
        <v>202.07999999999998</v>
      </c>
      <c r="AW33" s="429">
        <f t="shared" si="50"/>
        <v>192.39999999999998</v>
      </c>
      <c r="AX33" s="429">
        <f t="shared" si="50"/>
        <v>240.67</v>
      </c>
      <c r="AY33" s="430">
        <f t="shared" si="50"/>
        <v>258.55200000000008</v>
      </c>
      <c r="AZ33" s="428">
        <f t="shared" si="50"/>
        <v>249.70500000000004</v>
      </c>
      <c r="BA33" s="429">
        <f t="shared" si="50"/>
        <v>236.25099999999998</v>
      </c>
      <c r="BB33" s="429">
        <f t="shared" si="50"/>
        <v>194.40000000000003</v>
      </c>
      <c r="BC33" s="430">
        <f t="shared" si="50"/>
        <v>176.16000000000008</v>
      </c>
      <c r="BD33" s="428">
        <f t="shared" si="50"/>
        <v>148.28800000000001</v>
      </c>
      <c r="BE33" s="429">
        <f t="shared" ref="BE33:BJ33" si="51">+BE67-BE53-BE43</f>
        <v>131.76700000000005</v>
      </c>
      <c r="BF33" s="429">
        <f t="shared" si="51"/>
        <v>120.27200000000005</v>
      </c>
      <c r="BG33" s="429">
        <f t="shared" si="51"/>
        <v>126.98079999999999</v>
      </c>
      <c r="BH33" s="428">
        <f t="shared" si="51"/>
        <v>135.31640000000004</v>
      </c>
      <c r="BI33" s="429">
        <f t="shared" si="51"/>
        <v>119.23800000000006</v>
      </c>
      <c r="BJ33" s="429">
        <f t="shared" si="51"/>
        <v>90.079999999999927</v>
      </c>
      <c r="BK33" s="430">
        <f t="shared" ref="BK33:BL33" si="52">+BK67-BK53-BK43</f>
        <v>98.460000000000036</v>
      </c>
      <c r="BL33" s="429">
        <f t="shared" si="52"/>
        <v>99.930499999999938</v>
      </c>
      <c r="BM33" s="429">
        <f t="shared" ref="BM33:BS33" si="53">BL33*(1+BM34)</f>
        <v>94.933974999999933</v>
      </c>
      <c r="BN33" s="429">
        <f t="shared" si="53"/>
        <v>90.187276249999925</v>
      </c>
      <c r="BO33" s="430">
        <f t="shared" si="53"/>
        <v>87.301283409999925</v>
      </c>
      <c r="BP33" s="429">
        <f t="shared" si="53"/>
        <v>84.682244907699925</v>
      </c>
      <c r="BQ33" s="429">
        <f t="shared" si="53"/>
        <v>82.98860000954592</v>
      </c>
      <c r="BR33" s="429">
        <f t="shared" si="53"/>
        <v>81.328828009354993</v>
      </c>
      <c r="BS33" s="430">
        <f t="shared" si="53"/>
        <v>80.515539729261448</v>
      </c>
      <c r="BT33" s="429">
        <f t="shared" ref="BT33" si="54">BS33*(1+BT34)</f>
        <v>78.100073537383608</v>
      </c>
      <c r="BU33" s="429">
        <f t="shared" ref="BU33" si="55">BT33*(1+BU34)</f>
        <v>75.366570963575185</v>
      </c>
      <c r="BV33" s="429">
        <f t="shared" ref="BV33" si="56">BU33*(1+BV34)</f>
        <v>73.105573834667922</v>
      </c>
      <c r="BW33" s="430">
        <f t="shared" ref="BW33" si="57">BV33*(1+BW34)</f>
        <v>70.912406619627887</v>
      </c>
      <c r="BX33" s="15"/>
      <c r="BY33" s="728"/>
      <c r="BZ33" s="728"/>
      <c r="CA33" s="728"/>
      <c r="CB33" s="728"/>
      <c r="CC33" s="728"/>
      <c r="CD33" s="728"/>
      <c r="CE33" s="414"/>
      <c r="CF33" s="414"/>
      <c r="CG33" s="414"/>
      <c r="CH33" s="414"/>
      <c r="CI33" s="311"/>
      <c r="CJ33" s="731">
        <f>+SUM(AV33:AY33)</f>
        <v>893.702</v>
      </c>
      <c r="CK33" s="731">
        <f>+SUM(AZ33:BC33)</f>
        <v>856.51600000000008</v>
      </c>
      <c r="CL33" s="731">
        <f>+SUM(BD33:BG33)</f>
        <v>527.30780000000004</v>
      </c>
      <c r="CM33" s="731">
        <f>+SUM(BH33:BK33)</f>
        <v>443.09440000000006</v>
      </c>
      <c r="CN33" s="731">
        <f>+SUM(BL33:BO33)</f>
        <v>372.35303465999971</v>
      </c>
      <c r="CO33" s="731">
        <f>+SUM(BP33:BS33)</f>
        <v>329.51521265586229</v>
      </c>
      <c r="CP33" s="731">
        <f>+SUM(BT33:BW33)</f>
        <v>297.48462495525462</v>
      </c>
      <c r="CQ33" s="104"/>
      <c r="CT33" s="105"/>
      <c r="CV33" s="414"/>
      <c r="CW33" s="414"/>
      <c r="CX33" s="414"/>
      <c r="CY33" s="414"/>
      <c r="CZ33" s="731">
        <f>+SUM(AS33:AV33)</f>
        <v>202.07999999999998</v>
      </c>
      <c r="DA33" s="731">
        <f>+SUM(AW33:AZ33)</f>
        <v>941.32700000000011</v>
      </c>
      <c r="DB33" s="731">
        <f>+SUM(BA33:BD33)</f>
        <v>755.09900000000016</v>
      </c>
      <c r="DC33" s="731">
        <f>+SUM(BE33:BH33)</f>
        <v>514.33620000000019</v>
      </c>
      <c r="DD33" s="731">
        <f>+SUM(BI33:BL33)</f>
        <v>407.70849999999996</v>
      </c>
      <c r="DE33" s="731">
        <f>+SUM(BM33:BP33)</f>
        <v>357.10477956769967</v>
      </c>
      <c r="DF33" s="729">
        <f>+SUM(BQ33:BT33)</f>
        <v>322.93304128554593</v>
      </c>
      <c r="DG33" s="7"/>
      <c r="DH33" s="7"/>
      <c r="DI33" s="7"/>
      <c r="DJ33" s="7"/>
    </row>
    <row r="34" spans="2:114" ht="14.25">
      <c r="B34" s="472" t="s">
        <v>275</v>
      </c>
      <c r="C34" s="105"/>
      <c r="D34" s="416"/>
      <c r="E34" s="416"/>
      <c r="F34" s="416"/>
      <c r="G34" s="415"/>
      <c r="H34" s="416"/>
      <c r="I34" s="416"/>
      <c r="J34" s="416"/>
      <c r="K34" s="415"/>
      <c r="L34" s="416"/>
      <c r="M34" s="416"/>
      <c r="N34" s="416"/>
      <c r="O34" s="415"/>
      <c r="P34" s="416"/>
      <c r="Q34" s="416"/>
      <c r="R34" s="416"/>
      <c r="S34" s="415"/>
      <c r="T34" s="416"/>
      <c r="U34" s="416"/>
      <c r="V34" s="416"/>
      <c r="W34" s="415"/>
      <c r="X34" s="416"/>
      <c r="Y34" s="416"/>
      <c r="Z34" s="416"/>
      <c r="AA34" s="415"/>
      <c r="AB34" s="416"/>
      <c r="AC34" s="416"/>
      <c r="AD34" s="416"/>
      <c r="AE34" s="415"/>
      <c r="AF34" s="416"/>
      <c r="AG34" s="310"/>
      <c r="AH34" s="310"/>
      <c r="AI34" s="311"/>
      <c r="AJ34" s="310"/>
      <c r="AK34" s="310"/>
      <c r="AL34" s="310"/>
      <c r="AM34" s="311"/>
      <c r="AN34" s="416"/>
      <c r="AO34" s="416"/>
      <c r="AP34" s="416"/>
      <c r="AQ34" s="113"/>
      <c r="AR34" s="698"/>
      <c r="AS34" s="416"/>
      <c r="AT34" s="416"/>
      <c r="AU34" s="415"/>
      <c r="AV34" s="702" t="s">
        <v>224</v>
      </c>
      <c r="AW34" s="310">
        <f t="shared" ref="AW34:BL34" si="58">AW33/AV33-1</f>
        <v>-4.7901821060965966E-2</v>
      </c>
      <c r="AX34" s="310">
        <f t="shared" si="58"/>
        <v>0.2508835758835759</v>
      </c>
      <c r="AY34" s="311">
        <f t="shared" si="58"/>
        <v>7.4300909959696293E-2</v>
      </c>
      <c r="AZ34" s="727">
        <f t="shared" si="58"/>
        <v>-3.4217488164856702E-2</v>
      </c>
      <c r="BA34" s="310">
        <f t="shared" si="58"/>
        <v>-5.3879577901924547E-2</v>
      </c>
      <c r="BB34" s="310">
        <f t="shared" si="58"/>
        <v>-0.17714634012131147</v>
      </c>
      <c r="BC34" s="311">
        <f t="shared" si="58"/>
        <v>-9.3827160493826889E-2</v>
      </c>
      <c r="BD34" s="727">
        <f t="shared" si="58"/>
        <v>-0.15821980018165338</v>
      </c>
      <c r="BE34" s="310">
        <f t="shared" si="58"/>
        <v>-0.11141157747086716</v>
      </c>
      <c r="BF34" s="310">
        <f t="shared" si="58"/>
        <v>-8.723732042165333E-2</v>
      </c>
      <c r="BG34" s="310">
        <f t="shared" si="58"/>
        <v>5.5780231475322184E-2</v>
      </c>
      <c r="BH34" s="727">
        <f t="shared" si="58"/>
        <v>6.5644569887731485E-2</v>
      </c>
      <c r="BI34" s="310">
        <f t="shared" si="58"/>
        <v>-0.11882077856047002</v>
      </c>
      <c r="BJ34" s="310">
        <f t="shared" si="58"/>
        <v>-0.24453613780841776</v>
      </c>
      <c r="BK34" s="311">
        <f t="shared" si="58"/>
        <v>9.3028419182949795E-2</v>
      </c>
      <c r="BL34" s="310">
        <f t="shared" si="58"/>
        <v>1.4934998984358128E-2</v>
      </c>
      <c r="BM34" s="933">
        <v>-0.05</v>
      </c>
      <c r="BN34" s="921">
        <v>-0.05</v>
      </c>
      <c r="BO34" s="922">
        <v>-3.2000000000000001E-2</v>
      </c>
      <c r="BP34" s="887">
        <v>-0.03</v>
      </c>
      <c r="BQ34" s="887">
        <v>-0.02</v>
      </c>
      <c r="BR34" s="887">
        <v>-0.02</v>
      </c>
      <c r="BS34" s="888">
        <v>-0.01</v>
      </c>
      <c r="BT34" s="887">
        <v>-0.03</v>
      </c>
      <c r="BU34" s="887">
        <v>-3.5000000000000003E-2</v>
      </c>
      <c r="BV34" s="887">
        <v>-0.03</v>
      </c>
      <c r="BW34" s="888">
        <v>-0.03</v>
      </c>
      <c r="BX34" s="15"/>
      <c r="BY34" s="414"/>
      <c r="BZ34" s="414"/>
      <c r="CA34" s="414"/>
      <c r="CB34" s="414"/>
      <c r="CC34" s="414"/>
      <c r="CD34" s="414"/>
      <c r="CE34" s="414"/>
      <c r="CF34" s="414"/>
      <c r="CG34" s="414"/>
      <c r="CH34" s="414"/>
      <c r="CI34" s="311"/>
      <c r="CJ34" s="687"/>
      <c r="CK34" s="687"/>
      <c r="CL34" s="687"/>
      <c r="CM34" s="687"/>
      <c r="CN34" s="687"/>
      <c r="CO34" s="687"/>
      <c r="CP34" s="687"/>
      <c r="CQ34" s="104"/>
      <c r="CT34" s="105"/>
      <c r="CV34" s="414"/>
      <c r="CW34" s="414"/>
      <c r="CX34" s="414"/>
      <c r="CY34" s="414"/>
      <c r="CZ34" s="687"/>
      <c r="DA34" s="687"/>
      <c r="DB34" s="687"/>
      <c r="DC34" s="687"/>
      <c r="DD34" s="687"/>
      <c r="DE34" s="687"/>
      <c r="DF34" s="686"/>
    </row>
    <row r="35" spans="2:114" ht="14.25">
      <c r="B35" s="473" t="s">
        <v>276</v>
      </c>
      <c r="C35" s="105"/>
      <c r="D35" s="416"/>
      <c r="E35" s="416"/>
      <c r="F35" s="416"/>
      <c r="G35" s="415"/>
      <c r="H35" s="416"/>
      <c r="I35" s="416"/>
      <c r="J35" s="416"/>
      <c r="K35" s="415"/>
      <c r="L35" s="416"/>
      <c r="M35" s="416"/>
      <c r="N35" s="416"/>
      <c r="O35" s="415"/>
      <c r="P35" s="416"/>
      <c r="Q35" s="416"/>
      <c r="R35" s="416"/>
      <c r="S35" s="415"/>
      <c r="T35" s="416"/>
      <c r="U35" s="416"/>
      <c r="V35" s="416"/>
      <c r="W35" s="415"/>
      <c r="X35" s="416"/>
      <c r="Y35" s="416"/>
      <c r="Z35" s="416"/>
      <c r="AA35" s="415"/>
      <c r="AB35" s="416"/>
      <c r="AC35" s="416"/>
      <c r="AD35" s="416"/>
      <c r="AE35" s="415"/>
      <c r="AF35" s="416"/>
      <c r="AG35" s="310"/>
      <c r="AH35" s="310"/>
      <c r="AI35" s="311"/>
      <c r="AJ35" s="310"/>
      <c r="AK35" s="310"/>
      <c r="AL35" s="310"/>
      <c r="AM35" s="311"/>
      <c r="AN35" s="416"/>
      <c r="AO35" s="416"/>
      <c r="AP35" s="416"/>
      <c r="AQ35" s="113"/>
      <c r="AR35" s="698"/>
      <c r="AS35" s="416"/>
      <c r="AT35" s="416"/>
      <c r="AU35" s="415"/>
      <c r="AV35" s="702" t="s">
        <v>224</v>
      </c>
      <c r="AW35" s="416"/>
      <c r="AX35" s="416"/>
      <c r="AY35" s="415"/>
      <c r="AZ35" s="738">
        <f t="shared" ref="AZ35:BL35" si="59">AZ33/AV33-1</f>
        <v>0.23567399049881255</v>
      </c>
      <c r="BA35" s="687">
        <f t="shared" si="59"/>
        <v>0.2279158004158004</v>
      </c>
      <c r="BB35" s="687">
        <f t="shared" si="59"/>
        <v>-0.19225495491752176</v>
      </c>
      <c r="BC35" s="686">
        <f t="shared" si="59"/>
        <v>-0.31866703796528351</v>
      </c>
      <c r="BD35" s="738">
        <f t="shared" si="59"/>
        <v>-0.40614725375943617</v>
      </c>
      <c r="BE35" s="687">
        <f t="shared" si="59"/>
        <v>-0.44225844546689719</v>
      </c>
      <c r="BF35" s="687">
        <f t="shared" si="59"/>
        <v>-0.3813168724279834</v>
      </c>
      <c r="BG35" s="687">
        <f t="shared" si="59"/>
        <v>-0.27917347865576791</v>
      </c>
      <c r="BH35" s="726">
        <f t="shared" si="59"/>
        <v>-8.7475722917565557E-2</v>
      </c>
      <c r="BI35" s="687">
        <f t="shared" si="59"/>
        <v>-9.5084505225132121E-2</v>
      </c>
      <c r="BJ35" s="687">
        <f t="shared" si="59"/>
        <v>-0.25103099640814241</v>
      </c>
      <c r="BK35" s="686">
        <f t="shared" si="59"/>
        <v>-0.22460718470823904</v>
      </c>
      <c r="BL35" s="687">
        <f t="shared" si="59"/>
        <v>-0.2615048878036963</v>
      </c>
      <c r="BM35" s="310">
        <f t="shared" ref="BM35:BS35" si="60">BM33/BI33-1</f>
        <v>-0.20382784850467228</v>
      </c>
      <c r="BN35" s="310">
        <f t="shared" si="60"/>
        <v>1.1908997557725787E-3</v>
      </c>
      <c r="BO35" s="311">
        <f t="shared" si="60"/>
        <v>-0.11333248618728531</v>
      </c>
      <c r="BP35" s="310">
        <f t="shared" si="60"/>
        <v>-0.15258860000000019</v>
      </c>
      <c r="BQ35" s="310">
        <f t="shared" si="60"/>
        <v>-0.12582824000000026</v>
      </c>
      <c r="BR35" s="310">
        <f t="shared" si="60"/>
        <v>-9.8222816000000268E-2</v>
      </c>
      <c r="BS35" s="311">
        <f t="shared" si="60"/>
        <v>-7.7727880000000193E-2</v>
      </c>
      <c r="BT35" s="310">
        <f t="shared" ref="BT35" si="61">BT33/BP33-1</f>
        <v>-7.7727880000000082E-2</v>
      </c>
      <c r="BU35" s="310">
        <f t="shared" ref="BU35" si="62">BU33/BQ33-1</f>
        <v>-9.184428999999994E-2</v>
      </c>
      <c r="BV35" s="310">
        <f t="shared" ref="BV35" si="63">BV33/BR33-1</f>
        <v>-0.10111118499999994</v>
      </c>
      <c r="BW35" s="311">
        <f t="shared" ref="BW35" si="64">BW33/BS33-1</f>
        <v>-0.11927055499999994</v>
      </c>
      <c r="BX35" s="15"/>
      <c r="BY35" s="414"/>
      <c r="BZ35" s="414"/>
      <c r="CA35" s="414"/>
      <c r="CB35" s="414"/>
      <c r="CC35" s="414"/>
      <c r="CD35" s="414"/>
      <c r="CE35" s="414"/>
      <c r="CF35" s="414"/>
      <c r="CG35" s="414"/>
      <c r="CH35" s="414"/>
      <c r="CI35" s="311"/>
      <c r="CJ35" s="687"/>
      <c r="CK35" s="687">
        <f t="shared" ref="CK35:CP35" si="65">CK33/CJ33-1</f>
        <v>-4.1608947949092534E-2</v>
      </c>
      <c r="CL35" s="687">
        <f t="shared" si="65"/>
        <v>-0.38435732665822941</v>
      </c>
      <c r="CM35" s="687">
        <f t="shared" si="65"/>
        <v>-0.15970444586634214</v>
      </c>
      <c r="CN35" s="687">
        <f t="shared" si="65"/>
        <v>-0.15965303407129572</v>
      </c>
      <c r="CO35" s="687">
        <f t="shared" si="65"/>
        <v>-0.11504625453973583</v>
      </c>
      <c r="CP35" s="687">
        <f t="shared" si="65"/>
        <v>-9.7205186499415563E-2</v>
      </c>
      <c r="CQ35" s="104"/>
      <c r="CT35" s="105"/>
      <c r="CV35" s="414"/>
      <c r="CW35" s="414"/>
      <c r="CX35" s="414"/>
      <c r="CY35" s="414"/>
      <c r="CZ35" s="687"/>
      <c r="DA35" s="738" t="s">
        <v>449</v>
      </c>
      <c r="DB35" s="687">
        <f>DB33/DA33-1</f>
        <v>-0.19783560866733874</v>
      </c>
      <c r="DC35" s="687">
        <f>DC33/DB33-1</f>
        <v>-0.31884931644724723</v>
      </c>
      <c r="DD35" s="687">
        <f>DD33/DC33-1</f>
        <v>-0.20731128783080055</v>
      </c>
      <c r="DE35" s="687">
        <f>DE33/DD33-1</f>
        <v>-0.12411740356725531</v>
      </c>
      <c r="DF35" s="686">
        <f>DF33/DE33-1</f>
        <v>-9.569106950492523E-2</v>
      </c>
    </row>
    <row r="36" spans="2:114" ht="14.25">
      <c r="B36" s="472" t="s">
        <v>237</v>
      </c>
      <c r="C36" s="105"/>
      <c r="D36" s="416"/>
      <c r="E36" s="416"/>
      <c r="F36" s="416"/>
      <c r="G36" s="415"/>
      <c r="H36" s="416"/>
      <c r="I36" s="416"/>
      <c r="J36" s="416"/>
      <c r="K36" s="415"/>
      <c r="L36" s="416"/>
      <c r="M36" s="416"/>
      <c r="N36" s="416"/>
      <c r="O36" s="415"/>
      <c r="P36" s="416"/>
      <c r="Q36" s="416"/>
      <c r="R36" s="416"/>
      <c r="S36" s="415"/>
      <c r="T36" s="416"/>
      <c r="U36" s="416"/>
      <c r="V36" s="416"/>
      <c r="W36" s="415"/>
      <c r="X36" s="416"/>
      <c r="Y36" s="416"/>
      <c r="Z36" s="416"/>
      <c r="AA36" s="415"/>
      <c r="AB36" s="416"/>
      <c r="AC36" s="416"/>
      <c r="AD36" s="416"/>
      <c r="AE36" s="415"/>
      <c r="AF36" s="416"/>
      <c r="AG36" s="310"/>
      <c r="AH36" s="310"/>
      <c r="AI36" s="311"/>
      <c r="AJ36" s="310"/>
      <c r="AK36" s="310"/>
      <c r="AL36" s="310"/>
      <c r="AM36" s="311"/>
      <c r="AN36" s="416"/>
      <c r="AO36" s="416"/>
      <c r="AP36" s="416"/>
      <c r="AQ36" s="113"/>
      <c r="AR36" s="698"/>
      <c r="AS36" s="416"/>
      <c r="AT36" s="416"/>
      <c r="AU36" s="415"/>
      <c r="AV36" s="310">
        <f t="shared" ref="AV36:BJ36" si="66">AV33/AV$63</f>
        <v>0.39999999999999997</v>
      </c>
      <c r="AW36" s="310">
        <f t="shared" si="66"/>
        <v>0.39999999999999997</v>
      </c>
      <c r="AX36" s="310">
        <f t="shared" si="66"/>
        <v>0.41</v>
      </c>
      <c r="AY36" s="311">
        <f t="shared" si="66"/>
        <v>0.3600000000000001</v>
      </c>
      <c r="AZ36" s="310">
        <f t="shared" si="66"/>
        <v>0.31000000000000005</v>
      </c>
      <c r="BA36" s="310">
        <f t="shared" si="66"/>
        <v>0.30999999999999994</v>
      </c>
      <c r="BB36" s="310">
        <f t="shared" si="66"/>
        <v>0.24000000000000005</v>
      </c>
      <c r="BC36" s="311">
        <f t="shared" si="66"/>
        <v>0.20000000000000009</v>
      </c>
      <c r="BD36" s="310">
        <f t="shared" si="66"/>
        <v>0.16000000000000003</v>
      </c>
      <c r="BE36" s="310">
        <f t="shared" si="66"/>
        <v>0.17000000000000007</v>
      </c>
      <c r="BF36" s="310">
        <f t="shared" si="66"/>
        <v>0.16000000000000003</v>
      </c>
      <c r="BG36" s="310">
        <f t="shared" si="66"/>
        <v>0.15199999999999997</v>
      </c>
      <c r="BH36" s="309">
        <f t="shared" si="66"/>
        <v>0.14800000000000005</v>
      </c>
      <c r="BI36" s="310">
        <f t="shared" si="66"/>
        <v>0.14000000000000007</v>
      </c>
      <c r="BJ36" s="310">
        <f t="shared" si="66"/>
        <v>9.9999999999999922E-2</v>
      </c>
      <c r="BK36" s="311">
        <f t="shared" ref="BK36:BL36" si="67">BK33/BK$63</f>
        <v>0.10000000000000003</v>
      </c>
      <c r="BL36" s="310">
        <f t="shared" si="67"/>
        <v>9.4999999999999932E-2</v>
      </c>
      <c r="BM36" s="310">
        <f t="shared" ref="BM36:BS36" si="68">BM33/BM$63</f>
        <v>0.10516503044250873</v>
      </c>
      <c r="BN36" s="310">
        <f t="shared" si="68"/>
        <v>0.1038881491627226</v>
      </c>
      <c r="BO36" s="311">
        <f t="shared" si="68"/>
        <v>8.4624669208252831E-2</v>
      </c>
      <c r="BP36" s="310">
        <f t="shared" si="68"/>
        <v>7.8839316713704866E-2</v>
      </c>
      <c r="BQ36" s="310">
        <f t="shared" si="68"/>
        <v>8.4853762959569493E-2</v>
      </c>
      <c r="BR36" s="310">
        <f t="shared" si="68"/>
        <v>8.3132016504414985E-2</v>
      </c>
      <c r="BS36" s="311">
        <f t="shared" si="68"/>
        <v>7.6513419034339655E-2</v>
      </c>
      <c r="BT36" s="310">
        <f t="shared" ref="BT36:BW36" si="69">BT33/BT$63</f>
        <v>7.1213211207969543E-2</v>
      </c>
      <c r="BU36" s="310">
        <f t="shared" si="69"/>
        <v>7.2668069914581343E-2</v>
      </c>
      <c r="BV36" s="310">
        <f t="shared" si="69"/>
        <v>6.9582536846692244E-2</v>
      </c>
      <c r="BW36" s="311">
        <f t="shared" si="69"/>
        <v>6.2416776481198817E-2</v>
      </c>
      <c r="BX36" s="15"/>
      <c r="BY36" s="414"/>
      <c r="BZ36" s="414"/>
      <c r="CA36" s="414"/>
      <c r="CB36" s="414"/>
      <c r="CC36" s="414"/>
      <c r="CD36" s="414"/>
      <c r="CE36" s="414"/>
      <c r="CF36" s="414"/>
      <c r="CG36" s="414"/>
      <c r="CH36" s="414"/>
      <c r="CI36" s="311"/>
      <c r="CJ36" s="687">
        <f t="shared" ref="CJ36:CO36" si="70">CJ33/CJ$63</f>
        <v>0.39002443920747137</v>
      </c>
      <c r="CK36" s="687">
        <f t="shared" si="70"/>
        <v>0.26286398232261232</v>
      </c>
      <c r="CL36" s="687">
        <f t="shared" si="70"/>
        <v>0.16032465795074491</v>
      </c>
      <c r="CM36" s="687">
        <f t="shared" si="70"/>
        <v>0.12134918113600265</v>
      </c>
      <c r="CN36" s="687">
        <f t="shared" si="70"/>
        <v>9.6605607838791588E-2</v>
      </c>
      <c r="CO36" s="687">
        <f t="shared" si="70"/>
        <v>8.0709203887334602E-2</v>
      </c>
      <c r="CP36" s="687">
        <f t="shared" ref="CP36" si="71">CP33/CP$63</f>
        <v>6.885286353784259E-2</v>
      </c>
      <c r="CQ36" s="104"/>
      <c r="CT36" s="105"/>
      <c r="CV36" s="414"/>
      <c r="CW36" s="414"/>
      <c r="CX36" s="414"/>
      <c r="CY36" s="414"/>
      <c r="CZ36" s="687">
        <f t="shared" ref="CZ36:DE36" si="72">CZ33/CZ$63</f>
        <v>0.10961757526444263</v>
      </c>
      <c r="DA36" s="687">
        <f t="shared" si="72"/>
        <v>0.36320831886406607</v>
      </c>
      <c r="DB36" s="687">
        <f t="shared" si="72"/>
        <v>0.22342190135219106</v>
      </c>
      <c r="DC36" s="687">
        <f t="shared" si="72"/>
        <v>0.15697732336334508</v>
      </c>
      <c r="DD36" s="687">
        <f t="shared" si="72"/>
        <v>0.10760319345473739</v>
      </c>
      <c r="DE36" s="687">
        <f t="shared" si="72"/>
        <v>9.2118645032795876E-2</v>
      </c>
      <c r="DF36" s="686">
        <f t="shared" ref="DF36" si="73">DF33/DF$63</f>
        <v>7.8661662071701138E-2</v>
      </c>
    </row>
    <row r="37" spans="2:114" ht="14.25">
      <c r="B37" s="472"/>
      <c r="C37" s="105"/>
      <c r="D37" s="416"/>
      <c r="E37" s="416"/>
      <c r="F37" s="416"/>
      <c r="G37" s="415"/>
      <c r="H37" s="416"/>
      <c r="I37" s="416"/>
      <c r="J37" s="416"/>
      <c r="K37" s="415"/>
      <c r="L37" s="416"/>
      <c r="M37" s="416"/>
      <c r="N37" s="416"/>
      <c r="O37" s="415"/>
      <c r="P37" s="416"/>
      <c r="Q37" s="416"/>
      <c r="R37" s="416"/>
      <c r="S37" s="415"/>
      <c r="T37" s="416"/>
      <c r="U37" s="416"/>
      <c r="V37" s="416"/>
      <c r="W37" s="415"/>
      <c r="X37" s="416"/>
      <c r="Y37" s="416"/>
      <c r="Z37" s="416"/>
      <c r="AA37" s="415"/>
      <c r="AB37" s="416"/>
      <c r="AC37" s="416"/>
      <c r="AD37" s="416"/>
      <c r="AE37" s="415"/>
      <c r="AF37" s="416"/>
      <c r="AG37" s="310"/>
      <c r="AH37" s="310"/>
      <c r="AI37" s="311"/>
      <c r="AJ37" s="310"/>
      <c r="AK37" s="310"/>
      <c r="AL37" s="310"/>
      <c r="AM37" s="311"/>
      <c r="AN37" s="416"/>
      <c r="AO37" s="416"/>
      <c r="AP37" s="416"/>
      <c r="AQ37" s="113"/>
      <c r="AR37" s="698"/>
      <c r="AS37" s="416"/>
      <c r="AT37" s="416"/>
      <c r="AU37" s="415"/>
      <c r="AV37" s="698"/>
      <c r="AW37" s="416"/>
      <c r="AX37" s="416"/>
      <c r="AY37" s="415"/>
      <c r="AZ37" s="416"/>
      <c r="BA37" s="416"/>
      <c r="BB37" s="416"/>
      <c r="BC37" s="415"/>
      <c r="BD37" s="416"/>
      <c r="BE37" s="416"/>
      <c r="BF37" s="416"/>
      <c r="BG37" s="416"/>
      <c r="BH37" s="698"/>
      <c r="BI37" s="416"/>
      <c r="BJ37" s="416"/>
      <c r="BK37" s="415"/>
      <c r="BL37" s="416"/>
      <c r="BM37" s="310"/>
      <c r="BN37" s="310"/>
      <c r="BO37" s="311"/>
      <c r="BP37" s="310"/>
      <c r="BQ37" s="310"/>
      <c r="BR37" s="310"/>
      <c r="BS37" s="311"/>
      <c r="BT37" s="310"/>
      <c r="BU37" s="310"/>
      <c r="BV37" s="310"/>
      <c r="BW37" s="311"/>
      <c r="BX37" s="15"/>
      <c r="BY37" s="414"/>
      <c r="BZ37" s="414"/>
      <c r="CA37" s="414"/>
      <c r="CB37" s="414"/>
      <c r="CC37" s="414"/>
      <c r="CD37" s="414"/>
      <c r="CE37" s="414"/>
      <c r="CF37" s="414"/>
      <c r="CG37" s="414"/>
      <c r="CH37" s="414"/>
      <c r="CI37" s="311"/>
      <c r="CJ37" s="687"/>
      <c r="CK37" s="687"/>
      <c r="CL37" s="687"/>
      <c r="CM37" s="687"/>
      <c r="CN37" s="687"/>
      <c r="CO37" s="687"/>
      <c r="CP37" s="687"/>
      <c r="CQ37" s="104"/>
      <c r="CT37" s="105"/>
      <c r="CV37" s="414"/>
      <c r="CW37" s="414"/>
      <c r="CX37" s="414"/>
      <c r="CY37" s="414"/>
      <c r="CZ37" s="687"/>
      <c r="DA37" s="687"/>
      <c r="DB37" s="687"/>
      <c r="DC37" s="687"/>
      <c r="DD37" s="687"/>
      <c r="DE37" s="687"/>
      <c r="DF37" s="686"/>
    </row>
    <row r="38" spans="2:114" ht="15">
      <c r="B38" s="330" t="s">
        <v>233</v>
      </c>
      <c r="C38" s="105"/>
      <c r="D38" s="416"/>
      <c r="E38" s="416"/>
      <c r="F38" s="416"/>
      <c r="G38" s="415"/>
      <c r="H38" s="416"/>
      <c r="I38" s="416"/>
      <c r="J38" s="416"/>
      <c r="K38" s="415"/>
      <c r="L38" s="416"/>
      <c r="M38" s="416"/>
      <c r="N38" s="416"/>
      <c r="O38" s="415"/>
      <c r="P38" s="416"/>
      <c r="Q38" s="416"/>
      <c r="R38" s="416"/>
      <c r="S38" s="415"/>
      <c r="T38" s="416"/>
      <c r="U38" s="416"/>
      <c r="V38" s="416"/>
      <c r="W38" s="415"/>
      <c r="X38" s="416"/>
      <c r="Y38" s="416"/>
      <c r="Z38" s="416"/>
      <c r="AA38" s="415"/>
      <c r="AB38" s="416"/>
      <c r="AC38" s="416"/>
      <c r="AD38" s="416"/>
      <c r="AE38" s="415"/>
      <c r="AF38" s="416"/>
      <c r="AG38" s="310"/>
      <c r="AH38" s="310"/>
      <c r="AI38" s="311"/>
      <c r="AJ38" s="310"/>
      <c r="AK38" s="310"/>
      <c r="AL38" s="310"/>
      <c r="AM38" s="311"/>
      <c r="AN38" s="416"/>
      <c r="AO38" s="416"/>
      <c r="AP38" s="416"/>
      <c r="AQ38" s="113"/>
      <c r="AR38" s="698"/>
      <c r="AS38" s="416"/>
      <c r="AT38" s="416"/>
      <c r="AU38" s="415"/>
      <c r="AV38" s="428">
        <f t="shared" ref="AV38:BG38" si="74">AV36*AV84</f>
        <v>88.8</v>
      </c>
      <c r="AW38" s="429">
        <f t="shared" si="74"/>
        <v>84.95999999999998</v>
      </c>
      <c r="AX38" s="429">
        <f t="shared" si="74"/>
        <v>108.32199999999999</v>
      </c>
      <c r="AY38" s="430">
        <f t="shared" si="74"/>
        <v>116.64000000000006</v>
      </c>
      <c r="AZ38" s="429">
        <f t="shared" si="74"/>
        <v>115.63000000000002</v>
      </c>
      <c r="BA38" s="429">
        <f t="shared" si="74"/>
        <v>109.18199999999999</v>
      </c>
      <c r="BB38" s="429">
        <f t="shared" si="74"/>
        <v>94.344000000000023</v>
      </c>
      <c r="BC38" s="430">
        <f t="shared" si="74"/>
        <v>87.240000000000023</v>
      </c>
      <c r="BD38" s="429">
        <f t="shared" si="74"/>
        <v>75.536000000000016</v>
      </c>
      <c r="BE38" s="429">
        <f t="shared" si="74"/>
        <v>66.368000000000038</v>
      </c>
      <c r="BF38" s="429">
        <f t="shared" si="74"/>
        <v>60.52800000000002</v>
      </c>
      <c r="BG38" s="429">
        <f t="shared" si="74"/>
        <v>64.508799999999979</v>
      </c>
      <c r="BH38" s="428">
        <f>BH36*BH84</f>
        <v>68.657200000000017</v>
      </c>
      <c r="BI38" s="429">
        <f>BI36*BI84</f>
        <v>59.556000000000033</v>
      </c>
      <c r="BJ38" s="429">
        <f>BJ36*BJ84</f>
        <v>45.359999999999964</v>
      </c>
      <c r="BK38" s="430">
        <f t="shared" ref="BK38:BL38" si="75">BK36*BK84</f>
        <v>49.890000000000022</v>
      </c>
      <c r="BL38" s="429">
        <f t="shared" si="75"/>
        <v>50.995999999999967</v>
      </c>
      <c r="BM38" s="429">
        <f t="shared" ref="BM38:BS38" si="76">BM41*BM33</f>
        <v>39.872269499999973</v>
      </c>
      <c r="BN38" s="429">
        <f t="shared" si="76"/>
        <v>37.87865602499997</v>
      </c>
      <c r="BO38" s="430">
        <f t="shared" si="76"/>
        <v>36.666539032199964</v>
      </c>
      <c r="BP38" s="429">
        <f t="shared" si="76"/>
        <v>35.56654286123397</v>
      </c>
      <c r="BQ38" s="429">
        <f t="shared" si="76"/>
        <v>34.855212004009282</v>
      </c>
      <c r="BR38" s="429">
        <f t="shared" si="76"/>
        <v>34.158107763929095</v>
      </c>
      <c r="BS38" s="430">
        <f t="shared" si="76"/>
        <v>33.816526686289805</v>
      </c>
      <c r="BT38" s="429">
        <f t="shared" ref="BT38:BW38" si="77">BT41*BT33</f>
        <v>32.802030885701114</v>
      </c>
      <c r="BU38" s="429">
        <f t="shared" si="77"/>
        <v>31.653959804701575</v>
      </c>
      <c r="BV38" s="429">
        <f t="shared" si="77"/>
        <v>30.704341010560526</v>
      </c>
      <c r="BW38" s="430">
        <f t="shared" si="77"/>
        <v>29.78321078024371</v>
      </c>
      <c r="BX38" s="15"/>
      <c r="BY38" s="728"/>
      <c r="BZ38" s="728"/>
      <c r="CA38" s="728"/>
      <c r="CB38" s="728"/>
      <c r="CC38" s="728"/>
      <c r="CD38" s="728"/>
      <c r="CE38" s="414"/>
      <c r="CF38" s="414"/>
      <c r="CG38" s="414"/>
      <c r="CH38" s="414"/>
      <c r="CI38" s="311"/>
      <c r="CJ38" s="731">
        <f>+SUM(AV38:AY38)</f>
        <v>398.72200000000004</v>
      </c>
      <c r="CK38" s="731">
        <f>+SUM(AZ38:BC38)</f>
        <v>406.39600000000007</v>
      </c>
      <c r="CL38" s="731">
        <f>+SUM(BD38:BG38)</f>
        <v>266.94080000000008</v>
      </c>
      <c r="CM38" s="731">
        <f>+SUM(BH38:BK38)</f>
        <v>223.46320000000003</v>
      </c>
      <c r="CN38" s="731">
        <f>+SUM(BL38:BO38)</f>
        <v>165.41346455719986</v>
      </c>
      <c r="CO38" s="731">
        <f>+SUM(BP38:BS38)</f>
        <v>138.39638931546216</v>
      </c>
      <c r="CP38" s="731">
        <f>+SUM(BT38:BW38)</f>
        <v>124.94354248120692</v>
      </c>
      <c r="CQ38" s="104"/>
      <c r="CT38" s="105"/>
      <c r="CV38" s="414"/>
      <c r="CW38" s="414"/>
      <c r="CX38" s="414"/>
      <c r="CY38" s="414"/>
      <c r="CZ38" s="731">
        <f>+SUM(AS38:AV38)</f>
        <v>88.8</v>
      </c>
      <c r="DA38" s="731">
        <f>+SUM(AW38:AZ38)</f>
        <v>425.55200000000002</v>
      </c>
      <c r="DB38" s="731">
        <f>+SUM(BA38:BD38)</f>
        <v>366.30200000000002</v>
      </c>
      <c r="DC38" s="731">
        <f>+SUM(BE38:BH38)</f>
        <v>260.06200000000001</v>
      </c>
      <c r="DD38" s="731">
        <f>+SUM(BI38:BL38)</f>
        <v>205.80199999999996</v>
      </c>
      <c r="DE38" s="731">
        <f>+SUM(BM38:BP38)</f>
        <v>149.98400741843386</v>
      </c>
      <c r="DF38" s="729">
        <f>+SUM(BQ38:BT38)</f>
        <v>135.6318773399293</v>
      </c>
    </row>
    <row r="39" spans="2:114" ht="14.25">
      <c r="B39" s="472" t="s">
        <v>275</v>
      </c>
      <c r="C39" s="105"/>
      <c r="D39" s="416"/>
      <c r="E39" s="416"/>
      <c r="F39" s="416"/>
      <c r="G39" s="415"/>
      <c r="H39" s="416"/>
      <c r="I39" s="416"/>
      <c r="J39" s="416"/>
      <c r="K39" s="415"/>
      <c r="L39" s="416"/>
      <c r="M39" s="416"/>
      <c r="N39" s="416"/>
      <c r="O39" s="415"/>
      <c r="P39" s="416"/>
      <c r="Q39" s="416"/>
      <c r="R39" s="416"/>
      <c r="S39" s="415"/>
      <c r="T39" s="416"/>
      <c r="U39" s="416"/>
      <c r="V39" s="416"/>
      <c r="W39" s="415"/>
      <c r="X39" s="416"/>
      <c r="Y39" s="416"/>
      <c r="Z39" s="416"/>
      <c r="AA39" s="415"/>
      <c r="AB39" s="416"/>
      <c r="AC39" s="416"/>
      <c r="AD39" s="416"/>
      <c r="AE39" s="415"/>
      <c r="AF39" s="416"/>
      <c r="AG39" s="310"/>
      <c r="AH39" s="310"/>
      <c r="AI39" s="311"/>
      <c r="AJ39" s="310"/>
      <c r="AK39" s="310"/>
      <c r="AL39" s="310"/>
      <c r="AM39" s="311"/>
      <c r="AN39" s="416"/>
      <c r="AO39" s="416"/>
      <c r="AP39" s="416"/>
      <c r="AQ39" s="113"/>
      <c r="AR39" s="698"/>
      <c r="AS39" s="416"/>
      <c r="AT39" s="416"/>
      <c r="AU39" s="415"/>
      <c r="AV39" s="702" t="s">
        <v>224</v>
      </c>
      <c r="AW39" s="310">
        <f t="shared" ref="AW39:BC39" si="78">AW38/AV38-1</f>
        <v>-4.3243243243243468E-2</v>
      </c>
      <c r="AX39" s="310">
        <f t="shared" si="78"/>
        <v>0.2749764595103581</v>
      </c>
      <c r="AY39" s="311">
        <f t="shared" si="78"/>
        <v>7.6789571832130754E-2</v>
      </c>
      <c r="AZ39" s="727">
        <f t="shared" si="78"/>
        <v>-8.6591220850482653E-3</v>
      </c>
      <c r="BA39" s="310">
        <f t="shared" si="78"/>
        <v>-5.576407506702441E-2</v>
      </c>
      <c r="BB39" s="310">
        <f t="shared" si="78"/>
        <v>-0.13590152222893859</v>
      </c>
      <c r="BC39" s="311">
        <f t="shared" si="78"/>
        <v>-7.5298906130755516E-2</v>
      </c>
      <c r="BD39" s="702" t="s">
        <v>224</v>
      </c>
      <c r="BE39" s="310">
        <f>BE38/BD38-1</f>
        <v>-0.12137259055284866</v>
      </c>
      <c r="BF39" s="310">
        <f>BF38/BE38-1</f>
        <v>-8.7994214079074484E-2</v>
      </c>
      <c r="BG39" s="310">
        <f>BG38/BF38-1</f>
        <v>6.5767909066877461E-2</v>
      </c>
      <c r="BH39" s="702" t="s">
        <v>224</v>
      </c>
      <c r="BI39" s="310">
        <f t="shared" ref="BI39:BS39" si="79">BI38/BH38-1</f>
        <v>-0.13256002283809976</v>
      </c>
      <c r="BJ39" s="310">
        <f t="shared" si="79"/>
        <v>-0.23836389280677117</v>
      </c>
      <c r="BK39" s="311">
        <f>BK38/BJ38-1</f>
        <v>9.9867724867726215E-2</v>
      </c>
      <c r="BL39" s="310">
        <f>BL38/BK38-1</f>
        <v>2.2168771296851908E-2</v>
      </c>
      <c r="BM39" s="310">
        <f t="shared" si="79"/>
        <v>-0.21812947093889723</v>
      </c>
      <c r="BN39" s="310">
        <f t="shared" si="79"/>
        <v>-5.0000000000000155E-2</v>
      </c>
      <c r="BO39" s="311">
        <f t="shared" si="79"/>
        <v>-3.2000000000000139E-2</v>
      </c>
      <c r="BP39" s="310">
        <f t="shared" si="79"/>
        <v>-2.9999999999999916E-2</v>
      </c>
      <c r="BQ39" s="310">
        <f t="shared" si="79"/>
        <v>-2.000000000000024E-2</v>
      </c>
      <c r="BR39" s="310">
        <f t="shared" si="79"/>
        <v>-2.0000000000000018E-2</v>
      </c>
      <c r="BS39" s="311">
        <f t="shared" si="79"/>
        <v>-1.0000000000000009E-2</v>
      </c>
      <c r="BT39" s="310">
        <f t="shared" ref="BT39" si="80">BT38/BS38-1</f>
        <v>-2.9999999999999916E-2</v>
      </c>
      <c r="BU39" s="310">
        <f t="shared" ref="BU39" si="81">BU38/BT38-1</f>
        <v>-3.5000000000000031E-2</v>
      </c>
      <c r="BV39" s="310">
        <f t="shared" ref="BV39" si="82">BV38/BU38-1</f>
        <v>-3.0000000000000027E-2</v>
      </c>
      <c r="BW39" s="311">
        <f t="shared" ref="BW39" si="83">BW38/BV38-1</f>
        <v>-3.0000000000000027E-2</v>
      </c>
      <c r="BX39" s="15"/>
      <c r="BY39" s="414"/>
      <c r="BZ39" s="414"/>
      <c r="CA39" s="414"/>
      <c r="CB39" s="414"/>
      <c r="CC39" s="414"/>
      <c r="CD39" s="414"/>
      <c r="CE39" s="414"/>
      <c r="CF39" s="414"/>
      <c r="CG39" s="414"/>
      <c r="CH39" s="414"/>
      <c r="CI39" s="311"/>
      <c r="CJ39" s="687"/>
      <c r="CK39" s="687"/>
      <c r="CL39" s="687"/>
      <c r="CM39" s="687"/>
      <c r="CN39" s="687"/>
      <c r="CO39" s="687"/>
      <c r="CP39" s="687"/>
      <c r="CQ39" s="104"/>
      <c r="CT39" s="105"/>
      <c r="CV39" s="414"/>
      <c r="CW39" s="414"/>
      <c r="CX39" s="414"/>
      <c r="CY39" s="414"/>
      <c r="CZ39" s="687"/>
      <c r="DA39" s="687"/>
      <c r="DB39" s="687"/>
      <c r="DC39" s="687"/>
      <c r="DD39" s="687"/>
      <c r="DE39" s="687"/>
      <c r="DF39" s="686"/>
    </row>
    <row r="40" spans="2:114" ht="14.25">
      <c r="B40" s="473" t="s">
        <v>276</v>
      </c>
      <c r="C40" s="105"/>
      <c r="D40" s="416"/>
      <c r="E40" s="416"/>
      <c r="F40" s="416"/>
      <c r="G40" s="415"/>
      <c r="H40" s="416"/>
      <c r="I40" s="416"/>
      <c r="J40" s="416"/>
      <c r="K40" s="415"/>
      <c r="L40" s="416"/>
      <c r="M40" s="416"/>
      <c r="N40" s="416"/>
      <c r="O40" s="415"/>
      <c r="P40" s="416"/>
      <c r="Q40" s="416"/>
      <c r="R40" s="416"/>
      <c r="S40" s="415"/>
      <c r="T40" s="416"/>
      <c r="U40" s="416"/>
      <c r="V40" s="416"/>
      <c r="W40" s="415"/>
      <c r="X40" s="416"/>
      <c r="Y40" s="416"/>
      <c r="Z40" s="416"/>
      <c r="AA40" s="415"/>
      <c r="AB40" s="416"/>
      <c r="AC40" s="416"/>
      <c r="AD40" s="416"/>
      <c r="AE40" s="415"/>
      <c r="AF40" s="416"/>
      <c r="AG40" s="310"/>
      <c r="AH40" s="310"/>
      <c r="AI40" s="311"/>
      <c r="AJ40" s="310"/>
      <c r="AK40" s="310"/>
      <c r="AL40" s="310"/>
      <c r="AM40" s="311"/>
      <c r="AN40" s="416"/>
      <c r="AO40" s="416"/>
      <c r="AP40" s="416"/>
      <c r="AQ40" s="113"/>
      <c r="AR40" s="698"/>
      <c r="AS40" s="416"/>
      <c r="AT40" s="416"/>
      <c r="AU40" s="415"/>
      <c r="AV40" s="702" t="s">
        <v>224</v>
      </c>
      <c r="AW40" s="416"/>
      <c r="AX40" s="416"/>
      <c r="AY40" s="415"/>
      <c r="AZ40" s="726">
        <f t="shared" ref="AZ40:BL40" si="84">AZ38/AV38-1</f>
        <v>0.30213963963963986</v>
      </c>
      <c r="BA40" s="687">
        <f t="shared" si="84"/>
        <v>0.28509887005649737</v>
      </c>
      <c r="BB40" s="687">
        <f t="shared" si="84"/>
        <v>-0.12904119200162445</v>
      </c>
      <c r="BC40" s="686">
        <f t="shared" si="84"/>
        <v>-0.25205761316872444</v>
      </c>
      <c r="BD40" s="726">
        <f t="shared" si="84"/>
        <v>-0.34674392458704484</v>
      </c>
      <c r="BE40" s="687">
        <f t="shared" si="84"/>
        <v>-0.39213423458079133</v>
      </c>
      <c r="BF40" s="687">
        <f t="shared" si="84"/>
        <v>-0.35843296871025176</v>
      </c>
      <c r="BG40" s="687">
        <f t="shared" si="84"/>
        <v>-0.26055937643282945</v>
      </c>
      <c r="BH40" s="726">
        <f t="shared" si="84"/>
        <v>-9.1066511332344779E-2</v>
      </c>
      <c r="BI40" s="687">
        <f t="shared" si="84"/>
        <v>-0.10263982642237224</v>
      </c>
      <c r="BJ40" s="687">
        <f t="shared" si="84"/>
        <v>-0.25059476605868447</v>
      </c>
      <c r="BK40" s="686">
        <f t="shared" si="84"/>
        <v>-0.22661714370752462</v>
      </c>
      <c r="BL40" s="687">
        <f t="shared" si="84"/>
        <v>-0.25723740554523122</v>
      </c>
      <c r="BM40" s="310">
        <f t="shared" ref="BM40:BS40" si="85">BM38/BI38-1</f>
        <v>-0.33050793370945075</v>
      </c>
      <c r="BN40" s="310">
        <f t="shared" si="85"/>
        <v>-0.16493262731481484</v>
      </c>
      <c r="BO40" s="311">
        <f t="shared" si="85"/>
        <v>-0.26505233449188315</v>
      </c>
      <c r="BP40" s="310">
        <f t="shared" si="85"/>
        <v>-0.30256210563114772</v>
      </c>
      <c r="BQ40" s="310">
        <f t="shared" si="85"/>
        <v>-0.12582824000000037</v>
      </c>
      <c r="BR40" s="310">
        <f t="shared" si="85"/>
        <v>-9.8222816000000268E-2</v>
      </c>
      <c r="BS40" s="311">
        <f t="shared" si="85"/>
        <v>-7.7727880000000082E-2</v>
      </c>
      <c r="BT40" s="310">
        <f t="shared" ref="BT40" si="86">BT38/BP38-1</f>
        <v>-7.7727880000000082E-2</v>
      </c>
      <c r="BU40" s="310">
        <f t="shared" ref="BU40" si="87">BU38/BQ38-1</f>
        <v>-9.184428999999994E-2</v>
      </c>
      <c r="BV40" s="310">
        <f t="shared" ref="BV40" si="88">BV38/BR38-1</f>
        <v>-0.10111118499999994</v>
      </c>
      <c r="BW40" s="311">
        <f t="shared" ref="BW40" si="89">BW38/BS38-1</f>
        <v>-0.11927055499999994</v>
      </c>
      <c r="BX40" s="15"/>
      <c r="BY40" s="414"/>
      <c r="BZ40" s="414"/>
      <c r="CA40" s="414"/>
      <c r="CB40" s="414"/>
      <c r="CC40" s="414"/>
      <c r="CD40" s="414"/>
      <c r="CE40" s="414"/>
      <c r="CF40" s="414"/>
      <c r="CG40" s="414"/>
      <c r="CH40" s="414"/>
      <c r="CI40" s="311"/>
      <c r="CJ40" s="687"/>
      <c r="CK40" s="687">
        <f t="shared" ref="CK40:CP40" si="90">CK38/CJ38-1</f>
        <v>1.9246492543677052E-2</v>
      </c>
      <c r="CL40" s="687">
        <f t="shared" si="90"/>
        <v>-0.3431510152658982</v>
      </c>
      <c r="CM40" s="687">
        <f t="shared" si="90"/>
        <v>-0.16287356597417868</v>
      </c>
      <c r="CN40" s="687">
        <f t="shared" si="90"/>
        <v>-0.25977313241195943</v>
      </c>
      <c r="CO40" s="687">
        <f t="shared" si="90"/>
        <v>-0.1633305687300638</v>
      </c>
      <c r="CP40" s="687">
        <f t="shared" si="90"/>
        <v>-9.7205186499415674E-2</v>
      </c>
      <c r="CQ40" s="104"/>
      <c r="CT40" s="105"/>
      <c r="CV40" s="414"/>
      <c r="CW40" s="414"/>
      <c r="CX40" s="414"/>
      <c r="CY40" s="414"/>
      <c r="CZ40" s="687"/>
      <c r="DA40" s="687">
        <f t="shared" ref="DA40:DF40" si="91">DA38/CZ38-1</f>
        <v>3.7922522522522524</v>
      </c>
      <c r="DB40" s="687">
        <f t="shared" si="91"/>
        <v>-0.13923092830018424</v>
      </c>
      <c r="DC40" s="687">
        <f t="shared" si="91"/>
        <v>-0.29003390644877725</v>
      </c>
      <c r="DD40" s="687">
        <f t="shared" si="91"/>
        <v>-0.20864255446778091</v>
      </c>
      <c r="DE40" s="687">
        <f t="shared" si="91"/>
        <v>-0.2712218179685626</v>
      </c>
      <c r="DF40" s="686">
        <f t="shared" si="91"/>
        <v>-9.5691069504925119E-2</v>
      </c>
    </row>
    <row r="41" spans="2:114" ht="14.25">
      <c r="B41" s="637" t="s">
        <v>393</v>
      </c>
      <c r="C41" s="105"/>
      <c r="D41" s="416"/>
      <c r="E41" s="416"/>
      <c r="F41" s="416"/>
      <c r="G41" s="415"/>
      <c r="H41" s="416"/>
      <c r="I41" s="416"/>
      <c r="J41" s="416"/>
      <c r="K41" s="415"/>
      <c r="L41" s="416"/>
      <c r="M41" s="416"/>
      <c r="N41" s="416"/>
      <c r="O41" s="415"/>
      <c r="P41" s="416"/>
      <c r="Q41" s="416"/>
      <c r="R41" s="416"/>
      <c r="S41" s="415"/>
      <c r="T41" s="416"/>
      <c r="U41" s="416"/>
      <c r="V41" s="416"/>
      <c r="W41" s="415"/>
      <c r="X41" s="416"/>
      <c r="Y41" s="416"/>
      <c r="Z41" s="416"/>
      <c r="AA41" s="415"/>
      <c r="AB41" s="416"/>
      <c r="AC41" s="416"/>
      <c r="AD41" s="416"/>
      <c r="AE41" s="415"/>
      <c r="AF41" s="416"/>
      <c r="AG41" s="310"/>
      <c r="AH41" s="310"/>
      <c r="AI41" s="311"/>
      <c r="AJ41" s="310"/>
      <c r="AK41" s="310"/>
      <c r="AL41" s="310"/>
      <c r="AM41" s="311"/>
      <c r="AN41" s="416"/>
      <c r="AO41" s="416"/>
      <c r="AP41" s="416"/>
      <c r="AQ41" s="113"/>
      <c r="AR41" s="698"/>
      <c r="AS41" s="416"/>
      <c r="AT41" s="416"/>
      <c r="AU41" s="415"/>
      <c r="AV41" s="703">
        <f>AV38/AV33</f>
        <v>0.43942992874109266</v>
      </c>
      <c r="AW41" s="687">
        <f>AW38/AW33</f>
        <v>0.44158004158004155</v>
      </c>
      <c r="AX41" s="687">
        <f>AX38/AX33</f>
        <v>0.45008517887563881</v>
      </c>
      <c r="AY41" s="686">
        <f>AY38/AY33</f>
        <v>0.45112781954887227</v>
      </c>
      <c r="AZ41" s="703">
        <f t="shared" ref="AZ41:BE41" si="92">AZ38/AZ33</f>
        <v>0.46306641837368095</v>
      </c>
      <c r="BA41" s="687">
        <f t="shared" si="92"/>
        <v>0.46214407558063247</v>
      </c>
      <c r="BB41" s="687">
        <f t="shared" si="92"/>
        <v>0.48530864197530865</v>
      </c>
      <c r="BC41" s="686">
        <f t="shared" si="92"/>
        <v>0.49523160762942769</v>
      </c>
      <c r="BD41" s="703">
        <f t="shared" si="92"/>
        <v>0.5093871385412172</v>
      </c>
      <c r="BE41" s="687">
        <f t="shared" si="92"/>
        <v>0.50367694491033421</v>
      </c>
      <c r="BF41" s="687">
        <f t="shared" ref="BF41:BK41" si="93">BF38/BF33</f>
        <v>0.5032592789676732</v>
      </c>
      <c r="BG41" s="687">
        <f t="shared" si="93"/>
        <v>0.50802011012688519</v>
      </c>
      <c r="BH41" s="703">
        <f t="shared" si="93"/>
        <v>0.50738269714535711</v>
      </c>
      <c r="BI41" s="687">
        <f t="shared" si="93"/>
        <v>0.49947164494540336</v>
      </c>
      <c r="BJ41" s="687">
        <f t="shared" si="93"/>
        <v>0.50355239786856132</v>
      </c>
      <c r="BK41" s="686">
        <f t="shared" si="93"/>
        <v>0.50670322973796467</v>
      </c>
      <c r="BL41" s="687">
        <f t="shared" ref="BL41" si="94">BL38/BL33</f>
        <v>0.51031466869474285</v>
      </c>
      <c r="BM41" s="960">
        <v>0.42</v>
      </c>
      <c r="BN41" s="933">
        <f t="shared" ref="BN41:BS41" si="95">BM41</f>
        <v>0.42</v>
      </c>
      <c r="BO41" s="922">
        <f t="shared" si="95"/>
        <v>0.42</v>
      </c>
      <c r="BP41" s="933">
        <f t="shared" si="95"/>
        <v>0.42</v>
      </c>
      <c r="BQ41" s="933">
        <f t="shared" si="95"/>
        <v>0.42</v>
      </c>
      <c r="BR41" s="933">
        <f t="shared" si="95"/>
        <v>0.42</v>
      </c>
      <c r="BS41" s="922">
        <f t="shared" si="95"/>
        <v>0.42</v>
      </c>
      <c r="BT41" s="933">
        <f t="shared" ref="BT41" si="96">BS41</f>
        <v>0.42</v>
      </c>
      <c r="BU41" s="933">
        <f t="shared" ref="BU41" si="97">BT41</f>
        <v>0.42</v>
      </c>
      <c r="BV41" s="933">
        <f t="shared" ref="BV41" si="98">BU41</f>
        <v>0.42</v>
      </c>
      <c r="BW41" s="922">
        <f t="shared" ref="BW41" si="99">BV41</f>
        <v>0.42</v>
      </c>
      <c r="BX41" s="15"/>
      <c r="BY41" s="414"/>
      <c r="BZ41" s="414"/>
      <c r="CA41" s="414"/>
      <c r="CB41" s="414"/>
      <c r="CC41" s="414"/>
      <c r="CD41" s="414"/>
      <c r="CE41" s="414"/>
      <c r="CF41" s="414"/>
      <c r="CG41" s="414"/>
      <c r="CH41" s="414"/>
      <c r="CI41" s="311"/>
      <c r="CJ41" s="687">
        <f t="shared" ref="CJ41:CO41" si="100">+CJ38/CJ33</f>
        <v>0.44614647835632015</v>
      </c>
      <c r="CK41" s="687">
        <f t="shared" si="100"/>
        <v>0.47447566653746109</v>
      </c>
      <c r="CL41" s="687">
        <f t="shared" si="100"/>
        <v>0.5062333612360751</v>
      </c>
      <c r="CM41" s="687">
        <f t="shared" si="100"/>
        <v>0.5043241349924531</v>
      </c>
      <c r="CN41" s="687">
        <f t="shared" si="100"/>
        <v>0.44423826089732554</v>
      </c>
      <c r="CO41" s="687">
        <f t="shared" si="100"/>
        <v>0.42</v>
      </c>
      <c r="CP41" s="687">
        <f t="shared" ref="CP41" si="101">+CP38/CP33</f>
        <v>0.41999999999999993</v>
      </c>
      <c r="CQ41" s="104"/>
      <c r="CR41" s="509"/>
      <c r="CS41" s="105"/>
      <c r="CT41" s="105"/>
      <c r="CV41" s="414"/>
      <c r="CW41" s="414"/>
      <c r="CX41" s="414"/>
      <c r="CY41" s="414"/>
      <c r="CZ41" s="687">
        <f t="shared" ref="CZ41:DE41" si="102">+CZ38/CZ33</f>
        <v>0.43942992874109266</v>
      </c>
      <c r="DA41" s="687">
        <f t="shared" si="102"/>
        <v>0.45207669598343614</v>
      </c>
      <c r="DB41" s="687">
        <f t="shared" si="102"/>
        <v>0.48510460217799251</v>
      </c>
      <c r="DC41" s="687">
        <f t="shared" si="102"/>
        <v>0.50562647544543804</v>
      </c>
      <c r="DD41" s="687">
        <f t="shared" si="102"/>
        <v>0.50477731025965855</v>
      </c>
      <c r="DE41" s="687">
        <f t="shared" si="102"/>
        <v>0.42</v>
      </c>
      <c r="DF41" s="686">
        <f t="shared" ref="DF41" si="103">+DF38/DF33</f>
        <v>0.42000000000000004</v>
      </c>
    </row>
    <row r="42" spans="2:114" ht="15">
      <c r="B42" s="707" t="s">
        <v>380</v>
      </c>
      <c r="C42" s="688"/>
      <c r="D42" s="689"/>
      <c r="E42" s="689"/>
      <c r="F42" s="689"/>
      <c r="G42" s="701"/>
      <c r="H42" s="689"/>
      <c r="I42" s="689"/>
      <c r="J42" s="689"/>
      <c r="K42" s="701"/>
      <c r="L42" s="689"/>
      <c r="M42" s="689"/>
      <c r="N42" s="689"/>
      <c r="O42" s="701"/>
      <c r="P42" s="689"/>
      <c r="Q42" s="689"/>
      <c r="R42" s="689"/>
      <c r="S42" s="701"/>
      <c r="T42" s="689"/>
      <c r="U42" s="689"/>
      <c r="V42" s="689"/>
      <c r="W42" s="701"/>
      <c r="X42" s="689"/>
      <c r="Y42" s="689"/>
      <c r="Z42" s="689"/>
      <c r="AA42" s="701"/>
      <c r="AB42" s="689"/>
      <c r="AC42" s="689"/>
      <c r="AD42" s="689"/>
      <c r="AE42" s="701"/>
      <c r="AF42" s="689"/>
      <c r="AG42" s="690"/>
      <c r="AH42" s="690"/>
      <c r="AI42" s="692"/>
      <c r="AJ42" s="690"/>
      <c r="AK42" s="690"/>
      <c r="AL42" s="690"/>
      <c r="AM42" s="692"/>
      <c r="AN42" s="689"/>
      <c r="AO42" s="689"/>
      <c r="AP42" s="689"/>
      <c r="AQ42" s="691"/>
      <c r="AR42" s="700"/>
      <c r="AS42" s="689"/>
      <c r="AT42" s="689"/>
      <c r="AU42" s="701"/>
      <c r="AV42" s="700"/>
      <c r="AW42" s="689"/>
      <c r="AX42" s="689"/>
      <c r="AY42" s="701"/>
      <c r="AZ42" s="700"/>
      <c r="BA42" s="689"/>
      <c r="BB42" s="689"/>
      <c r="BC42" s="701"/>
      <c r="BD42" s="700"/>
      <c r="BE42" s="689"/>
      <c r="BF42" s="690"/>
      <c r="BG42" s="690"/>
      <c r="BH42" s="700"/>
      <c r="BI42" s="689"/>
      <c r="BJ42" s="689"/>
      <c r="BK42" s="692"/>
      <c r="BL42" s="706"/>
      <c r="BM42" s="690"/>
      <c r="BN42" s="690"/>
      <c r="BO42" s="692"/>
      <c r="BP42" s="690"/>
      <c r="BQ42" s="690"/>
      <c r="BR42" s="690"/>
      <c r="BS42" s="692"/>
      <c r="BT42" s="690"/>
      <c r="BU42" s="690"/>
      <c r="BV42" s="690"/>
      <c r="BW42" s="692"/>
      <c r="BX42" s="15"/>
      <c r="BY42" s="706"/>
      <c r="BZ42" s="690"/>
      <c r="CA42" s="690"/>
      <c r="CB42" s="690"/>
      <c r="CC42" s="690"/>
      <c r="CD42" s="690"/>
      <c r="CE42" s="690"/>
      <c r="CF42" s="690"/>
      <c r="CG42" s="690"/>
      <c r="CH42" s="690"/>
      <c r="CI42" s="692"/>
      <c r="CJ42" s="863"/>
      <c r="CK42" s="863"/>
      <c r="CL42" s="863"/>
      <c r="CM42" s="863"/>
      <c r="CN42" s="863"/>
      <c r="CO42" s="863"/>
      <c r="CP42" s="863"/>
      <c r="CQ42" s="104"/>
      <c r="CR42" s="509"/>
      <c r="CS42" s="105"/>
      <c r="CT42" s="105"/>
      <c r="CV42" s="414"/>
      <c r="CW42" s="414"/>
      <c r="CX42" s="414"/>
      <c r="CY42" s="414"/>
      <c r="CZ42" s="687"/>
      <c r="DA42" s="687"/>
      <c r="DB42" s="687"/>
      <c r="DC42" s="687"/>
      <c r="DD42" s="687"/>
      <c r="DE42" s="687"/>
      <c r="DF42" s="686"/>
    </row>
    <row r="43" spans="2:114" ht="15">
      <c r="B43" s="330" t="s">
        <v>232</v>
      </c>
      <c r="C43" s="105"/>
      <c r="D43" s="416"/>
      <c r="E43" s="416"/>
      <c r="F43" s="416"/>
      <c r="G43" s="415"/>
      <c r="H43" s="416"/>
      <c r="I43" s="416"/>
      <c r="J43" s="416"/>
      <c r="K43" s="415"/>
      <c r="L43" s="416"/>
      <c r="M43" s="416"/>
      <c r="N43" s="416"/>
      <c r="O43" s="415"/>
      <c r="P43" s="416"/>
      <c r="Q43" s="416"/>
      <c r="R43" s="416"/>
      <c r="S43" s="415"/>
      <c r="T43" s="416"/>
      <c r="U43" s="416"/>
      <c r="V43" s="416"/>
      <c r="W43" s="415"/>
      <c r="X43" s="416"/>
      <c r="Y43" s="416"/>
      <c r="Z43" s="416"/>
      <c r="AA43" s="415"/>
      <c r="AB43" s="416"/>
      <c r="AC43" s="416"/>
      <c r="AD43" s="416"/>
      <c r="AE43" s="415"/>
      <c r="AF43" s="416"/>
      <c r="AG43" s="310"/>
      <c r="AH43" s="310"/>
      <c r="AI43" s="311"/>
      <c r="AJ43" s="310"/>
      <c r="AK43" s="310"/>
      <c r="AL43" s="310"/>
      <c r="AM43" s="311"/>
      <c r="AN43" s="416"/>
      <c r="AO43" s="416"/>
      <c r="AP43" s="416"/>
      <c r="AQ43" s="113"/>
      <c r="AR43" s="698"/>
      <c r="AS43" s="416"/>
      <c r="AT43" s="416"/>
      <c r="AU43" s="415"/>
      <c r="AV43" s="428">
        <f t="shared" ref="AV43:BE43" si="104">AV$67*AV46</f>
        <v>166.71600000000001</v>
      </c>
      <c r="AW43" s="429">
        <f t="shared" si="104"/>
        <v>158.73000000000002</v>
      </c>
      <c r="AX43" s="429">
        <f t="shared" si="104"/>
        <v>193.71</v>
      </c>
      <c r="AY43" s="430">
        <f t="shared" si="104"/>
        <v>280.09800000000001</v>
      </c>
      <c r="AZ43" s="428">
        <f t="shared" si="104"/>
        <v>386.64</v>
      </c>
      <c r="BA43" s="429">
        <f t="shared" si="104"/>
        <v>358.18700000000001</v>
      </c>
      <c r="BB43" s="429">
        <f t="shared" si="104"/>
        <v>429.3</v>
      </c>
      <c r="BC43" s="430">
        <f t="shared" si="104"/>
        <v>519.67199999999991</v>
      </c>
      <c r="BD43" s="428">
        <f t="shared" si="104"/>
        <v>593.15199999999993</v>
      </c>
      <c r="BE43" s="429">
        <f t="shared" si="104"/>
        <v>449.55799999999999</v>
      </c>
      <c r="BF43" s="429">
        <f t="shared" ref="BF43:BK43" si="105">BF$67*BF46</f>
        <v>413.43500000000006</v>
      </c>
      <c r="BG43" s="429">
        <f t="shared" si="105"/>
        <v>509.59399999999999</v>
      </c>
      <c r="BH43" s="428">
        <f t="shared" si="105"/>
        <v>553.15149999999994</v>
      </c>
      <c r="BI43" s="429">
        <f t="shared" si="105"/>
        <v>515.27850000000001</v>
      </c>
      <c r="BJ43" s="429">
        <f t="shared" si="105"/>
        <v>567.50400000000002</v>
      </c>
      <c r="BK43" s="430">
        <f t="shared" si="105"/>
        <v>630.14400000000001</v>
      </c>
      <c r="BL43" s="428">
        <f t="shared" ref="BL43" si="106">BL$67*BL46</f>
        <v>710.03250000000014</v>
      </c>
      <c r="BM43" s="429">
        <f t="shared" ref="BM43:BS43" si="107">BL43*(1+BM44)</f>
        <v>557.37551250000013</v>
      </c>
      <c r="BN43" s="429">
        <f t="shared" si="107"/>
        <v>509.99859393750012</v>
      </c>
      <c r="BO43" s="430">
        <f t="shared" si="107"/>
        <v>662.99817211875018</v>
      </c>
      <c r="BP43" s="429">
        <f t="shared" si="107"/>
        <v>719.35301674884397</v>
      </c>
      <c r="BQ43" s="429">
        <f t="shared" si="107"/>
        <v>611.45006423651739</v>
      </c>
      <c r="BR43" s="429">
        <f t="shared" si="107"/>
        <v>599.22106295178708</v>
      </c>
      <c r="BS43" s="430">
        <f t="shared" si="107"/>
        <v>659.14316924696584</v>
      </c>
      <c r="BT43" s="429">
        <f t="shared" ref="BT43" si="108">BS43*(1+BT44)</f>
        <v>718.46605447919285</v>
      </c>
      <c r="BU43" s="429">
        <f t="shared" ref="BU43" si="109">BT43*(1+BU44)</f>
        <v>646.61944903127358</v>
      </c>
      <c r="BV43" s="429">
        <f t="shared" ref="BV43" si="110">BU43*(1+BV44)</f>
        <v>646.61944903127358</v>
      </c>
      <c r="BW43" s="430">
        <f t="shared" ref="BW43" si="111">BV43*(1+BW44)</f>
        <v>717.74758842471374</v>
      </c>
      <c r="BX43" s="15"/>
      <c r="BY43" s="728"/>
      <c r="BZ43" s="728"/>
      <c r="CA43" s="728"/>
      <c r="CB43" s="728"/>
      <c r="CC43" s="728"/>
      <c r="CD43" s="728"/>
      <c r="CE43" s="414"/>
      <c r="CF43" s="414"/>
      <c r="CG43" s="414"/>
      <c r="CH43" s="414"/>
      <c r="CI43" s="311"/>
      <c r="CJ43" s="731">
        <f>+SUM(AV43:AY43)</f>
        <v>799.25400000000013</v>
      </c>
      <c r="CK43" s="731">
        <f>+SUM(AZ43:BC43)</f>
        <v>1693.799</v>
      </c>
      <c r="CL43" s="731">
        <f>+SUM(BD43:BG43)</f>
        <v>1965.739</v>
      </c>
      <c r="CM43" s="731">
        <f>+SUM(BH43:BK43)</f>
        <v>2266.0779999999995</v>
      </c>
      <c r="CN43" s="731">
        <f>+SUM(BL43:BO43)</f>
        <v>2440.4047785562507</v>
      </c>
      <c r="CO43" s="731">
        <f>+SUM(BP43:BS43)</f>
        <v>2589.1673131841144</v>
      </c>
      <c r="CP43" s="731">
        <f>+SUM(BT43:BW43)</f>
        <v>2729.4525409664539</v>
      </c>
      <c r="CQ43" s="104"/>
      <c r="CR43" s="509"/>
      <c r="CV43" s="414"/>
      <c r="CW43" s="414"/>
      <c r="CX43" s="414"/>
      <c r="CY43" s="414"/>
      <c r="CZ43" s="731">
        <f>+SUM(AS43:AV43)</f>
        <v>166.71600000000001</v>
      </c>
      <c r="DA43" s="731">
        <f>+SUM(AW43:AZ43)</f>
        <v>1019.178</v>
      </c>
      <c r="DB43" s="731">
        <f>+SUM(BA43:BD43)</f>
        <v>1900.3110000000001</v>
      </c>
      <c r="DC43" s="731">
        <f>+SUM(BE43:BH43)</f>
        <v>1925.7384999999999</v>
      </c>
      <c r="DD43" s="731">
        <f>+SUM(BI43:BL43)</f>
        <v>2422.9590000000003</v>
      </c>
      <c r="DE43" s="731">
        <f>+SUM(BM43:BP43)</f>
        <v>2449.7252953050943</v>
      </c>
      <c r="DF43" s="729">
        <f>+SUM(BQ43:BT43)</f>
        <v>2588.2803509144633</v>
      </c>
    </row>
    <row r="44" spans="2:114" ht="14.25">
      <c r="B44" s="472" t="s">
        <v>275</v>
      </c>
      <c r="C44" s="105"/>
      <c r="D44" s="416"/>
      <c r="E44" s="416"/>
      <c r="F44" s="416"/>
      <c r="G44" s="415"/>
      <c r="H44" s="416"/>
      <c r="I44" s="416"/>
      <c r="J44" s="416"/>
      <c r="K44" s="415"/>
      <c r="L44" s="416"/>
      <c r="M44" s="416"/>
      <c r="N44" s="416"/>
      <c r="O44" s="415"/>
      <c r="P44" s="416"/>
      <c r="Q44" s="416"/>
      <c r="R44" s="416"/>
      <c r="S44" s="415"/>
      <c r="T44" s="416"/>
      <c r="U44" s="416"/>
      <c r="V44" s="416"/>
      <c r="W44" s="415"/>
      <c r="X44" s="416"/>
      <c r="Y44" s="416"/>
      <c r="Z44" s="416"/>
      <c r="AA44" s="415"/>
      <c r="AB44" s="416"/>
      <c r="AC44" s="416"/>
      <c r="AD44" s="416"/>
      <c r="AE44" s="415"/>
      <c r="AF44" s="416"/>
      <c r="AG44" s="310"/>
      <c r="AH44" s="310"/>
      <c r="AI44" s="311"/>
      <c r="AJ44" s="310"/>
      <c r="AK44" s="310"/>
      <c r="AL44" s="310"/>
      <c r="AM44" s="311"/>
      <c r="AN44" s="416"/>
      <c r="AO44" s="416"/>
      <c r="AP44" s="416"/>
      <c r="AQ44" s="113"/>
      <c r="AR44" s="698"/>
      <c r="AS44" s="416"/>
      <c r="AT44" s="416"/>
      <c r="AU44" s="415"/>
      <c r="AV44" s="702" t="s">
        <v>224</v>
      </c>
      <c r="AW44" s="310">
        <f t="shared" ref="AW44:BL44" si="112">AW43/AV43-1</f>
        <v>-4.7901821060965855E-2</v>
      </c>
      <c r="AX44" s="310">
        <f t="shared" si="112"/>
        <v>0.22037422037422028</v>
      </c>
      <c r="AY44" s="311">
        <f t="shared" si="112"/>
        <v>0.44596561870837848</v>
      </c>
      <c r="AZ44" s="309">
        <f t="shared" si="112"/>
        <v>0.38037401195295928</v>
      </c>
      <c r="BA44" s="310">
        <f t="shared" si="112"/>
        <v>-7.3590420028967429E-2</v>
      </c>
      <c r="BB44" s="310">
        <f t="shared" si="112"/>
        <v>0.19853596026656462</v>
      </c>
      <c r="BC44" s="311">
        <f t="shared" si="112"/>
        <v>0.21051013277428354</v>
      </c>
      <c r="BD44" s="727">
        <f t="shared" si="112"/>
        <v>0.14139688110962312</v>
      </c>
      <c r="BE44" s="310">
        <f t="shared" si="112"/>
        <v>-0.24208634548985752</v>
      </c>
      <c r="BF44" s="310">
        <f t="shared" si="112"/>
        <v>-8.0352257105868241E-2</v>
      </c>
      <c r="BG44" s="310">
        <f t="shared" si="112"/>
        <v>0.23258553339702726</v>
      </c>
      <c r="BH44" s="727">
        <f t="shared" si="112"/>
        <v>8.5474907475362683E-2</v>
      </c>
      <c r="BI44" s="310">
        <f t="shared" si="112"/>
        <v>-6.8467680192496827E-2</v>
      </c>
      <c r="BJ44" s="310">
        <f t="shared" si="112"/>
        <v>0.1013539280214486</v>
      </c>
      <c r="BK44" s="311">
        <f t="shared" si="112"/>
        <v>0.11037807663029686</v>
      </c>
      <c r="BL44" s="309">
        <f t="shared" si="112"/>
        <v>0.12677816499085948</v>
      </c>
      <c r="BM44" s="933">
        <v>-0.215</v>
      </c>
      <c r="BN44" s="965">
        <v>-8.5000000000000006E-2</v>
      </c>
      <c r="BO44" s="922">
        <v>0.3</v>
      </c>
      <c r="BP44" s="608">
        <v>8.5000000000000006E-2</v>
      </c>
      <c r="BQ44" s="312">
        <v>-0.15</v>
      </c>
      <c r="BR44" s="887">
        <v>-0.02</v>
      </c>
      <c r="BS44" s="888">
        <v>0.1</v>
      </c>
      <c r="BT44" s="608">
        <v>0.09</v>
      </c>
      <c r="BU44" s="887">
        <v>-0.1</v>
      </c>
      <c r="BV44" s="887">
        <v>0</v>
      </c>
      <c r="BW44" s="888">
        <v>0.11</v>
      </c>
      <c r="BX44" s="15"/>
      <c r="BY44" s="414"/>
      <c r="BZ44" s="414"/>
      <c r="CA44" s="414"/>
      <c r="CB44" s="414"/>
      <c r="CC44" s="414"/>
      <c r="CD44" s="414"/>
      <c r="CE44" s="414"/>
      <c r="CF44" s="414"/>
      <c r="CG44" s="414"/>
      <c r="CH44" s="414"/>
      <c r="CI44" s="311"/>
      <c r="CJ44" s="687"/>
      <c r="CK44" s="687"/>
      <c r="CL44" s="687"/>
      <c r="CM44" s="687"/>
      <c r="CN44" s="687"/>
      <c r="CO44" s="687"/>
      <c r="CP44" s="687"/>
      <c r="CQ44" s="104"/>
      <c r="CR44" s="509"/>
      <c r="CV44" s="414"/>
      <c r="CW44" s="414"/>
      <c r="CX44" s="414"/>
      <c r="CY44" s="414"/>
      <c r="CZ44" s="687"/>
      <c r="DA44" s="687"/>
      <c r="DB44" s="687"/>
      <c r="DC44" s="687"/>
      <c r="DD44" s="687"/>
      <c r="DE44" s="687"/>
      <c r="DF44" s="686"/>
    </row>
    <row r="45" spans="2:114" ht="14.25">
      <c r="B45" s="473" t="s">
        <v>276</v>
      </c>
      <c r="C45" s="105"/>
      <c r="D45" s="416"/>
      <c r="E45" s="416"/>
      <c r="F45" s="416"/>
      <c r="G45" s="415"/>
      <c r="H45" s="416"/>
      <c r="I45" s="416"/>
      <c r="J45" s="416"/>
      <c r="K45" s="415"/>
      <c r="L45" s="416"/>
      <c r="M45" s="416"/>
      <c r="N45" s="416"/>
      <c r="O45" s="415"/>
      <c r="P45" s="416"/>
      <c r="Q45" s="416"/>
      <c r="R45" s="416"/>
      <c r="S45" s="415"/>
      <c r="T45" s="416"/>
      <c r="U45" s="416"/>
      <c r="V45" s="416"/>
      <c r="W45" s="415"/>
      <c r="X45" s="416"/>
      <c r="Y45" s="416"/>
      <c r="Z45" s="416"/>
      <c r="AA45" s="415"/>
      <c r="AB45" s="416"/>
      <c r="AC45" s="416"/>
      <c r="AD45" s="416"/>
      <c r="AE45" s="415"/>
      <c r="AF45" s="416"/>
      <c r="AG45" s="310"/>
      <c r="AH45" s="310"/>
      <c r="AI45" s="311"/>
      <c r="AJ45" s="310"/>
      <c r="AK45" s="310"/>
      <c r="AL45" s="310"/>
      <c r="AM45" s="311"/>
      <c r="AN45" s="416"/>
      <c r="AO45" s="416"/>
      <c r="AP45" s="416"/>
      <c r="AQ45" s="113"/>
      <c r="AR45" s="698"/>
      <c r="AS45" s="416"/>
      <c r="AT45" s="416"/>
      <c r="AU45" s="415"/>
      <c r="AV45" s="702" t="s">
        <v>224</v>
      </c>
      <c r="AW45" s="416"/>
      <c r="AX45" s="416"/>
      <c r="AY45" s="415"/>
      <c r="AZ45" s="726">
        <f t="shared" ref="AZ45:BL45" si="113">AZ43/AV43-1</f>
        <v>1.3191535305549555</v>
      </c>
      <c r="BA45" s="687">
        <f t="shared" si="113"/>
        <v>1.2565803565803564</v>
      </c>
      <c r="BB45" s="687">
        <f t="shared" si="113"/>
        <v>1.2161994734396777</v>
      </c>
      <c r="BC45" s="686">
        <f t="shared" si="113"/>
        <v>0.85532206584838133</v>
      </c>
      <c r="BD45" s="726">
        <f t="shared" si="113"/>
        <v>0.53411959445478985</v>
      </c>
      <c r="BE45" s="687">
        <f t="shared" si="113"/>
        <v>0.25509301007574248</v>
      </c>
      <c r="BF45" s="687">
        <f t="shared" si="113"/>
        <v>-3.6955508968087525E-2</v>
      </c>
      <c r="BG45" s="687">
        <f t="shared" si="113"/>
        <v>-1.9393001739558602E-2</v>
      </c>
      <c r="BH45" s="726">
        <f t="shared" si="113"/>
        <v>-6.7437183049201543E-2</v>
      </c>
      <c r="BI45" s="687">
        <f t="shared" si="113"/>
        <v>0.14618914578319142</v>
      </c>
      <c r="BJ45" s="687">
        <f t="shared" si="113"/>
        <v>0.3726559193101695</v>
      </c>
      <c r="BK45" s="686">
        <f t="shared" si="113"/>
        <v>0.23656087002594228</v>
      </c>
      <c r="BL45" s="703">
        <f t="shared" si="113"/>
        <v>0.28361307887622145</v>
      </c>
      <c r="BM45" s="310">
        <f t="shared" ref="BM45:BS45" si="114">BM43/BI43-1</f>
        <v>8.1697591690707227E-2</v>
      </c>
      <c r="BN45" s="310">
        <f t="shared" si="114"/>
        <v>-0.10133039778133701</v>
      </c>
      <c r="BO45" s="311">
        <f t="shared" si="114"/>
        <v>5.2137562396452619E-2</v>
      </c>
      <c r="BP45" s="310">
        <f t="shared" si="114"/>
        <v>1.3126887500000128E-2</v>
      </c>
      <c r="BQ45" s="310">
        <f t="shared" si="114"/>
        <v>9.7016375000000155E-2</v>
      </c>
      <c r="BR45" s="310">
        <f t="shared" si="114"/>
        <v>0.17494650000000012</v>
      </c>
      <c r="BS45" s="311">
        <f t="shared" si="114"/>
        <v>-5.8144999999998337E-3</v>
      </c>
      <c r="BT45" s="310">
        <f t="shared" ref="BT45" si="115">BT43/BP43-1</f>
        <v>-1.2329999999997066E-3</v>
      </c>
      <c r="BU45" s="310">
        <f t="shared" ref="BU45" si="116">BU43/BQ43-1</f>
        <v>5.751800000000018E-2</v>
      </c>
      <c r="BV45" s="310">
        <f t="shared" ref="BV45" si="117">BV43/BR43-1</f>
        <v>7.910000000000017E-2</v>
      </c>
      <c r="BW45" s="311">
        <f t="shared" ref="BW45" si="118">BW43/BS43-1</f>
        <v>8.8910000000000267E-2</v>
      </c>
      <c r="BX45" s="15"/>
      <c r="BY45" s="414"/>
      <c r="BZ45" s="414"/>
      <c r="CA45" s="414"/>
      <c r="CB45" s="414"/>
      <c r="CC45" s="414"/>
      <c r="CD45" s="414"/>
      <c r="CE45" s="414"/>
      <c r="CF45" s="414"/>
      <c r="CG45" s="414"/>
      <c r="CH45" s="414"/>
      <c r="CI45" s="311"/>
      <c r="CJ45" s="687"/>
      <c r="CK45" s="687">
        <f t="shared" ref="CK45:CP45" si="119">CK43/CJ43-1</f>
        <v>1.1192249272446553</v>
      </c>
      <c r="CL45" s="687">
        <f t="shared" si="119"/>
        <v>0.16055033684634368</v>
      </c>
      <c r="CM45" s="687">
        <f t="shared" si="119"/>
        <v>0.15278681452624143</v>
      </c>
      <c r="CN45" s="687">
        <f t="shared" si="119"/>
        <v>7.6928851767790407E-2</v>
      </c>
      <c r="CO45" s="687">
        <f t="shared" si="119"/>
        <v>6.0958139377137233E-2</v>
      </c>
      <c r="CP45" s="687">
        <f t="shared" si="119"/>
        <v>5.418160003334016E-2</v>
      </c>
      <c r="CQ45" s="104"/>
      <c r="CR45" s="509"/>
      <c r="CV45" s="414"/>
      <c r="CW45" s="414"/>
      <c r="CX45" s="414"/>
      <c r="CY45" s="414"/>
      <c r="CZ45" s="687"/>
      <c r="DA45" s="738" t="s">
        <v>449</v>
      </c>
      <c r="DB45" s="687">
        <f>DB43/DA43-1</f>
        <v>0.86455261004456552</v>
      </c>
      <c r="DC45" s="687">
        <f>DC43/DB43-1</f>
        <v>1.3380704526785303E-2</v>
      </c>
      <c r="DD45" s="687">
        <f>DD43/DC43-1</f>
        <v>0.25819730975934707</v>
      </c>
      <c r="DE45" s="687">
        <f>DE43/DD43-1</f>
        <v>1.1046945204229219E-2</v>
      </c>
      <c r="DF45" s="686">
        <f>DF43/DE43-1</f>
        <v>5.6559425611887981E-2</v>
      </c>
    </row>
    <row r="46" spans="2:114" ht="14.25">
      <c r="B46" s="472" t="s">
        <v>237</v>
      </c>
      <c r="C46" s="105"/>
      <c r="D46" s="416"/>
      <c r="E46" s="416"/>
      <c r="F46" s="416"/>
      <c r="G46" s="415"/>
      <c r="H46" s="416"/>
      <c r="I46" s="416"/>
      <c r="J46" s="416"/>
      <c r="K46" s="415"/>
      <c r="L46" s="416"/>
      <c r="M46" s="416"/>
      <c r="N46" s="416"/>
      <c r="O46" s="415"/>
      <c r="P46" s="416"/>
      <c r="Q46" s="416"/>
      <c r="R46" s="416"/>
      <c r="S46" s="415"/>
      <c r="T46" s="416"/>
      <c r="U46" s="416"/>
      <c r="V46" s="416"/>
      <c r="W46" s="415"/>
      <c r="X46" s="416"/>
      <c r="Y46" s="416"/>
      <c r="Z46" s="416"/>
      <c r="AA46" s="415"/>
      <c r="AB46" s="416"/>
      <c r="AC46" s="416"/>
      <c r="AD46" s="416"/>
      <c r="AE46" s="415"/>
      <c r="AF46" s="416"/>
      <c r="AG46" s="310"/>
      <c r="AH46" s="310"/>
      <c r="AI46" s="311"/>
      <c r="AJ46" s="310"/>
      <c r="AK46" s="310"/>
      <c r="AL46" s="310"/>
      <c r="AM46" s="311"/>
      <c r="AN46" s="416"/>
      <c r="AO46" s="416"/>
      <c r="AP46" s="416"/>
      <c r="AQ46" s="113"/>
      <c r="AR46" s="698"/>
      <c r="AS46" s="416"/>
      <c r="AT46" s="416"/>
      <c r="AU46" s="415"/>
      <c r="AV46" s="698">
        <v>0.33</v>
      </c>
      <c r="AW46" s="416">
        <v>0.33</v>
      </c>
      <c r="AX46" s="416">
        <v>0.33</v>
      </c>
      <c r="AY46" s="415">
        <v>0.39</v>
      </c>
      <c r="AZ46" s="698">
        <v>0.48</v>
      </c>
      <c r="BA46" s="416">
        <v>0.47</v>
      </c>
      <c r="BB46" s="416">
        <v>0.53</v>
      </c>
      <c r="BC46" s="415">
        <v>0.59</v>
      </c>
      <c r="BD46" s="698">
        <v>0.64</v>
      </c>
      <c r="BE46" s="416">
        <v>0.57999999999999996</v>
      </c>
      <c r="BF46" s="416">
        <v>0.55000000000000004</v>
      </c>
      <c r="BG46" s="416">
        <v>0.61</v>
      </c>
      <c r="BH46" s="698">
        <v>0.60499999999999998</v>
      </c>
      <c r="BI46" s="416">
        <v>0.60499999999999998</v>
      </c>
      <c r="BJ46" s="416">
        <v>0.63</v>
      </c>
      <c r="BK46" s="415">
        <v>0.64</v>
      </c>
      <c r="BL46" s="698">
        <v>0.67500000000000004</v>
      </c>
      <c r="BM46" s="310">
        <f t="shared" ref="BM46:BS46" si="120">BM43/BM$63</f>
        <v>0.61744399452326171</v>
      </c>
      <c r="BN46" s="310">
        <f t="shared" si="120"/>
        <v>0.58747544224408099</v>
      </c>
      <c r="BO46" s="311">
        <f t="shared" si="120"/>
        <v>0.64267097584041755</v>
      </c>
      <c r="BP46" s="310">
        <f t="shared" si="120"/>
        <v>0.66971890480981289</v>
      </c>
      <c r="BQ46" s="310">
        <f t="shared" si="120"/>
        <v>0.62519236143724499</v>
      </c>
      <c r="BR46" s="310">
        <f t="shared" si="120"/>
        <v>0.6125067397918369</v>
      </c>
      <c r="BS46" s="311">
        <f t="shared" si="120"/>
        <v>0.62637967380956383</v>
      </c>
      <c r="BT46" s="310">
        <f t="shared" ref="BT46:BW46" si="121">BT43/BT$63</f>
        <v>0.65511173762074471</v>
      </c>
      <c r="BU46" s="310">
        <f t="shared" si="121"/>
        <v>0.62346723128802461</v>
      </c>
      <c r="BV46" s="310">
        <f t="shared" si="121"/>
        <v>0.61545815562246187</v>
      </c>
      <c r="BW46" s="311">
        <f t="shared" si="121"/>
        <v>0.63175814969766886</v>
      </c>
      <c r="BX46" s="15"/>
      <c r="BY46" s="414"/>
      <c r="BZ46" s="414"/>
      <c r="CA46" s="414"/>
      <c r="CB46" s="414"/>
      <c r="CC46" s="414"/>
      <c r="CD46" s="414"/>
      <c r="CE46" s="414"/>
      <c r="CF46" s="414"/>
      <c r="CG46" s="414"/>
      <c r="CH46" s="414"/>
      <c r="CI46" s="311"/>
      <c r="CJ46" s="687">
        <f t="shared" ref="CJ46:CN46" si="122">CJ43/CJ$63</f>
        <v>0.3488059701492538</v>
      </c>
      <c r="CK46" s="687">
        <f t="shared" si="122"/>
        <v>0.51982537441689169</v>
      </c>
      <c r="CL46" s="687">
        <f t="shared" si="122"/>
        <v>0.59767072058376403</v>
      </c>
      <c r="CM46" s="687">
        <f t="shared" si="122"/>
        <v>0.62060524730240452</v>
      </c>
      <c r="CN46" s="687">
        <f t="shared" si="122"/>
        <v>0.63315392936273696</v>
      </c>
      <c r="CO46" s="687">
        <f>CO43/CO$63</f>
        <v>0.63417294422895687</v>
      </c>
      <c r="CP46" s="687">
        <f>CP43/CP$63</f>
        <v>0.63173222268024132</v>
      </c>
      <c r="CQ46" s="104"/>
      <c r="CR46" s="509"/>
      <c r="CV46" s="414"/>
      <c r="CW46" s="414"/>
      <c r="CX46" s="414"/>
      <c r="CY46" s="414"/>
      <c r="CZ46" s="687">
        <f t="shared" ref="CZ46:DE46" si="123">CZ43/CZ$63</f>
        <v>9.0434499593165185E-2</v>
      </c>
      <c r="DA46" s="687">
        <f t="shared" si="123"/>
        <v>0.39324690357680281</v>
      </c>
      <c r="DB46" s="687">
        <f t="shared" si="123"/>
        <v>0.56227209515637477</v>
      </c>
      <c r="DC46" s="687">
        <f t="shared" si="123"/>
        <v>0.58774256065924002</v>
      </c>
      <c r="DD46" s="687">
        <f t="shared" si="123"/>
        <v>0.63947189231987345</v>
      </c>
      <c r="DE46" s="687">
        <f t="shared" si="123"/>
        <v>0.63193042439604075</v>
      </c>
      <c r="DF46" s="686">
        <f t="shared" ref="DF46" si="124">DF43/DF$63</f>
        <v>0.63046640721545255</v>
      </c>
    </row>
    <row r="47" spans="2:114" ht="14.25">
      <c r="B47" s="472"/>
      <c r="C47" s="105"/>
      <c r="D47" s="416"/>
      <c r="E47" s="416"/>
      <c r="F47" s="416"/>
      <c r="G47" s="415"/>
      <c r="H47" s="416"/>
      <c r="I47" s="416"/>
      <c r="J47" s="416"/>
      <c r="K47" s="415"/>
      <c r="L47" s="416"/>
      <c r="M47" s="416"/>
      <c r="N47" s="416"/>
      <c r="O47" s="415"/>
      <c r="P47" s="416"/>
      <c r="Q47" s="416"/>
      <c r="R47" s="416"/>
      <c r="S47" s="415"/>
      <c r="T47" s="416"/>
      <c r="U47" s="416"/>
      <c r="V47" s="416"/>
      <c r="W47" s="415"/>
      <c r="X47" s="416"/>
      <c r="Y47" s="416"/>
      <c r="Z47" s="416"/>
      <c r="AA47" s="415"/>
      <c r="AB47" s="416"/>
      <c r="AC47" s="416"/>
      <c r="AD47" s="416"/>
      <c r="AE47" s="415"/>
      <c r="AF47" s="416"/>
      <c r="AG47" s="310"/>
      <c r="AH47" s="310"/>
      <c r="AI47" s="311"/>
      <c r="AJ47" s="310"/>
      <c r="AK47" s="310"/>
      <c r="AL47" s="310"/>
      <c r="AM47" s="311"/>
      <c r="AN47" s="416"/>
      <c r="AO47" s="416"/>
      <c r="AP47" s="416"/>
      <c r="AQ47" s="113"/>
      <c r="AR47" s="698"/>
      <c r="AS47" s="416"/>
      <c r="AT47" s="416"/>
      <c r="AU47" s="415"/>
      <c r="AV47" s="698"/>
      <c r="AW47" s="416"/>
      <c r="AX47" s="416"/>
      <c r="AY47" s="415"/>
      <c r="AZ47" s="698"/>
      <c r="BA47" s="416"/>
      <c r="BB47" s="416"/>
      <c r="BC47" s="415"/>
      <c r="BD47" s="698"/>
      <c r="BE47" s="416"/>
      <c r="BF47" s="416"/>
      <c r="BG47" s="416"/>
      <c r="BH47" s="698"/>
      <c r="BI47" s="416"/>
      <c r="BJ47" s="416"/>
      <c r="BK47" s="415"/>
      <c r="BL47" s="698"/>
      <c r="BM47" s="310"/>
      <c r="BN47" s="310"/>
      <c r="BO47" s="311"/>
      <c r="BP47" s="310"/>
      <c r="BQ47" s="310"/>
      <c r="BR47" s="310"/>
      <c r="BS47" s="311"/>
      <c r="BT47" s="310"/>
      <c r="BU47" s="310"/>
      <c r="BV47" s="310"/>
      <c r="BW47" s="311"/>
      <c r="BX47" s="15"/>
      <c r="BY47" s="414"/>
      <c r="BZ47" s="414"/>
      <c r="CA47" s="414"/>
      <c r="CB47" s="414"/>
      <c r="CC47" s="414"/>
      <c r="CD47" s="414"/>
      <c r="CE47" s="414"/>
      <c r="CF47" s="414"/>
      <c r="CG47" s="414"/>
      <c r="CH47" s="414"/>
      <c r="CI47" s="311"/>
      <c r="CJ47" s="687"/>
      <c r="CK47" s="687"/>
      <c r="CL47" s="687"/>
      <c r="CM47" s="687"/>
      <c r="CN47" s="687"/>
      <c r="CO47" s="687"/>
      <c r="CP47" s="687"/>
      <c r="CQ47" s="104"/>
      <c r="CR47" s="509"/>
      <c r="CV47" s="414"/>
      <c r="CW47" s="414"/>
      <c r="CX47" s="414"/>
      <c r="CY47" s="414"/>
      <c r="CZ47" s="687"/>
      <c r="DA47" s="687"/>
      <c r="DB47" s="687"/>
      <c r="DC47" s="687"/>
      <c r="DD47" s="687"/>
      <c r="DE47" s="687"/>
      <c r="DF47" s="686"/>
    </row>
    <row r="48" spans="2:114" ht="15">
      <c r="B48" s="330" t="s">
        <v>233</v>
      </c>
      <c r="C48" s="105"/>
      <c r="D48" s="416"/>
      <c r="E48" s="416"/>
      <c r="F48" s="416"/>
      <c r="G48" s="415"/>
      <c r="H48" s="416"/>
      <c r="I48" s="416"/>
      <c r="J48" s="416"/>
      <c r="K48" s="415"/>
      <c r="L48" s="416"/>
      <c r="M48" s="416"/>
      <c r="N48" s="416"/>
      <c r="O48" s="415"/>
      <c r="P48" s="416"/>
      <c r="Q48" s="416"/>
      <c r="R48" s="416"/>
      <c r="S48" s="415"/>
      <c r="T48" s="416"/>
      <c r="U48" s="416"/>
      <c r="V48" s="416"/>
      <c r="W48" s="415"/>
      <c r="X48" s="416"/>
      <c r="Y48" s="416"/>
      <c r="Z48" s="416"/>
      <c r="AA48" s="415"/>
      <c r="AB48" s="416"/>
      <c r="AC48" s="416"/>
      <c r="AD48" s="416"/>
      <c r="AE48" s="415"/>
      <c r="AF48" s="416"/>
      <c r="AG48" s="310"/>
      <c r="AH48" s="310"/>
      <c r="AI48" s="311"/>
      <c r="AJ48" s="310"/>
      <c r="AK48" s="310"/>
      <c r="AL48" s="310"/>
      <c r="AM48" s="311"/>
      <c r="AN48" s="416"/>
      <c r="AO48" s="416"/>
      <c r="AP48" s="416"/>
      <c r="AQ48" s="113"/>
      <c r="AR48" s="698"/>
      <c r="AS48" s="416"/>
      <c r="AT48" s="416"/>
      <c r="AU48" s="415"/>
      <c r="AV48" s="428">
        <f>AV46*AV84</f>
        <v>73.260000000000005</v>
      </c>
      <c r="AW48" s="429">
        <f>AW46*AW84</f>
        <v>70.091999999999999</v>
      </c>
      <c r="AX48" s="429">
        <f>AX46*AX84</f>
        <v>87.186000000000007</v>
      </c>
      <c r="AY48" s="430">
        <f>AY46*AY84</f>
        <v>126.36000000000003</v>
      </c>
      <c r="AZ48" s="428">
        <f t="shared" ref="AZ48:BE48" si="125">AZ46*AZ84</f>
        <v>179.04</v>
      </c>
      <c r="BA48" s="429">
        <f t="shared" si="125"/>
        <v>165.53400000000002</v>
      </c>
      <c r="BB48" s="429">
        <f t="shared" si="125"/>
        <v>208.34300000000002</v>
      </c>
      <c r="BC48" s="430">
        <f t="shared" si="125"/>
        <v>257.35799999999995</v>
      </c>
      <c r="BD48" s="428">
        <f t="shared" si="125"/>
        <v>302.14400000000001</v>
      </c>
      <c r="BE48" s="429">
        <f t="shared" si="125"/>
        <v>226.43200000000002</v>
      </c>
      <c r="BF48" s="429">
        <f t="shared" ref="BF48:BK48" si="126">BF46*BF84</f>
        <v>208.06500000000005</v>
      </c>
      <c r="BG48" s="429">
        <f t="shared" si="126"/>
        <v>258.88399999999996</v>
      </c>
      <c r="BH48" s="428">
        <f t="shared" si="126"/>
        <v>280.65949999999998</v>
      </c>
      <c r="BI48" s="429">
        <f t="shared" si="126"/>
        <v>257.36700000000002</v>
      </c>
      <c r="BJ48" s="429">
        <f t="shared" si="126"/>
        <v>285.76799999999997</v>
      </c>
      <c r="BK48" s="430">
        <f t="shared" si="126"/>
        <v>319.29600000000005</v>
      </c>
      <c r="BL48" s="428">
        <f t="shared" ref="BL48" si="127">BL46*BL84</f>
        <v>362.34000000000009</v>
      </c>
      <c r="BM48" s="429">
        <f t="shared" ref="BM48:BS48" si="128">BM51*BM43</f>
        <v>277.57300522500009</v>
      </c>
      <c r="BN48" s="429">
        <f t="shared" si="128"/>
        <v>252.95930259300005</v>
      </c>
      <c r="BO48" s="430">
        <f t="shared" si="128"/>
        <v>330.17308971513756</v>
      </c>
      <c r="BP48" s="429">
        <f t="shared" si="128"/>
        <v>359.67650837442199</v>
      </c>
      <c r="BQ48" s="429">
        <f t="shared" si="128"/>
        <v>302.05633173283957</v>
      </c>
      <c r="BR48" s="429">
        <f t="shared" si="128"/>
        <v>294.81676297227926</v>
      </c>
      <c r="BS48" s="430">
        <f t="shared" si="128"/>
        <v>325.6167256080011</v>
      </c>
      <c r="BT48" s="429">
        <f t="shared" ref="BT48:BW48" si="129">BT51*BT43</f>
        <v>356.35916302167965</v>
      </c>
      <c r="BU48" s="429">
        <f t="shared" si="129"/>
        <v>318.13676892338657</v>
      </c>
      <c r="BV48" s="429">
        <f t="shared" si="129"/>
        <v>316.84353002532407</v>
      </c>
      <c r="BW48" s="430">
        <f t="shared" si="129"/>
        <v>351.69631832810973</v>
      </c>
      <c r="BX48" s="15"/>
      <c r="BY48" s="728"/>
      <c r="BZ48" s="728"/>
      <c r="CA48" s="728"/>
      <c r="CB48" s="728"/>
      <c r="CC48" s="728"/>
      <c r="CD48" s="728"/>
      <c r="CE48" s="414"/>
      <c r="CF48" s="414"/>
      <c r="CG48" s="414"/>
      <c r="CH48" s="414"/>
      <c r="CI48" s="311"/>
      <c r="CJ48" s="731">
        <f>+SUM(AV48:AY48)</f>
        <v>356.89800000000002</v>
      </c>
      <c r="CK48" s="731">
        <f>+SUM(AZ48:BC48)</f>
        <v>810.27499999999998</v>
      </c>
      <c r="CL48" s="731">
        <f>+SUM(BD48:BG48)</f>
        <v>995.52500000000009</v>
      </c>
      <c r="CM48" s="731">
        <f>+SUM(BH48:BK48)</f>
        <v>1143.0905</v>
      </c>
      <c r="CN48" s="731">
        <f>+SUM(BL48:BO48)</f>
        <v>1223.0453975331379</v>
      </c>
      <c r="CO48" s="731">
        <f>+SUM(BP48:BS48)</f>
        <v>1282.1663286875421</v>
      </c>
      <c r="CP48" s="731">
        <f>+SUM(BT48:BW48)</f>
        <v>1343.0357802985</v>
      </c>
      <c r="CQ48" s="104"/>
      <c r="CR48" s="509"/>
      <c r="CV48" s="414"/>
      <c r="CW48" s="414"/>
      <c r="CX48" s="414"/>
      <c r="CY48" s="414"/>
      <c r="CZ48" s="731">
        <f>+SUM(AS48:AV48)</f>
        <v>73.260000000000005</v>
      </c>
      <c r="DA48" s="731">
        <f>+SUM(AW48:AZ48)</f>
        <v>462.678</v>
      </c>
      <c r="DB48" s="731">
        <f>+SUM(BA48:BD48)</f>
        <v>933.37900000000002</v>
      </c>
      <c r="DC48" s="731">
        <f>+SUM(BE48:BH48)</f>
        <v>974.04050000000007</v>
      </c>
      <c r="DD48" s="731">
        <f>+SUM(BI48:BL48)</f>
        <v>1224.7710000000002</v>
      </c>
      <c r="DE48" s="731">
        <f>+SUM(BM48:BP48)</f>
        <v>1220.3819059075597</v>
      </c>
      <c r="DF48" s="729">
        <f>+SUM(BQ48:BT48)</f>
        <v>1278.8489833347996</v>
      </c>
    </row>
    <row r="49" spans="2:110" ht="14.25">
      <c r="B49" s="472" t="s">
        <v>275</v>
      </c>
      <c r="C49" s="105"/>
      <c r="D49" s="416"/>
      <c r="E49" s="416"/>
      <c r="F49" s="416"/>
      <c r="G49" s="415"/>
      <c r="H49" s="416"/>
      <c r="I49" s="416"/>
      <c r="J49" s="416"/>
      <c r="K49" s="415"/>
      <c r="L49" s="416"/>
      <c r="M49" s="416"/>
      <c r="N49" s="416"/>
      <c r="O49" s="415"/>
      <c r="P49" s="416"/>
      <c r="Q49" s="416"/>
      <c r="R49" s="416"/>
      <c r="S49" s="415"/>
      <c r="T49" s="416"/>
      <c r="U49" s="416"/>
      <c r="V49" s="416"/>
      <c r="W49" s="415"/>
      <c r="X49" s="416"/>
      <c r="Y49" s="416"/>
      <c r="Z49" s="416"/>
      <c r="AA49" s="415"/>
      <c r="AB49" s="416"/>
      <c r="AC49" s="416"/>
      <c r="AD49" s="416"/>
      <c r="AE49" s="415"/>
      <c r="AF49" s="416"/>
      <c r="AG49" s="310"/>
      <c r="AH49" s="310"/>
      <c r="AI49" s="311"/>
      <c r="AJ49" s="310"/>
      <c r="AK49" s="310"/>
      <c r="AL49" s="310"/>
      <c r="AM49" s="311"/>
      <c r="AN49" s="416"/>
      <c r="AO49" s="416"/>
      <c r="AP49" s="416"/>
      <c r="AQ49" s="113"/>
      <c r="AR49" s="698"/>
      <c r="AS49" s="416"/>
      <c r="AT49" s="416"/>
      <c r="AU49" s="415"/>
      <c r="AV49" s="702" t="s">
        <v>224</v>
      </c>
      <c r="AW49" s="310">
        <f>AW48/AV48-1</f>
        <v>-4.3243243243243357E-2</v>
      </c>
      <c r="AX49" s="310">
        <f>AX48/AW48-1</f>
        <v>0.24387947269303223</v>
      </c>
      <c r="AY49" s="311">
        <f>AY48/AX48-1</f>
        <v>0.44931525703668029</v>
      </c>
      <c r="AZ49" s="727">
        <f t="shared" ref="AZ49:BL49" si="130">AZ48/AY48-1</f>
        <v>0.41690408357074982</v>
      </c>
      <c r="BA49" s="310">
        <f t="shared" si="130"/>
        <v>-7.5435656836460918E-2</v>
      </c>
      <c r="BB49" s="310">
        <f t="shared" si="130"/>
        <v>0.25861152391653675</v>
      </c>
      <c r="BC49" s="311">
        <f t="shared" si="130"/>
        <v>0.23526108388570743</v>
      </c>
      <c r="BD49" s="727">
        <f t="shared" si="130"/>
        <v>0.17402217922116292</v>
      </c>
      <c r="BE49" s="310">
        <f t="shared" si="130"/>
        <v>-0.25058250370684176</v>
      </c>
      <c r="BF49" s="310">
        <f t="shared" si="130"/>
        <v>-8.1114860090446439E-2</v>
      </c>
      <c r="BG49" s="310">
        <f t="shared" si="130"/>
        <v>0.24424578857568502</v>
      </c>
      <c r="BH49" s="727">
        <f t="shared" si="130"/>
        <v>8.4112961789836405E-2</v>
      </c>
      <c r="BI49" s="310">
        <f t="shared" si="130"/>
        <v>-8.2992024143134113E-2</v>
      </c>
      <c r="BJ49" s="310">
        <f t="shared" si="130"/>
        <v>0.11035214304864249</v>
      </c>
      <c r="BK49" s="311">
        <f t="shared" si="130"/>
        <v>0.11732594272276842</v>
      </c>
      <c r="BL49" s="309">
        <f t="shared" si="130"/>
        <v>0.13480907997594715</v>
      </c>
      <c r="BM49" s="310">
        <f t="shared" ref="BM49:BS49" si="131">BM48/BL48-1</f>
        <v>-0.23394324329359162</v>
      </c>
      <c r="BN49" s="310">
        <f t="shared" si="131"/>
        <v>-8.8674698795180862E-2</v>
      </c>
      <c r="BO49" s="311">
        <f t="shared" si="131"/>
        <v>0.30524193548387091</v>
      </c>
      <c r="BP49" s="310">
        <f t="shared" si="131"/>
        <v>8.9357429718875725E-2</v>
      </c>
      <c r="BQ49" s="310">
        <f t="shared" si="131"/>
        <v>-0.16020000000000001</v>
      </c>
      <c r="BR49" s="310">
        <f t="shared" si="131"/>
        <v>-2.3967611336032202E-2</v>
      </c>
      <c r="BS49" s="311">
        <f t="shared" si="131"/>
        <v>0.10447154471544717</v>
      </c>
      <c r="BT49" s="310">
        <f t="shared" ref="BT49" si="132">BT48/BS48-1</f>
        <v>9.4412955465587256E-2</v>
      </c>
      <c r="BU49" s="310">
        <f t="shared" ref="BU49" si="133">BU48/BT48-1</f>
        <v>-0.10725806451612907</v>
      </c>
      <c r="BV49" s="310">
        <f t="shared" ref="BV49" si="134">BV48/BU48-1</f>
        <v>-4.0650406504063596E-3</v>
      </c>
      <c r="BW49" s="311">
        <f t="shared" ref="BW49" si="135">BW48/BV48-1</f>
        <v>0.1100000000000001</v>
      </c>
      <c r="BX49" s="15"/>
      <c r="BY49" s="414"/>
      <c r="BZ49" s="414"/>
      <c r="CA49" s="414"/>
      <c r="CB49" s="414"/>
      <c r="CC49" s="414"/>
      <c r="CD49" s="414"/>
      <c r="CE49" s="414"/>
      <c r="CF49" s="414"/>
      <c r="CG49" s="414"/>
      <c r="CH49" s="414"/>
      <c r="CI49" s="311"/>
      <c r="CJ49" s="687"/>
      <c r="CK49" s="687"/>
      <c r="CL49" s="687"/>
      <c r="CM49" s="687"/>
      <c r="CN49" s="687"/>
      <c r="CO49" s="687"/>
      <c r="CP49" s="687"/>
      <c r="CQ49" s="104"/>
      <c r="CR49" s="509"/>
      <c r="CV49" s="414"/>
      <c r="CW49" s="414"/>
      <c r="CX49" s="414"/>
      <c r="CY49" s="414"/>
      <c r="CZ49" s="687"/>
      <c r="DA49" s="687"/>
      <c r="DB49" s="687"/>
      <c r="DC49" s="687"/>
      <c r="DD49" s="687"/>
      <c r="DE49" s="687"/>
      <c r="DF49" s="686"/>
    </row>
    <row r="50" spans="2:110" ht="14.25">
      <c r="B50" s="473" t="s">
        <v>276</v>
      </c>
      <c r="C50" s="105"/>
      <c r="D50" s="416"/>
      <c r="E50" s="416"/>
      <c r="F50" s="416"/>
      <c r="G50" s="415"/>
      <c r="H50" s="416"/>
      <c r="I50" s="416"/>
      <c r="J50" s="416"/>
      <c r="K50" s="415"/>
      <c r="L50" s="416"/>
      <c r="M50" s="416"/>
      <c r="N50" s="416"/>
      <c r="O50" s="415"/>
      <c r="P50" s="416"/>
      <c r="Q50" s="416"/>
      <c r="R50" s="416"/>
      <c r="S50" s="415"/>
      <c r="T50" s="416"/>
      <c r="U50" s="416"/>
      <c r="V50" s="416"/>
      <c r="W50" s="415"/>
      <c r="X50" s="416"/>
      <c r="Y50" s="416"/>
      <c r="Z50" s="416"/>
      <c r="AA50" s="415"/>
      <c r="AB50" s="416"/>
      <c r="AC50" s="416"/>
      <c r="AD50" s="416"/>
      <c r="AE50" s="415"/>
      <c r="AF50" s="416"/>
      <c r="AG50" s="310"/>
      <c r="AH50" s="310"/>
      <c r="AI50" s="311"/>
      <c r="AJ50" s="310"/>
      <c r="AK50" s="310"/>
      <c r="AL50" s="310"/>
      <c r="AM50" s="311"/>
      <c r="AN50" s="416"/>
      <c r="AO50" s="416"/>
      <c r="AP50" s="416"/>
      <c r="AQ50" s="113"/>
      <c r="AR50" s="698"/>
      <c r="AS50" s="416"/>
      <c r="AT50" s="416"/>
      <c r="AU50" s="415"/>
      <c r="AV50" s="702" t="s">
        <v>224</v>
      </c>
      <c r="AW50" s="416"/>
      <c r="AX50" s="416"/>
      <c r="AY50" s="415"/>
      <c r="AZ50" s="726">
        <f t="shared" ref="AZ50:BL50" si="136">AZ48/AV48-1</f>
        <v>1.4438984438984437</v>
      </c>
      <c r="BA50" s="687">
        <f t="shared" si="136"/>
        <v>1.3616675226844723</v>
      </c>
      <c r="BB50" s="687">
        <f t="shared" si="136"/>
        <v>1.3896382446723097</v>
      </c>
      <c r="BC50" s="686">
        <f t="shared" si="136"/>
        <v>1.0367046533713191</v>
      </c>
      <c r="BD50" s="726">
        <f t="shared" si="136"/>
        <v>0.68757819481680071</v>
      </c>
      <c r="BE50" s="687">
        <f t="shared" si="136"/>
        <v>0.36788816798965773</v>
      </c>
      <c r="BF50" s="687">
        <f t="shared" si="136"/>
        <v>-1.334338086712572E-3</v>
      </c>
      <c r="BG50" s="687">
        <f t="shared" si="136"/>
        <v>5.9294834432970234E-3</v>
      </c>
      <c r="BH50" s="726">
        <f t="shared" si="136"/>
        <v>-7.1106823236602446E-2</v>
      </c>
      <c r="BI50" s="687">
        <f t="shared" si="136"/>
        <v>0.13661938241944593</v>
      </c>
      <c r="BJ50" s="687">
        <f t="shared" si="136"/>
        <v>0.37345541056881215</v>
      </c>
      <c r="BK50" s="686">
        <f t="shared" si="136"/>
        <v>0.23335547967429471</v>
      </c>
      <c r="BL50" s="703">
        <f t="shared" si="136"/>
        <v>0.29103059044856883</v>
      </c>
      <c r="BM50" s="310">
        <f t="shared" ref="BM50:BS50" si="137">BM48/BI48-1</f>
        <v>7.8510474244950057E-2</v>
      </c>
      <c r="BN50" s="310">
        <f t="shared" si="137"/>
        <v>-0.11480885685941022</v>
      </c>
      <c r="BO50" s="311">
        <f t="shared" si="137"/>
        <v>3.4065850230311501E-2</v>
      </c>
      <c r="BP50" s="310">
        <f t="shared" si="137"/>
        <v>-7.3508075994317412E-3</v>
      </c>
      <c r="BQ50" s="310">
        <f t="shared" si="137"/>
        <v>8.8204998493975895E-2</v>
      </c>
      <c r="BR50" s="310">
        <f t="shared" si="137"/>
        <v>0.16547112500000027</v>
      </c>
      <c r="BS50" s="311">
        <f t="shared" si="137"/>
        <v>-1.3799925702811078E-2</v>
      </c>
      <c r="BT50" s="310">
        <f t="shared" ref="BT50" si="138">BT48/BP48-1</f>
        <v>-9.2231359999996876E-3</v>
      </c>
      <c r="BU50" s="310">
        <f t="shared" ref="BU50" si="139">BU48/BQ48-1</f>
        <v>5.3236550607287825E-2</v>
      </c>
      <c r="BV50" s="310">
        <f t="shared" ref="BV50" si="140">BV48/BR48-1</f>
        <v>7.4713414634146602E-2</v>
      </c>
      <c r="BW50" s="311">
        <f t="shared" ref="BW50" si="141">BW48/BS48-1</f>
        <v>8.0092914979757346E-2</v>
      </c>
      <c r="BX50" s="15"/>
      <c r="BY50" s="414"/>
      <c r="BZ50" s="414"/>
      <c r="CA50" s="414"/>
      <c r="CB50" s="414"/>
      <c r="CC50" s="414"/>
      <c r="CD50" s="414"/>
      <c r="CE50" s="414"/>
      <c r="CF50" s="414"/>
      <c r="CG50" s="414"/>
      <c r="CH50" s="414"/>
      <c r="CI50" s="311"/>
      <c r="CJ50" s="687"/>
      <c r="CK50" s="687">
        <f t="shared" ref="CK50:CP50" si="142">CK48/CJ48-1</f>
        <v>1.2703265358729943</v>
      </c>
      <c r="CL50" s="687">
        <f t="shared" si="142"/>
        <v>0.22862608373700311</v>
      </c>
      <c r="CM50" s="687">
        <f t="shared" si="142"/>
        <v>0.14822882398734327</v>
      </c>
      <c r="CN50" s="687">
        <f t="shared" si="142"/>
        <v>6.9946253190922292E-2</v>
      </c>
      <c r="CO50" s="687">
        <f t="shared" si="142"/>
        <v>4.8339114209210887E-2</v>
      </c>
      <c r="CP50" s="687">
        <f t="shared" si="142"/>
        <v>4.7473912119705641E-2</v>
      </c>
      <c r="CQ50" s="104"/>
      <c r="CR50" s="509"/>
      <c r="CV50" s="414"/>
      <c r="CW50" s="414"/>
      <c r="CX50" s="414"/>
      <c r="CY50" s="414"/>
      <c r="CZ50" s="687"/>
      <c r="DA50" s="687">
        <f t="shared" ref="DA50:DF50" si="143">DA48/CZ48-1</f>
        <v>5.3155610155610153</v>
      </c>
      <c r="DB50" s="687">
        <f t="shared" si="143"/>
        <v>1.0173403533342844</v>
      </c>
      <c r="DC50" s="687">
        <f t="shared" si="143"/>
        <v>4.3563761344534324E-2</v>
      </c>
      <c r="DD50" s="687">
        <f t="shared" si="143"/>
        <v>0.25741280778365994</v>
      </c>
      <c r="DE50" s="687">
        <f t="shared" si="143"/>
        <v>-3.5836038675315374E-3</v>
      </c>
      <c r="DF50" s="686">
        <f t="shared" si="143"/>
        <v>4.7908836688101974E-2</v>
      </c>
    </row>
    <row r="51" spans="2:110" ht="14.25">
      <c r="B51" s="694" t="s">
        <v>393</v>
      </c>
      <c r="C51" s="23"/>
      <c r="D51" s="638"/>
      <c r="E51" s="638"/>
      <c r="F51" s="638"/>
      <c r="G51" s="639"/>
      <c r="H51" s="638"/>
      <c r="I51" s="638"/>
      <c r="J51" s="638"/>
      <c r="K51" s="639"/>
      <c r="L51" s="638"/>
      <c r="M51" s="638"/>
      <c r="N51" s="638"/>
      <c r="O51" s="639"/>
      <c r="P51" s="638"/>
      <c r="Q51" s="638"/>
      <c r="R51" s="638"/>
      <c r="S51" s="639"/>
      <c r="T51" s="638"/>
      <c r="U51" s="638"/>
      <c r="V51" s="638"/>
      <c r="W51" s="639"/>
      <c r="X51" s="638"/>
      <c r="Y51" s="638"/>
      <c r="Z51" s="638"/>
      <c r="AA51" s="639"/>
      <c r="AB51" s="638"/>
      <c r="AC51" s="638"/>
      <c r="AD51" s="638"/>
      <c r="AE51" s="639"/>
      <c r="AF51" s="638"/>
      <c r="AG51" s="334"/>
      <c r="AH51" s="334"/>
      <c r="AI51" s="381"/>
      <c r="AJ51" s="334"/>
      <c r="AK51" s="334"/>
      <c r="AL51" s="334"/>
      <c r="AM51" s="381"/>
      <c r="AN51" s="638"/>
      <c r="AO51" s="638"/>
      <c r="AP51" s="638"/>
      <c r="AQ51" s="693"/>
      <c r="AR51" s="640"/>
      <c r="AS51" s="638"/>
      <c r="AT51" s="638"/>
      <c r="AU51" s="639"/>
      <c r="AV51" s="704">
        <f>AV48/AV43</f>
        <v>0.43942992874109266</v>
      </c>
      <c r="AW51" s="695">
        <f>AW48/AW43</f>
        <v>0.44158004158004155</v>
      </c>
      <c r="AX51" s="695">
        <f>AX48/AX43</f>
        <v>0.45008517887563887</v>
      </c>
      <c r="AY51" s="705">
        <f>AY48/AY43</f>
        <v>0.45112781954887227</v>
      </c>
      <c r="AZ51" s="704">
        <f t="shared" ref="AZ51:BE51" si="144">AZ48/AZ43</f>
        <v>0.46306641837368095</v>
      </c>
      <c r="BA51" s="695">
        <f t="shared" si="144"/>
        <v>0.46214407558063253</v>
      </c>
      <c r="BB51" s="695">
        <f t="shared" si="144"/>
        <v>0.48530864197530865</v>
      </c>
      <c r="BC51" s="705">
        <f t="shared" si="144"/>
        <v>0.49523160762942775</v>
      </c>
      <c r="BD51" s="704">
        <f t="shared" si="144"/>
        <v>0.5093871385412172</v>
      </c>
      <c r="BE51" s="695">
        <f t="shared" si="144"/>
        <v>0.50367694491033421</v>
      </c>
      <c r="BF51" s="695">
        <f t="shared" ref="BF51:BK51" si="145">BF48/BF43</f>
        <v>0.50325927896767331</v>
      </c>
      <c r="BG51" s="695">
        <f t="shared" si="145"/>
        <v>0.50802011012688519</v>
      </c>
      <c r="BH51" s="704">
        <f t="shared" si="145"/>
        <v>0.50738269714535711</v>
      </c>
      <c r="BI51" s="695">
        <f t="shared" si="145"/>
        <v>0.49947164494540336</v>
      </c>
      <c r="BJ51" s="695">
        <f t="shared" si="145"/>
        <v>0.50355239786856121</v>
      </c>
      <c r="BK51" s="705">
        <f t="shared" si="145"/>
        <v>0.50670322973796478</v>
      </c>
      <c r="BL51" s="704">
        <f t="shared" ref="BL51" si="146">BL48/BL43</f>
        <v>0.51031466869474285</v>
      </c>
      <c r="BM51" s="958">
        <v>0.498</v>
      </c>
      <c r="BN51" s="335">
        <f>BM51-0.2%</f>
        <v>0.496</v>
      </c>
      <c r="BO51" s="336">
        <f>BN51+0.2%</f>
        <v>0.498</v>
      </c>
      <c r="BP51" s="627">
        <f>BO51+0.2%</f>
        <v>0.5</v>
      </c>
      <c r="BQ51" s="335">
        <f>BP51-0.6%</f>
        <v>0.49399999999999999</v>
      </c>
      <c r="BR51" s="335">
        <f>BQ51-0.2%</f>
        <v>0.49199999999999999</v>
      </c>
      <c r="BS51" s="336">
        <f>BR51+0.2%</f>
        <v>0.49399999999999999</v>
      </c>
      <c r="BT51" s="627">
        <f>BS51+0.2%</f>
        <v>0.496</v>
      </c>
      <c r="BU51" s="335">
        <f>BT51-0.4%</f>
        <v>0.49199999999999999</v>
      </c>
      <c r="BV51" s="335">
        <f>BU51-0.2%</f>
        <v>0.49</v>
      </c>
      <c r="BW51" s="336">
        <f>BV51</f>
        <v>0.49</v>
      </c>
      <c r="BX51" s="15"/>
      <c r="BY51" s="334"/>
      <c r="BZ51" s="334"/>
      <c r="CA51" s="334"/>
      <c r="CB51" s="334"/>
      <c r="CC51" s="334"/>
      <c r="CD51" s="334"/>
      <c r="CE51" s="334"/>
      <c r="CF51" s="334"/>
      <c r="CG51" s="334"/>
      <c r="CH51" s="334"/>
      <c r="CI51" s="381"/>
      <c r="CJ51" s="695">
        <f t="shared" ref="CJ51:CO51" si="147">+CJ48/CJ43</f>
        <v>0.44653889752193915</v>
      </c>
      <c r="CK51" s="695">
        <f t="shared" si="147"/>
        <v>0.47837730450897659</v>
      </c>
      <c r="CL51" s="695">
        <f t="shared" si="147"/>
        <v>0.50643803678921773</v>
      </c>
      <c r="CM51" s="695">
        <f t="shared" si="147"/>
        <v>0.50443563725520491</v>
      </c>
      <c r="CN51" s="695">
        <f t="shared" si="147"/>
        <v>0.50116497405676064</v>
      </c>
      <c r="CO51" s="695">
        <f t="shared" si="147"/>
        <v>0.49520412302392136</v>
      </c>
      <c r="CP51" s="695">
        <f t="shared" ref="CP51" si="148">+CP48/CP43</f>
        <v>0.49205317188733871</v>
      </c>
      <c r="CQ51" s="104"/>
      <c r="CR51" s="9"/>
      <c r="CS51" s="23"/>
      <c r="CT51" s="23"/>
      <c r="CU51" s="23"/>
      <c r="CV51" s="334"/>
      <c r="CW51" s="334"/>
      <c r="CX51" s="334"/>
      <c r="CY51" s="334"/>
      <c r="CZ51" s="695">
        <f t="shared" ref="CZ51:DE51" si="149">+CZ48/CZ43</f>
        <v>0.43942992874109266</v>
      </c>
      <c r="DA51" s="695">
        <f t="shared" si="149"/>
        <v>0.45397173015901049</v>
      </c>
      <c r="DB51" s="695">
        <f t="shared" si="149"/>
        <v>0.49117170820986666</v>
      </c>
      <c r="DC51" s="695">
        <f t="shared" si="149"/>
        <v>0.50580102127054116</v>
      </c>
      <c r="DD51" s="695">
        <f t="shared" si="149"/>
        <v>0.50548564792057982</v>
      </c>
      <c r="DE51" s="695">
        <f t="shared" si="149"/>
        <v>0.49817092073402075</v>
      </c>
      <c r="DF51" s="705">
        <f t="shared" ref="DF51" si="150">+DF48/DF43</f>
        <v>0.49409214225304865</v>
      </c>
    </row>
    <row r="52" spans="2:110" ht="15">
      <c r="B52" s="707" t="s">
        <v>381</v>
      </c>
      <c r="C52" s="688"/>
      <c r="D52" s="689"/>
      <c r="E52" s="689"/>
      <c r="F52" s="689"/>
      <c r="G52" s="701"/>
      <c r="H52" s="689"/>
      <c r="I52" s="689"/>
      <c r="J52" s="689"/>
      <c r="K52" s="701"/>
      <c r="L52" s="689"/>
      <c r="M52" s="689"/>
      <c r="N52" s="689"/>
      <c r="O52" s="701"/>
      <c r="P52" s="689"/>
      <c r="Q52" s="689"/>
      <c r="R52" s="689"/>
      <c r="S52" s="701"/>
      <c r="T52" s="689"/>
      <c r="U52" s="689"/>
      <c r="V52" s="689"/>
      <c r="W52" s="701"/>
      <c r="X52" s="689"/>
      <c r="Y52" s="689"/>
      <c r="Z52" s="689"/>
      <c r="AA52" s="701"/>
      <c r="AB52" s="689"/>
      <c r="AC52" s="689"/>
      <c r="AD52" s="689"/>
      <c r="AE52" s="701"/>
      <c r="AF52" s="689"/>
      <c r="AG52" s="690"/>
      <c r="AH52" s="690"/>
      <c r="AI52" s="692"/>
      <c r="AJ52" s="690"/>
      <c r="AK52" s="690"/>
      <c r="AL52" s="690"/>
      <c r="AM52" s="692"/>
      <c r="AN52" s="689"/>
      <c r="AO52" s="689"/>
      <c r="AP52" s="689"/>
      <c r="AQ52" s="691"/>
      <c r="AR52" s="700"/>
      <c r="AS52" s="689"/>
      <c r="AT52" s="689"/>
      <c r="AU52" s="701"/>
      <c r="AV52" s="700"/>
      <c r="AW52" s="689"/>
      <c r="AX52" s="689"/>
      <c r="AY52" s="701"/>
      <c r="AZ52" s="700"/>
      <c r="BA52" s="689"/>
      <c r="BB52" s="689"/>
      <c r="BC52" s="701"/>
      <c r="BD52" s="700"/>
      <c r="BE52" s="689"/>
      <c r="BF52" s="690"/>
      <c r="BG52" s="690"/>
      <c r="BH52" s="700"/>
      <c r="BI52" s="689"/>
      <c r="BJ52" s="689"/>
      <c r="BK52" s="692"/>
      <c r="BL52" s="706"/>
      <c r="BM52" s="690"/>
      <c r="BN52" s="690"/>
      <c r="BO52" s="692"/>
      <c r="BP52" s="690"/>
      <c r="BQ52" s="690"/>
      <c r="BR52" s="690"/>
      <c r="BS52" s="692"/>
      <c r="BT52" s="690"/>
      <c r="BU52" s="690"/>
      <c r="BV52" s="690"/>
      <c r="BW52" s="692"/>
      <c r="BX52" s="15"/>
      <c r="BY52" s="414"/>
      <c r="BZ52" s="414"/>
      <c r="CA52" s="414"/>
      <c r="CB52" s="414"/>
      <c r="CC52" s="414"/>
      <c r="CD52" s="414"/>
      <c r="CE52" s="414"/>
      <c r="CF52" s="414"/>
      <c r="CG52" s="414"/>
      <c r="CH52" s="414"/>
      <c r="CI52" s="311"/>
      <c r="CJ52" s="687"/>
      <c r="CK52" s="687"/>
      <c r="CL52" s="687"/>
      <c r="CM52" s="687"/>
      <c r="CN52" s="687"/>
      <c r="CO52" s="687"/>
      <c r="CP52" s="687"/>
      <c r="CQ52" s="104"/>
      <c r="CR52" s="509"/>
      <c r="CS52" s="105"/>
      <c r="CT52" s="105"/>
      <c r="CV52" s="414"/>
      <c r="CW52" s="414"/>
      <c r="CX52" s="414"/>
      <c r="CY52" s="414"/>
      <c r="CZ52" s="687"/>
      <c r="DA52" s="687"/>
      <c r="DB52" s="687"/>
      <c r="DC52" s="687"/>
      <c r="DD52" s="687"/>
      <c r="DE52" s="687"/>
      <c r="DF52" s="686"/>
    </row>
    <row r="53" spans="2:110" ht="15">
      <c r="B53" s="330" t="s">
        <v>232</v>
      </c>
      <c r="C53" s="105"/>
      <c r="D53" s="416"/>
      <c r="E53" s="416"/>
      <c r="F53" s="416"/>
      <c r="G53" s="415"/>
      <c r="H53" s="416"/>
      <c r="I53" s="416"/>
      <c r="J53" s="416"/>
      <c r="K53" s="415"/>
      <c r="L53" s="416"/>
      <c r="M53" s="416"/>
      <c r="N53" s="416"/>
      <c r="O53" s="415"/>
      <c r="P53" s="416"/>
      <c r="Q53" s="416"/>
      <c r="R53" s="416"/>
      <c r="S53" s="415"/>
      <c r="T53" s="416"/>
      <c r="U53" s="416"/>
      <c r="V53" s="416"/>
      <c r="W53" s="415"/>
      <c r="X53" s="416"/>
      <c r="Y53" s="416"/>
      <c r="Z53" s="416"/>
      <c r="AA53" s="415"/>
      <c r="AB53" s="416"/>
      <c r="AC53" s="416"/>
      <c r="AD53" s="416"/>
      <c r="AE53" s="415"/>
      <c r="AF53" s="416"/>
      <c r="AG53" s="310"/>
      <c r="AH53" s="310"/>
      <c r="AI53" s="311"/>
      <c r="AJ53" s="310"/>
      <c r="AK53" s="310"/>
      <c r="AL53" s="310"/>
      <c r="AM53" s="311"/>
      <c r="AN53" s="416"/>
      <c r="AO53" s="416"/>
      <c r="AP53" s="416"/>
      <c r="AQ53" s="113"/>
      <c r="AR53" s="698"/>
      <c r="AS53" s="416"/>
      <c r="AT53" s="416"/>
      <c r="AU53" s="415"/>
      <c r="AV53" s="428">
        <f t="shared" ref="AV53:BE53" si="151">AV$67*AV56</f>
        <v>136.404</v>
      </c>
      <c r="AW53" s="429">
        <f t="shared" si="151"/>
        <v>129.87</v>
      </c>
      <c r="AX53" s="429">
        <f t="shared" si="151"/>
        <v>152.62</v>
      </c>
      <c r="AY53" s="430">
        <f t="shared" si="151"/>
        <v>179.55</v>
      </c>
      <c r="AZ53" s="428">
        <f t="shared" si="151"/>
        <v>169.155</v>
      </c>
      <c r="BA53" s="429">
        <f t="shared" si="151"/>
        <v>167.66200000000001</v>
      </c>
      <c r="BB53" s="429">
        <f t="shared" si="151"/>
        <v>186.3</v>
      </c>
      <c r="BC53" s="430">
        <f t="shared" si="151"/>
        <v>184.96799999999999</v>
      </c>
      <c r="BD53" s="428">
        <f t="shared" si="151"/>
        <v>185.36</v>
      </c>
      <c r="BE53" s="429">
        <f t="shared" si="151"/>
        <v>193.77500000000001</v>
      </c>
      <c r="BF53" s="429">
        <f t="shared" ref="BF53:BK53" si="152">BF$67*BF56</f>
        <v>217.99299999999999</v>
      </c>
      <c r="BG53" s="429">
        <f t="shared" si="152"/>
        <v>198.8252</v>
      </c>
      <c r="BH53" s="428">
        <f t="shared" si="152"/>
        <v>225.8321</v>
      </c>
      <c r="BI53" s="429">
        <f t="shared" si="152"/>
        <v>217.18350000000001</v>
      </c>
      <c r="BJ53" s="429">
        <f t="shared" si="152"/>
        <v>243.21600000000001</v>
      </c>
      <c r="BK53" s="430">
        <f t="shared" si="152"/>
        <v>255.99600000000001</v>
      </c>
      <c r="BL53" s="428">
        <f t="shared" ref="BL53" si="153">BL$67*BL56</f>
        <v>241.93700000000004</v>
      </c>
      <c r="BM53" s="429">
        <f t="shared" ref="BM53:BS53" si="154">BL53*(1+BM54)</f>
        <v>250.40479500000004</v>
      </c>
      <c r="BN53" s="429">
        <f t="shared" si="154"/>
        <v>267.93313065000007</v>
      </c>
      <c r="BO53" s="430">
        <f t="shared" si="154"/>
        <v>281.32978718250007</v>
      </c>
      <c r="BP53" s="429">
        <f t="shared" si="154"/>
        <v>270.07659569520007</v>
      </c>
      <c r="BQ53" s="429">
        <f t="shared" si="154"/>
        <v>283.58042547996007</v>
      </c>
      <c r="BR53" s="429">
        <f t="shared" si="154"/>
        <v>297.75944675395806</v>
      </c>
      <c r="BS53" s="430">
        <f t="shared" si="154"/>
        <v>312.64741909165599</v>
      </c>
      <c r="BT53" s="429">
        <f t="shared" ref="BT53" si="155">BS53*(1+BT54)</f>
        <v>300.14152232798972</v>
      </c>
      <c r="BU53" s="429">
        <f t="shared" ref="BU53" si="156">BT53*(1+BU54)</f>
        <v>315.14859844438922</v>
      </c>
      <c r="BV53" s="429">
        <f t="shared" ref="BV53" si="157">BU53*(1+BV54)</f>
        <v>330.90602836660872</v>
      </c>
      <c r="BW53" s="430">
        <f t="shared" ref="BW53" si="158">BV53*(1+BW54)</f>
        <v>347.45132978493916</v>
      </c>
      <c r="BX53" s="15"/>
      <c r="BY53" s="728"/>
      <c r="BZ53" s="728"/>
      <c r="CA53" s="728"/>
      <c r="CB53" s="728"/>
      <c r="CC53" s="728"/>
      <c r="CD53" s="728"/>
      <c r="CE53" s="414"/>
      <c r="CF53" s="414"/>
      <c r="CG53" s="414"/>
      <c r="CH53" s="414"/>
      <c r="CI53" s="311"/>
      <c r="CJ53" s="731">
        <f>+SUM(AV53:AY53)</f>
        <v>598.44399999999996</v>
      </c>
      <c r="CK53" s="731">
        <f>+SUM(AZ53:BC53)</f>
        <v>708.08499999999992</v>
      </c>
      <c r="CL53" s="731">
        <f>+SUM(BD53:BG53)</f>
        <v>795.95319999999992</v>
      </c>
      <c r="CM53" s="731">
        <f>+SUM(BH53:BK53)</f>
        <v>942.22760000000005</v>
      </c>
      <c r="CN53" s="731">
        <f>+SUM(BL53:BO53)</f>
        <v>1041.6047128325001</v>
      </c>
      <c r="CO53" s="731">
        <f>+SUM(BP53:BS53)</f>
        <v>1164.0638870207742</v>
      </c>
      <c r="CP53" s="731">
        <f>+SUM(BT53:BW53)</f>
        <v>1293.6474789239269</v>
      </c>
      <c r="CQ53" s="104"/>
      <c r="CT53" s="105"/>
      <c r="CV53" s="414"/>
      <c r="CW53" s="414"/>
      <c r="CX53" s="414"/>
      <c r="CY53" s="414"/>
      <c r="CZ53" s="731">
        <f>+SUM(AS53:AV53)</f>
        <v>136.404</v>
      </c>
      <c r="DA53" s="731">
        <f>+SUM(AW53:AZ53)</f>
        <v>631.19500000000005</v>
      </c>
      <c r="DB53" s="731">
        <f>+SUM(BA53:BD53)</f>
        <v>724.29</v>
      </c>
      <c r="DC53" s="731">
        <f>+SUM(BE53:BH53)</f>
        <v>836.42529999999999</v>
      </c>
      <c r="DD53" s="731">
        <f>+SUM(BI53:BL53)</f>
        <v>958.33249999999998</v>
      </c>
      <c r="DE53" s="731">
        <f>+SUM(BM53:BP53)</f>
        <v>1069.7443085277002</v>
      </c>
      <c r="DF53" s="729">
        <f>+SUM(BQ53:BT53)</f>
        <v>1194.1288136535641</v>
      </c>
    </row>
    <row r="54" spans="2:110" ht="14.25">
      <c r="B54" s="472" t="s">
        <v>275</v>
      </c>
      <c r="C54" s="105"/>
      <c r="D54" s="416"/>
      <c r="E54" s="416"/>
      <c r="F54" s="416"/>
      <c r="G54" s="415"/>
      <c r="H54" s="416"/>
      <c r="I54" s="416"/>
      <c r="J54" s="416"/>
      <c r="K54" s="415"/>
      <c r="L54" s="416"/>
      <c r="M54" s="416"/>
      <c r="N54" s="416"/>
      <c r="O54" s="415"/>
      <c r="P54" s="416"/>
      <c r="Q54" s="416"/>
      <c r="R54" s="416"/>
      <c r="S54" s="415"/>
      <c r="T54" s="416"/>
      <c r="U54" s="416"/>
      <c r="V54" s="416"/>
      <c r="W54" s="415"/>
      <c r="X54" s="416"/>
      <c r="Y54" s="416"/>
      <c r="Z54" s="416"/>
      <c r="AA54" s="415"/>
      <c r="AB54" s="416"/>
      <c r="AC54" s="416"/>
      <c r="AD54" s="416"/>
      <c r="AE54" s="415"/>
      <c r="AF54" s="416"/>
      <c r="AG54" s="310"/>
      <c r="AH54" s="310"/>
      <c r="AI54" s="311"/>
      <c r="AJ54" s="310"/>
      <c r="AK54" s="310"/>
      <c r="AL54" s="310"/>
      <c r="AM54" s="311"/>
      <c r="AN54" s="416"/>
      <c r="AO54" s="416"/>
      <c r="AP54" s="416"/>
      <c r="AQ54" s="113"/>
      <c r="AR54" s="698"/>
      <c r="AS54" s="416"/>
      <c r="AT54" s="416"/>
      <c r="AU54" s="415"/>
      <c r="AV54" s="702" t="s">
        <v>224</v>
      </c>
      <c r="AW54" s="310">
        <f t="shared" ref="AW54:BL54" si="159">AW53/AV53-1</f>
        <v>-4.7901821060965855E-2</v>
      </c>
      <c r="AX54" s="310">
        <f t="shared" si="159"/>
        <v>0.17517517517517511</v>
      </c>
      <c r="AY54" s="311">
        <f t="shared" si="159"/>
        <v>0.17645131699646188</v>
      </c>
      <c r="AZ54" s="309">
        <f t="shared" si="159"/>
        <v>-5.7894736842105332E-2</v>
      </c>
      <c r="BA54" s="310">
        <f t="shared" si="159"/>
        <v>-8.8262244686825309E-3</v>
      </c>
      <c r="BB54" s="310">
        <f t="shared" si="159"/>
        <v>0.11116412782860752</v>
      </c>
      <c r="BC54" s="311">
        <f t="shared" si="159"/>
        <v>-7.1497584541063697E-3</v>
      </c>
      <c r="BD54" s="309">
        <f t="shared" si="159"/>
        <v>2.1192854980323084E-3</v>
      </c>
      <c r="BE54" s="310">
        <f t="shared" si="159"/>
        <v>4.539814415192045E-2</v>
      </c>
      <c r="BF54" s="310">
        <f t="shared" si="159"/>
        <v>0.12498000258031206</v>
      </c>
      <c r="BG54" s="310">
        <f t="shared" si="159"/>
        <v>-8.7928511465964476E-2</v>
      </c>
      <c r="BH54" s="309">
        <f t="shared" si="159"/>
        <v>0.13583237939657544</v>
      </c>
      <c r="BI54" s="310">
        <f t="shared" si="159"/>
        <v>-3.829659291128229E-2</v>
      </c>
      <c r="BJ54" s="310">
        <f t="shared" si="159"/>
        <v>0.11986407807222932</v>
      </c>
      <c r="BK54" s="311">
        <f t="shared" si="159"/>
        <v>5.2545885139135606E-2</v>
      </c>
      <c r="BL54" s="309">
        <f t="shared" si="159"/>
        <v>-5.4918826856669489E-2</v>
      </c>
      <c r="BM54" s="933">
        <v>3.5000000000000003E-2</v>
      </c>
      <c r="BN54" s="933">
        <v>7.0000000000000007E-2</v>
      </c>
      <c r="BO54" s="922">
        <v>0.05</v>
      </c>
      <c r="BP54" s="312">
        <v>-0.04</v>
      </c>
      <c r="BQ54" s="312">
        <v>0.05</v>
      </c>
      <c r="BR54" s="921">
        <v>0.05</v>
      </c>
      <c r="BS54" s="922">
        <v>0.05</v>
      </c>
      <c r="BT54" s="965">
        <v>-0.04</v>
      </c>
      <c r="BU54" s="965">
        <v>0.05</v>
      </c>
      <c r="BV54" s="921">
        <v>0.05</v>
      </c>
      <c r="BW54" s="922">
        <v>0.05</v>
      </c>
      <c r="BX54" s="15"/>
      <c r="BY54" s="414"/>
      <c r="BZ54" s="414"/>
      <c r="CA54" s="414"/>
      <c r="CB54" s="414"/>
      <c r="CC54" s="414"/>
      <c r="CD54" s="414"/>
      <c r="CE54" s="414"/>
      <c r="CF54" s="414"/>
      <c r="CG54" s="414"/>
      <c r="CH54" s="414"/>
      <c r="CI54" s="311"/>
      <c r="CJ54" s="687"/>
      <c r="CK54" s="687"/>
      <c r="CL54" s="687"/>
      <c r="CM54" s="687"/>
      <c r="CN54" s="687"/>
      <c r="CO54" s="687"/>
      <c r="CP54" s="687"/>
      <c r="CQ54" s="104"/>
      <c r="CV54" s="414"/>
      <c r="CW54" s="414"/>
      <c r="CX54" s="414"/>
      <c r="CY54" s="414"/>
      <c r="CZ54" s="687"/>
      <c r="DA54" s="687"/>
      <c r="DB54" s="687"/>
      <c r="DC54" s="687"/>
      <c r="DD54" s="687"/>
      <c r="DE54" s="687"/>
      <c r="DF54" s="686"/>
    </row>
    <row r="55" spans="2:110" ht="14.25">
      <c r="B55" s="473" t="s">
        <v>276</v>
      </c>
      <c r="C55" s="105"/>
      <c r="D55" s="416"/>
      <c r="E55" s="416"/>
      <c r="F55" s="416"/>
      <c r="G55" s="415"/>
      <c r="H55" s="416"/>
      <c r="I55" s="416"/>
      <c r="J55" s="416"/>
      <c r="K55" s="415"/>
      <c r="L55" s="416"/>
      <c r="M55" s="416"/>
      <c r="N55" s="416"/>
      <c r="O55" s="415"/>
      <c r="P55" s="416"/>
      <c r="Q55" s="416"/>
      <c r="R55" s="416"/>
      <c r="S55" s="415"/>
      <c r="T55" s="416"/>
      <c r="U55" s="416"/>
      <c r="V55" s="416"/>
      <c r="W55" s="415"/>
      <c r="X55" s="416"/>
      <c r="Y55" s="416"/>
      <c r="Z55" s="416"/>
      <c r="AA55" s="415"/>
      <c r="AB55" s="416"/>
      <c r="AC55" s="416"/>
      <c r="AD55" s="416"/>
      <c r="AE55" s="415"/>
      <c r="AF55" s="416"/>
      <c r="AG55" s="310"/>
      <c r="AH55" s="310"/>
      <c r="AI55" s="311"/>
      <c r="AJ55" s="310"/>
      <c r="AK55" s="310"/>
      <c r="AL55" s="310"/>
      <c r="AM55" s="311"/>
      <c r="AN55" s="416"/>
      <c r="AO55" s="416"/>
      <c r="AP55" s="416"/>
      <c r="AQ55" s="113"/>
      <c r="AR55" s="698"/>
      <c r="AS55" s="416"/>
      <c r="AT55" s="416"/>
      <c r="AU55" s="415"/>
      <c r="AV55" s="702"/>
      <c r="AW55" s="416"/>
      <c r="AX55" s="416"/>
      <c r="AY55" s="415"/>
      <c r="AZ55" s="726">
        <f t="shared" ref="AZ55:BL55" si="160">AZ53/AV53-1</f>
        <v>0.24010292953285828</v>
      </c>
      <c r="BA55" s="687">
        <f t="shared" si="160"/>
        <v>0.29099869099869102</v>
      </c>
      <c r="BB55" s="687">
        <f t="shared" si="160"/>
        <v>0.22067881011662949</v>
      </c>
      <c r="BC55" s="686">
        <f t="shared" si="160"/>
        <v>3.0175438596491189E-2</v>
      </c>
      <c r="BD55" s="726">
        <f t="shared" si="160"/>
        <v>9.5799710324850018E-2</v>
      </c>
      <c r="BE55" s="687">
        <f t="shared" si="160"/>
        <v>0.15574787369827381</v>
      </c>
      <c r="BF55" s="687">
        <f t="shared" si="160"/>
        <v>0.17011808910359627</v>
      </c>
      <c r="BG55" s="687">
        <f t="shared" si="160"/>
        <v>7.491674235543444E-2</v>
      </c>
      <c r="BH55" s="726">
        <f t="shared" si="160"/>
        <v>0.21834322399654704</v>
      </c>
      <c r="BI55" s="687">
        <f t="shared" si="160"/>
        <v>0.12080247709972913</v>
      </c>
      <c r="BJ55" s="687">
        <f t="shared" si="160"/>
        <v>0.11570555017821671</v>
      </c>
      <c r="BK55" s="686">
        <f t="shared" si="160"/>
        <v>0.28754302774497398</v>
      </c>
      <c r="BL55" s="703">
        <f t="shared" si="160"/>
        <v>7.131359979382923E-2</v>
      </c>
      <c r="BM55" s="310">
        <f t="shared" ref="BM55:BS55" si="161">BM53/BI53-1</f>
        <v>0.15296417545531793</v>
      </c>
      <c r="BN55" s="310">
        <f t="shared" si="161"/>
        <v>0.10162625259029046</v>
      </c>
      <c r="BO55" s="311">
        <f t="shared" si="161"/>
        <v>9.896165245746058E-2</v>
      </c>
      <c r="BP55" s="310">
        <f t="shared" si="161"/>
        <v>0.11630960000000012</v>
      </c>
      <c r="BQ55" s="310">
        <f t="shared" si="161"/>
        <v>0.13248800000000016</v>
      </c>
      <c r="BR55" s="310">
        <f t="shared" si="161"/>
        <v>0.11131999999999986</v>
      </c>
      <c r="BS55" s="311">
        <f t="shared" si="161"/>
        <v>0.11132000000000009</v>
      </c>
      <c r="BT55" s="310">
        <f t="shared" ref="BT55" si="162">BT53/BP53-1</f>
        <v>0.11131999999999986</v>
      </c>
      <c r="BU55" s="310">
        <f t="shared" ref="BU55" si="163">BU53/BQ53-1</f>
        <v>0.11132000000000009</v>
      </c>
      <c r="BV55" s="310">
        <f t="shared" ref="BV55" si="164">BV53/BR53-1</f>
        <v>0.11132000000000009</v>
      </c>
      <c r="BW55" s="311">
        <f t="shared" ref="BW55" si="165">BW53/BS53-1</f>
        <v>0.11132000000000009</v>
      </c>
      <c r="BX55" s="15"/>
      <c r="BY55" s="414"/>
      <c r="BZ55" s="414"/>
      <c r="CA55" s="414"/>
      <c r="CB55" s="414"/>
      <c r="CC55" s="414"/>
      <c r="CD55" s="414"/>
      <c r="CE55" s="414"/>
      <c r="CF55" s="414"/>
      <c r="CG55" s="414"/>
      <c r="CH55" s="414"/>
      <c r="CI55" s="311"/>
      <c r="CJ55" s="687"/>
      <c r="CK55" s="687">
        <f t="shared" ref="CK55:CP55" si="166">CK53/CJ53-1</f>
        <v>0.18321012492396949</v>
      </c>
      <c r="CL55" s="687">
        <f t="shared" si="166"/>
        <v>0.12409272898027779</v>
      </c>
      <c r="CM55" s="687">
        <f t="shared" si="166"/>
        <v>0.18377261376673926</v>
      </c>
      <c r="CN55" s="687">
        <f t="shared" si="166"/>
        <v>0.10547039041575523</v>
      </c>
      <c r="CO55" s="687">
        <f t="shared" si="166"/>
        <v>0.11756779964566721</v>
      </c>
      <c r="CP55" s="687">
        <f t="shared" si="166"/>
        <v>0.11132000000000009</v>
      </c>
      <c r="CQ55" s="104"/>
      <c r="CV55" s="414"/>
      <c r="CW55" s="414"/>
      <c r="CX55" s="414"/>
      <c r="CY55" s="414"/>
      <c r="CZ55" s="687"/>
      <c r="DA55" s="738" t="s">
        <v>449</v>
      </c>
      <c r="DB55" s="687">
        <f>DB53/DA53-1</f>
        <v>0.1474900783434594</v>
      </c>
      <c r="DC55" s="687">
        <f>DC53/DB53-1</f>
        <v>0.15482099711441544</v>
      </c>
      <c r="DD55" s="687">
        <f>DD53/DC53-1</f>
        <v>0.14574786295919062</v>
      </c>
      <c r="DE55" s="687">
        <f>DE53/DD53-1</f>
        <v>0.11625590129490582</v>
      </c>
      <c r="DF55" s="686">
        <f>DF53/DE53-1</f>
        <v>0.1162749865872672</v>
      </c>
    </row>
    <row r="56" spans="2:110" ht="14.25">
      <c r="B56" s="472" t="s">
        <v>237</v>
      </c>
      <c r="C56" s="105"/>
      <c r="D56" s="416"/>
      <c r="E56" s="416"/>
      <c r="F56" s="416"/>
      <c r="G56" s="415"/>
      <c r="H56" s="416"/>
      <c r="I56" s="416"/>
      <c r="J56" s="416"/>
      <c r="K56" s="415"/>
      <c r="L56" s="416"/>
      <c r="M56" s="416"/>
      <c r="N56" s="416"/>
      <c r="O56" s="415"/>
      <c r="P56" s="416"/>
      <c r="Q56" s="416"/>
      <c r="R56" s="416"/>
      <c r="S56" s="415"/>
      <c r="T56" s="416"/>
      <c r="U56" s="416"/>
      <c r="V56" s="416"/>
      <c r="W56" s="415"/>
      <c r="X56" s="416"/>
      <c r="Y56" s="416"/>
      <c r="Z56" s="416"/>
      <c r="AA56" s="415"/>
      <c r="AB56" s="416"/>
      <c r="AC56" s="416"/>
      <c r="AD56" s="416"/>
      <c r="AE56" s="415"/>
      <c r="AF56" s="416"/>
      <c r="AG56" s="310"/>
      <c r="AH56" s="310"/>
      <c r="AI56" s="311"/>
      <c r="AJ56" s="310"/>
      <c r="AK56" s="310"/>
      <c r="AL56" s="310"/>
      <c r="AM56" s="311"/>
      <c r="AN56" s="416"/>
      <c r="AO56" s="416"/>
      <c r="AP56" s="416"/>
      <c r="AQ56" s="113"/>
      <c r="AR56" s="698"/>
      <c r="AS56" s="416"/>
      <c r="AT56" s="416"/>
      <c r="AU56" s="415"/>
      <c r="AV56" s="698">
        <v>0.27</v>
      </c>
      <c r="AW56" s="416">
        <v>0.27</v>
      </c>
      <c r="AX56" s="416">
        <v>0.26</v>
      </c>
      <c r="AY56" s="415">
        <v>0.25</v>
      </c>
      <c r="AZ56" s="698">
        <v>0.21</v>
      </c>
      <c r="BA56" s="416">
        <v>0.22</v>
      </c>
      <c r="BB56" s="416">
        <v>0.23</v>
      </c>
      <c r="BC56" s="415">
        <v>0.21</v>
      </c>
      <c r="BD56" s="698">
        <v>0.2</v>
      </c>
      <c r="BE56" s="416">
        <v>0.25</v>
      </c>
      <c r="BF56" s="416">
        <v>0.28999999999999998</v>
      </c>
      <c r="BG56" s="416">
        <v>0.23799999999999999</v>
      </c>
      <c r="BH56" s="698">
        <v>0.247</v>
      </c>
      <c r="BI56" s="416">
        <v>0.255</v>
      </c>
      <c r="BJ56" s="416">
        <v>0.27</v>
      </c>
      <c r="BK56" s="415">
        <v>0.26</v>
      </c>
      <c r="BL56" s="698">
        <v>0.23</v>
      </c>
      <c r="BM56" s="310">
        <f t="shared" ref="BM56:BS56" si="167">BM53/BM$63</f>
        <v>0.2773909750342296</v>
      </c>
      <c r="BN56" s="310">
        <f t="shared" si="167"/>
        <v>0.30863640859319635</v>
      </c>
      <c r="BO56" s="311">
        <f t="shared" si="167"/>
        <v>0.2727043549513295</v>
      </c>
      <c r="BP56" s="310">
        <f t="shared" si="167"/>
        <v>0.25144177847648219</v>
      </c>
      <c r="BQ56" s="310">
        <f t="shared" si="167"/>
        <v>0.28995387560318547</v>
      </c>
      <c r="BR56" s="310">
        <f t="shared" si="167"/>
        <v>0.30436124370374817</v>
      </c>
      <c r="BS56" s="311">
        <f t="shared" si="167"/>
        <v>0.2971069071560965</v>
      </c>
      <c r="BT56" s="310">
        <f t="shared" ref="BT56:BW56" si="168">BT53/BT$63</f>
        <v>0.27367505117128577</v>
      </c>
      <c r="BU56" s="310">
        <f t="shared" si="168"/>
        <v>0.30386469879739403</v>
      </c>
      <c r="BV56" s="310">
        <f t="shared" si="168"/>
        <v>0.31495930753084594</v>
      </c>
      <c r="BW56" s="311">
        <f t="shared" si="168"/>
        <v>0.30582507382113222</v>
      </c>
      <c r="BX56" s="15"/>
      <c r="BY56" s="414"/>
      <c r="BZ56" s="414"/>
      <c r="CA56" s="414"/>
      <c r="CB56" s="414"/>
      <c r="CC56" s="414"/>
      <c r="CD56" s="414"/>
      <c r="CE56" s="414"/>
      <c r="CF56" s="414"/>
      <c r="CG56" s="414"/>
      <c r="CH56" s="414"/>
      <c r="CI56" s="311"/>
      <c r="CJ56" s="687">
        <f t="shared" ref="CJ56:CN56" si="169">CJ53/CJ$63</f>
        <v>0.26116959064327483</v>
      </c>
      <c r="CK56" s="687">
        <f t="shared" si="169"/>
        <v>0.21731064326049593</v>
      </c>
      <c r="CL56" s="687">
        <f t="shared" si="169"/>
        <v>0.24200462146549101</v>
      </c>
      <c r="CM56" s="687">
        <f t="shared" si="169"/>
        <v>0.25804557156159286</v>
      </c>
      <c r="CN56" s="687">
        <f t="shared" si="169"/>
        <v>0.27024046279847158</v>
      </c>
      <c r="CO56" s="687">
        <f>CO53/CO$63</f>
        <v>0.28511785188370864</v>
      </c>
      <c r="CP56" s="687">
        <f>CP53/CP$63</f>
        <v>0.2994149137819162</v>
      </c>
      <c r="CQ56" s="104"/>
      <c r="CV56" s="414"/>
      <c r="CW56" s="414"/>
      <c r="CX56" s="414"/>
      <c r="CY56" s="414" t="s">
        <v>450</v>
      </c>
      <c r="CZ56" s="687">
        <f t="shared" ref="CZ56:DE56" si="170">CZ53/CZ$63</f>
        <v>7.3991863303498773E-2</v>
      </c>
      <c r="DA56" s="687">
        <f t="shared" si="170"/>
        <v>0.24354477755913106</v>
      </c>
      <c r="DB56" s="687">
        <f t="shared" si="170"/>
        <v>0.21430600349143411</v>
      </c>
      <c r="DC56" s="687">
        <f t="shared" si="170"/>
        <v>0.2552801159774149</v>
      </c>
      <c r="DD56" s="687">
        <f t="shared" si="170"/>
        <v>0.25292491422538926</v>
      </c>
      <c r="DE56" s="687">
        <f t="shared" si="170"/>
        <v>0.27595093057116338</v>
      </c>
      <c r="DF56" s="686">
        <f t="shared" ref="DF56" si="171">DF53/DF$63</f>
        <v>0.29087193071284628</v>
      </c>
    </row>
    <row r="57" spans="2:110" ht="14.25">
      <c r="B57" s="472"/>
      <c r="C57" s="105"/>
      <c r="D57" s="416"/>
      <c r="E57" s="416"/>
      <c r="F57" s="416"/>
      <c r="G57" s="415"/>
      <c r="H57" s="416"/>
      <c r="I57" s="416"/>
      <c r="J57" s="416"/>
      <c r="K57" s="415"/>
      <c r="L57" s="416"/>
      <c r="M57" s="416"/>
      <c r="N57" s="416"/>
      <c r="O57" s="415"/>
      <c r="P57" s="416"/>
      <c r="Q57" s="416"/>
      <c r="R57" s="416"/>
      <c r="S57" s="415"/>
      <c r="T57" s="416"/>
      <c r="U57" s="416"/>
      <c r="V57" s="416"/>
      <c r="W57" s="415"/>
      <c r="X57" s="416"/>
      <c r="Y57" s="416"/>
      <c r="Z57" s="416"/>
      <c r="AA57" s="415"/>
      <c r="AB57" s="416"/>
      <c r="AC57" s="416"/>
      <c r="AD57" s="416"/>
      <c r="AE57" s="415"/>
      <c r="AF57" s="416"/>
      <c r="AG57" s="310"/>
      <c r="AH57" s="310"/>
      <c r="AI57" s="311"/>
      <c r="AJ57" s="310"/>
      <c r="AK57" s="310"/>
      <c r="AL57" s="310"/>
      <c r="AM57" s="311"/>
      <c r="AN57" s="416"/>
      <c r="AO57" s="416"/>
      <c r="AP57" s="416"/>
      <c r="AQ57" s="113"/>
      <c r="AR57" s="698"/>
      <c r="AS57" s="416"/>
      <c r="AT57" s="416"/>
      <c r="AU57" s="415"/>
      <c r="AV57" s="698"/>
      <c r="AW57" s="416"/>
      <c r="AX57" s="416"/>
      <c r="AY57" s="415"/>
      <c r="AZ57" s="698"/>
      <c r="BA57" s="416"/>
      <c r="BB57" s="416"/>
      <c r="BC57" s="415"/>
      <c r="BD57" s="698"/>
      <c r="BE57" s="416"/>
      <c r="BF57" s="416"/>
      <c r="BG57" s="416"/>
      <c r="BH57" s="698"/>
      <c r="BI57" s="416"/>
      <c r="BJ57" s="416"/>
      <c r="BK57" s="415"/>
      <c r="BL57" s="698"/>
      <c r="BM57" s="310"/>
      <c r="BN57" s="310"/>
      <c r="BO57" s="311"/>
      <c r="BP57" s="310"/>
      <c r="BQ57" s="310"/>
      <c r="BR57" s="310"/>
      <c r="BS57" s="311"/>
      <c r="BT57" s="310"/>
      <c r="BU57" s="310"/>
      <c r="BV57" s="310"/>
      <c r="BW57" s="311"/>
      <c r="BX57" s="15"/>
      <c r="BY57" s="414"/>
      <c r="BZ57" s="414"/>
      <c r="CA57" s="414"/>
      <c r="CB57" s="414"/>
      <c r="CC57" s="414"/>
      <c r="CD57" s="414"/>
      <c r="CE57" s="414"/>
      <c r="CF57" s="414"/>
      <c r="CG57" s="414"/>
      <c r="CH57" s="414"/>
      <c r="CI57" s="311"/>
      <c r="CJ57" s="687"/>
      <c r="CK57" s="687"/>
      <c r="CL57" s="687"/>
      <c r="CM57" s="687"/>
      <c r="CN57" s="687"/>
      <c r="CO57" s="687"/>
      <c r="CP57" s="687"/>
      <c r="CQ57" s="104"/>
      <c r="CV57" s="414"/>
      <c r="CW57" s="414"/>
      <c r="CX57" s="414"/>
      <c r="CY57" s="414"/>
      <c r="CZ57" s="687"/>
      <c r="DA57" s="687"/>
      <c r="DB57" s="687"/>
      <c r="DC57" s="687"/>
      <c r="DD57" s="687"/>
      <c r="DE57" s="687"/>
      <c r="DF57" s="686"/>
    </row>
    <row r="58" spans="2:110" ht="15">
      <c r="B58" s="330" t="s">
        <v>233</v>
      </c>
      <c r="C58" s="105"/>
      <c r="D58" s="416"/>
      <c r="E58" s="416"/>
      <c r="F58" s="416"/>
      <c r="G58" s="415"/>
      <c r="H58" s="416"/>
      <c r="I58" s="416"/>
      <c r="J58" s="416"/>
      <c r="K58" s="415"/>
      <c r="L58" s="416"/>
      <c r="M58" s="416"/>
      <c r="N58" s="416"/>
      <c r="O58" s="415"/>
      <c r="P58" s="416"/>
      <c r="Q58" s="416"/>
      <c r="R58" s="416"/>
      <c r="S58" s="415"/>
      <c r="T58" s="416"/>
      <c r="U58" s="416"/>
      <c r="V58" s="416"/>
      <c r="W58" s="415"/>
      <c r="X58" s="416"/>
      <c r="Y58" s="416"/>
      <c r="Z58" s="416"/>
      <c r="AA58" s="415"/>
      <c r="AB58" s="416"/>
      <c r="AC58" s="416"/>
      <c r="AD58" s="416"/>
      <c r="AE58" s="415"/>
      <c r="AF58" s="416"/>
      <c r="AG58" s="310"/>
      <c r="AH58" s="310"/>
      <c r="AI58" s="311"/>
      <c r="AJ58" s="310"/>
      <c r="AK58" s="310"/>
      <c r="AL58" s="310"/>
      <c r="AM58" s="311"/>
      <c r="AN58" s="416"/>
      <c r="AO58" s="416"/>
      <c r="AP58" s="416"/>
      <c r="AQ58" s="113"/>
      <c r="AR58" s="698"/>
      <c r="AS58" s="416"/>
      <c r="AT58" s="416"/>
      <c r="AU58" s="415"/>
      <c r="AV58" s="428">
        <f>AV56*AV84</f>
        <v>59.940000000000005</v>
      </c>
      <c r="AW58" s="429">
        <f>AW56*AW84</f>
        <v>57.347999999999999</v>
      </c>
      <c r="AX58" s="429">
        <f>AX56*AX84</f>
        <v>68.691999999999993</v>
      </c>
      <c r="AY58" s="430">
        <f>AY56*AY84</f>
        <v>81.000000000000014</v>
      </c>
      <c r="AZ58" s="428">
        <f t="shared" ref="AZ58:BE58" si="172">AZ56*AZ84</f>
        <v>78.33</v>
      </c>
      <c r="BA58" s="429">
        <f t="shared" si="172"/>
        <v>77.484000000000009</v>
      </c>
      <c r="BB58" s="429">
        <f t="shared" si="172"/>
        <v>90.413000000000011</v>
      </c>
      <c r="BC58" s="430">
        <f t="shared" si="172"/>
        <v>91.601999999999975</v>
      </c>
      <c r="BD58" s="428">
        <f t="shared" si="172"/>
        <v>94.42</v>
      </c>
      <c r="BE58" s="429">
        <f t="shared" si="172"/>
        <v>97.600000000000009</v>
      </c>
      <c r="BF58" s="429">
        <f t="shared" ref="BF58:BK58" si="173">BF56*BF84</f>
        <v>109.70700000000001</v>
      </c>
      <c r="BG58" s="429">
        <f t="shared" si="173"/>
        <v>101.00719999999998</v>
      </c>
      <c r="BH58" s="428">
        <f t="shared" si="173"/>
        <v>114.58329999999999</v>
      </c>
      <c r="BI58" s="429">
        <f t="shared" si="173"/>
        <v>108.477</v>
      </c>
      <c r="BJ58" s="429">
        <f t="shared" si="173"/>
        <v>122.47199999999999</v>
      </c>
      <c r="BK58" s="430">
        <f t="shared" si="173"/>
        <v>129.71400000000003</v>
      </c>
      <c r="BL58" s="428">
        <f t="shared" ref="BL58" si="174">BL56*BL84</f>
        <v>123.46400000000003</v>
      </c>
      <c r="BM58" s="429">
        <f t="shared" ref="BM58:BS58" si="175">BM61*BM53</f>
        <v>140.72749479000004</v>
      </c>
      <c r="BN58" s="429">
        <f t="shared" si="175"/>
        <v>151.11428568660006</v>
      </c>
      <c r="BO58" s="430">
        <f t="shared" si="175"/>
        <v>158.66999997093006</v>
      </c>
      <c r="BP58" s="429">
        <f t="shared" si="175"/>
        <v>152.05312337639765</v>
      </c>
      <c r="BQ58" s="429">
        <f t="shared" si="175"/>
        <v>160.22294039617745</v>
      </c>
      <c r="BR58" s="429">
        <f t="shared" si="175"/>
        <v>168.82960630949424</v>
      </c>
      <c r="BS58" s="430">
        <f t="shared" si="175"/>
        <v>177.27108662496897</v>
      </c>
      <c r="BT58" s="429">
        <f t="shared" ref="BT58:BW58" si="176">BT61*BT53</f>
        <v>169.88010163764221</v>
      </c>
      <c r="BU58" s="429">
        <f t="shared" si="176"/>
        <v>179.00440391641311</v>
      </c>
      <c r="BV58" s="429">
        <f t="shared" si="176"/>
        <v>188.616436168967</v>
      </c>
      <c r="BW58" s="430">
        <f t="shared" si="176"/>
        <v>198.04725797741534</v>
      </c>
      <c r="BX58" s="15"/>
      <c r="BY58" s="728"/>
      <c r="BZ58" s="728"/>
      <c r="CA58" s="728"/>
      <c r="CB58" s="728"/>
      <c r="CC58" s="728"/>
      <c r="CD58" s="728"/>
      <c r="CE58" s="414"/>
      <c r="CF58" s="414"/>
      <c r="CG58" s="414"/>
      <c r="CH58" s="414"/>
      <c r="CI58" s="311"/>
      <c r="CJ58" s="731">
        <f>+SUM(AV58:AY58)</f>
        <v>266.98</v>
      </c>
      <c r="CK58" s="731">
        <f>+SUM(AZ58:BC58)</f>
        <v>337.82900000000001</v>
      </c>
      <c r="CL58" s="731">
        <f>+SUM(BD58:BG58)</f>
        <v>402.73419999999999</v>
      </c>
      <c r="CM58" s="731">
        <f>+SUM(BH58:BK58)</f>
        <v>475.24630000000002</v>
      </c>
      <c r="CN58" s="731">
        <f>+SUM(BL58:BO58)</f>
        <v>573.97578044753027</v>
      </c>
      <c r="CO58" s="731">
        <f>+SUM(BP58:BS58)</f>
        <v>658.37675670703834</v>
      </c>
      <c r="CP58" s="731">
        <f>+SUM(BT58:BW58)</f>
        <v>735.54819970043764</v>
      </c>
      <c r="CQ58" s="104"/>
      <c r="CV58" s="414"/>
      <c r="CW58" s="414"/>
      <c r="CX58" s="414"/>
      <c r="CY58" s="414"/>
      <c r="CZ58" s="731">
        <f>+SUM(AS58:AV58)</f>
        <v>59.940000000000005</v>
      </c>
      <c r="DA58" s="731">
        <f>+SUM(AW58:AZ58)</f>
        <v>285.37</v>
      </c>
      <c r="DB58" s="731">
        <f>+SUM(BA58:BD58)</f>
        <v>353.91900000000004</v>
      </c>
      <c r="DC58" s="731">
        <f>+SUM(BE58:BH58)</f>
        <v>422.89750000000004</v>
      </c>
      <c r="DD58" s="731">
        <f>+SUM(BI58:BL58)</f>
        <v>484.12700000000007</v>
      </c>
      <c r="DE58" s="731">
        <f>+SUM(BM58:BP58)</f>
        <v>602.56490382392781</v>
      </c>
      <c r="DF58" s="729">
        <f>+SUM(BQ58:BT58)</f>
        <v>676.2037349682829</v>
      </c>
    </row>
    <row r="59" spans="2:110" ht="14.25">
      <c r="B59" s="472" t="s">
        <v>275</v>
      </c>
      <c r="C59" s="105"/>
      <c r="D59" s="416"/>
      <c r="E59" s="416"/>
      <c r="F59" s="416"/>
      <c r="G59" s="415"/>
      <c r="H59" s="416"/>
      <c r="I59" s="416"/>
      <c r="J59" s="416"/>
      <c r="K59" s="415"/>
      <c r="L59" s="416"/>
      <c r="M59" s="416"/>
      <c r="N59" s="416"/>
      <c r="O59" s="415"/>
      <c r="P59" s="416"/>
      <c r="Q59" s="416"/>
      <c r="R59" s="416"/>
      <c r="S59" s="415"/>
      <c r="T59" s="416"/>
      <c r="U59" s="416"/>
      <c r="V59" s="416"/>
      <c r="W59" s="415"/>
      <c r="X59" s="416"/>
      <c r="Y59" s="416"/>
      <c r="Z59" s="416"/>
      <c r="AA59" s="415"/>
      <c r="AB59" s="416"/>
      <c r="AC59" s="416"/>
      <c r="AD59" s="416"/>
      <c r="AE59" s="415"/>
      <c r="AF59" s="416"/>
      <c r="AG59" s="310"/>
      <c r="AH59" s="310"/>
      <c r="AI59" s="311"/>
      <c r="AJ59" s="310"/>
      <c r="AK59" s="310"/>
      <c r="AL59" s="310"/>
      <c r="AM59" s="311"/>
      <c r="AN59" s="416"/>
      <c r="AO59" s="416"/>
      <c r="AP59" s="416"/>
      <c r="AQ59" s="113"/>
      <c r="AR59" s="698"/>
      <c r="AS59" s="416"/>
      <c r="AT59" s="416"/>
      <c r="AU59" s="415"/>
      <c r="AV59" s="702" t="s">
        <v>224</v>
      </c>
      <c r="AW59" s="310">
        <f>AW58/AV58-1</f>
        <v>-4.3243243243243357E-2</v>
      </c>
      <c r="AX59" s="310">
        <f>AX58/AW58-1</f>
        <v>0.19780986259329003</v>
      </c>
      <c r="AY59" s="311">
        <f>AY58/AX58-1</f>
        <v>0.17917661445292055</v>
      </c>
      <c r="AZ59" s="727">
        <f t="shared" ref="AZ59:BL59" si="177">AZ58/AY58-1</f>
        <v>-3.2962962962963194E-2</v>
      </c>
      <c r="BA59" s="310">
        <f t="shared" si="177"/>
        <v>-1.0800459594025091E-2</v>
      </c>
      <c r="BB59" s="310">
        <f t="shared" si="177"/>
        <v>0.16686025502039126</v>
      </c>
      <c r="BC59" s="311">
        <f t="shared" si="177"/>
        <v>1.3150763717606484E-2</v>
      </c>
      <c r="BD59" s="727">
        <f t="shared" si="177"/>
        <v>3.0763520447152137E-2</v>
      </c>
      <c r="BE59" s="310">
        <f t="shared" si="177"/>
        <v>3.3679305231942402E-2</v>
      </c>
      <c r="BF59" s="310">
        <f t="shared" si="177"/>
        <v>0.12404713114754107</v>
      </c>
      <c r="BG59" s="310">
        <f t="shared" si="177"/>
        <v>-7.9300318120083757E-2</v>
      </c>
      <c r="BH59" s="727">
        <f t="shared" si="177"/>
        <v>0.13440725017622523</v>
      </c>
      <c r="BI59" s="310">
        <f t="shared" si="177"/>
        <v>-5.3291360957486766E-2</v>
      </c>
      <c r="BJ59" s="310">
        <f t="shared" si="177"/>
        <v>0.12901352360408191</v>
      </c>
      <c r="BK59" s="311">
        <f t="shared" si="177"/>
        <v>5.9131883205957525E-2</v>
      </c>
      <c r="BL59" s="309">
        <f t="shared" si="177"/>
        <v>-4.8182925513051811E-2</v>
      </c>
      <c r="BM59" s="310">
        <f t="shared" ref="BM59:BS59" si="178">BM58/BL58-1</f>
        <v>0.13982614195231013</v>
      </c>
      <c r="BN59" s="310">
        <f t="shared" si="178"/>
        <v>7.3807829181494755E-2</v>
      </c>
      <c r="BO59" s="311">
        <f t="shared" si="178"/>
        <v>5.0000000000000044E-2</v>
      </c>
      <c r="BP59" s="310">
        <f t="shared" si="178"/>
        <v>-4.1702127659574484E-2</v>
      </c>
      <c r="BQ59" s="310">
        <f t="shared" si="178"/>
        <v>5.3730017761989268E-2</v>
      </c>
      <c r="BR59" s="310">
        <f t="shared" si="178"/>
        <v>5.3716814159292081E-2</v>
      </c>
      <c r="BS59" s="311">
        <f t="shared" si="178"/>
        <v>5.0000000000000044E-2</v>
      </c>
      <c r="BT59" s="310">
        <f t="shared" ref="BT59" si="179">BT58/BS58-1</f>
        <v>-4.1693121693121782E-2</v>
      </c>
      <c r="BU59" s="310">
        <f t="shared" ref="BU59" si="180">BU58/BT58-1</f>
        <v>5.3710247349823437E-2</v>
      </c>
      <c r="BV59" s="310">
        <f t="shared" ref="BV59" si="181">BV58/BU58-1</f>
        <v>5.3697183098591728E-2</v>
      </c>
      <c r="BW59" s="311">
        <f t="shared" ref="BW59" si="182">BW58/BV58-1</f>
        <v>5.0000000000000044E-2</v>
      </c>
      <c r="BX59" s="15"/>
      <c r="BY59" s="414"/>
      <c r="BZ59" s="414"/>
      <c r="CA59" s="414"/>
      <c r="CB59" s="414"/>
      <c r="CC59" s="414"/>
      <c r="CD59" s="414"/>
      <c r="CE59" s="414"/>
      <c r="CF59" s="414"/>
      <c r="CG59" s="414"/>
      <c r="CH59" s="414"/>
      <c r="CI59" s="311"/>
      <c r="CJ59" s="687"/>
      <c r="CK59" s="687"/>
      <c r="CL59" s="687"/>
      <c r="CM59" s="687"/>
      <c r="CN59" s="687"/>
      <c r="CO59" s="687"/>
      <c r="CP59" s="687"/>
      <c r="CQ59" s="104"/>
      <c r="CV59" s="414"/>
      <c r="CW59" s="414"/>
      <c r="CX59" s="414"/>
      <c r="CY59" s="414"/>
      <c r="CZ59" s="687"/>
      <c r="DA59" s="687"/>
      <c r="DB59" s="687"/>
      <c r="DC59" s="687"/>
      <c r="DD59" s="687"/>
      <c r="DE59" s="687"/>
      <c r="DF59" s="686"/>
    </row>
    <row r="60" spans="2:110" ht="14.25">
      <c r="B60" s="473" t="s">
        <v>276</v>
      </c>
      <c r="C60" s="105"/>
      <c r="D60" s="416"/>
      <c r="E60" s="416"/>
      <c r="F60" s="416"/>
      <c r="G60" s="415"/>
      <c r="H60" s="416"/>
      <c r="I60" s="416"/>
      <c r="J60" s="416"/>
      <c r="K60" s="415"/>
      <c r="L60" s="416"/>
      <c r="M60" s="416"/>
      <c r="N60" s="416"/>
      <c r="O60" s="415"/>
      <c r="P60" s="416"/>
      <c r="Q60" s="416"/>
      <c r="R60" s="416"/>
      <c r="S60" s="415"/>
      <c r="T60" s="416"/>
      <c r="U60" s="416"/>
      <c r="V60" s="416"/>
      <c r="W60" s="415"/>
      <c r="X60" s="416"/>
      <c r="Y60" s="416"/>
      <c r="Z60" s="416"/>
      <c r="AA60" s="415"/>
      <c r="AB60" s="416"/>
      <c r="AC60" s="416"/>
      <c r="AD60" s="416"/>
      <c r="AE60" s="415"/>
      <c r="AF60" s="416"/>
      <c r="AG60" s="310"/>
      <c r="AH60" s="310"/>
      <c r="AI60" s="311"/>
      <c r="AJ60" s="310"/>
      <c r="AK60" s="310"/>
      <c r="AL60" s="310"/>
      <c r="AM60" s="311"/>
      <c r="AN60" s="416"/>
      <c r="AO60" s="416"/>
      <c r="AP60" s="416"/>
      <c r="AQ60" s="113"/>
      <c r="AR60" s="698"/>
      <c r="AS60" s="416"/>
      <c r="AT60" s="416"/>
      <c r="AU60" s="415"/>
      <c r="AV60" s="702" t="s">
        <v>224</v>
      </c>
      <c r="AW60" s="416"/>
      <c r="AX60" s="416"/>
      <c r="AY60" s="415"/>
      <c r="AZ60" s="726">
        <f t="shared" ref="AZ60:BL60" si="183">AZ58/AV58-1</f>
        <v>0.30680680680680661</v>
      </c>
      <c r="BA60" s="687">
        <f t="shared" si="183"/>
        <v>0.35111948106298407</v>
      </c>
      <c r="BB60" s="687">
        <f t="shared" si="183"/>
        <v>0.31620858324113454</v>
      </c>
      <c r="BC60" s="686">
        <f t="shared" si="183"/>
        <v>0.13088888888888839</v>
      </c>
      <c r="BD60" s="726">
        <f t="shared" si="183"/>
        <v>0.20541299629771492</v>
      </c>
      <c r="BE60" s="687">
        <f t="shared" si="183"/>
        <v>0.25961488823499046</v>
      </c>
      <c r="BF60" s="687">
        <f t="shared" si="183"/>
        <v>0.21339851570017587</v>
      </c>
      <c r="BG60" s="687">
        <f t="shared" si="183"/>
        <v>0.10267461409139544</v>
      </c>
      <c r="BH60" s="726">
        <f t="shared" si="183"/>
        <v>0.21354903622113941</v>
      </c>
      <c r="BI60" s="687">
        <f t="shared" si="183"/>
        <v>0.1114446721311475</v>
      </c>
      <c r="BJ60" s="687">
        <f t="shared" si="183"/>
        <v>0.11635538297465042</v>
      </c>
      <c r="BK60" s="686">
        <f t="shared" si="183"/>
        <v>0.28420548238145438</v>
      </c>
      <c r="BL60" s="703">
        <f t="shared" si="183"/>
        <v>7.7504313455800666E-2</v>
      </c>
      <c r="BM60" s="310">
        <f t="shared" ref="BM60:BS60" si="184">BM58/BI58-1</f>
        <v>0.29730260599021019</v>
      </c>
      <c r="BN60" s="310">
        <f t="shared" si="184"/>
        <v>0.23386803258377475</v>
      </c>
      <c r="BO60" s="311">
        <f t="shared" si="184"/>
        <v>0.22322956636084035</v>
      </c>
      <c r="BP60" s="310">
        <f t="shared" si="184"/>
        <v>0.23155837633964249</v>
      </c>
      <c r="BQ60" s="310">
        <f t="shared" si="184"/>
        <v>0.13853330960854104</v>
      </c>
      <c r="BR60" s="310">
        <f t="shared" si="184"/>
        <v>0.11723127659574462</v>
      </c>
      <c r="BS60" s="311">
        <f t="shared" si="184"/>
        <v>0.11723127659574462</v>
      </c>
      <c r="BT60" s="310">
        <f t="shared" ref="BT60" si="185">BT58/BP58-1</f>
        <v>0.11724177619893439</v>
      </c>
      <c r="BU60" s="310">
        <f t="shared" ref="BU60" si="186">BU58/BQ58-1</f>
        <v>0.11722081415929209</v>
      </c>
      <c r="BV60" s="310">
        <f t="shared" ref="BV60" si="187">BV58/BR58-1</f>
        <v>0.11720000000000019</v>
      </c>
      <c r="BW60" s="311">
        <f t="shared" ref="BW60" si="188">BW58/BS58-1</f>
        <v>0.11719999999999997</v>
      </c>
      <c r="BX60" s="15"/>
      <c r="BY60" s="414"/>
      <c r="BZ60" s="414"/>
      <c r="CA60" s="414"/>
      <c r="CB60" s="414"/>
      <c r="CC60" s="414"/>
      <c r="CD60" s="414"/>
      <c r="CE60" s="414"/>
      <c r="CF60" s="414"/>
      <c r="CG60" s="414"/>
      <c r="CH60" s="414"/>
      <c r="CI60" s="311"/>
      <c r="CJ60" s="687"/>
      <c r="CK60" s="687">
        <f t="shared" ref="CK60:CP60" si="189">CK58/CJ58-1</f>
        <v>0.26537193797288183</v>
      </c>
      <c r="CL60" s="687">
        <f t="shared" si="189"/>
        <v>0.19212441797477409</v>
      </c>
      <c r="CM60" s="687">
        <f t="shared" si="189"/>
        <v>0.18004952149581555</v>
      </c>
      <c r="CN60" s="687">
        <f t="shared" si="189"/>
        <v>0.20774381714814028</v>
      </c>
      <c r="CO60" s="687">
        <f t="shared" si="189"/>
        <v>0.14704623284574914</v>
      </c>
      <c r="CP60" s="687">
        <f t="shared" si="189"/>
        <v>0.11721471362291536</v>
      </c>
      <c r="CQ60" s="104"/>
      <c r="CR60" s="509"/>
      <c r="CV60" s="414"/>
      <c r="CW60" s="414"/>
      <c r="CX60" s="414"/>
      <c r="CY60" s="414"/>
      <c r="CZ60" s="687"/>
      <c r="DA60" s="738" t="s">
        <v>449</v>
      </c>
      <c r="DB60" s="687">
        <f>DB58/DA58-1</f>
        <v>0.24021095419981098</v>
      </c>
      <c r="DC60" s="687">
        <f>DC58/DB58-1</f>
        <v>0.1948991153342996</v>
      </c>
      <c r="DD60" s="687">
        <f>DD58/DC58-1</f>
        <v>0.14478567501581363</v>
      </c>
      <c r="DE60" s="687">
        <f>DE58/DD58-1</f>
        <v>0.24464221954967957</v>
      </c>
      <c r="DF60" s="686">
        <f>DF58/DE58-1</f>
        <v>0.12220896151939287</v>
      </c>
    </row>
    <row r="61" spans="2:110" ht="14.25">
      <c r="B61" s="694" t="s">
        <v>393</v>
      </c>
      <c r="C61" s="23"/>
      <c r="D61" s="638"/>
      <c r="E61" s="638"/>
      <c r="F61" s="638"/>
      <c r="G61" s="639"/>
      <c r="H61" s="638"/>
      <c r="I61" s="638"/>
      <c r="J61" s="638"/>
      <c r="K61" s="639"/>
      <c r="L61" s="638"/>
      <c r="M61" s="638"/>
      <c r="N61" s="638"/>
      <c r="O61" s="639"/>
      <c r="P61" s="638"/>
      <c r="Q61" s="638"/>
      <c r="R61" s="638"/>
      <c r="S61" s="639"/>
      <c r="T61" s="638"/>
      <c r="U61" s="638"/>
      <c r="V61" s="638"/>
      <c r="W61" s="639"/>
      <c r="X61" s="638"/>
      <c r="Y61" s="638"/>
      <c r="Z61" s="638"/>
      <c r="AA61" s="639"/>
      <c r="AB61" s="638"/>
      <c r="AC61" s="638"/>
      <c r="AD61" s="638"/>
      <c r="AE61" s="639"/>
      <c r="AF61" s="638"/>
      <c r="AG61" s="334"/>
      <c r="AH61" s="334"/>
      <c r="AI61" s="381"/>
      <c r="AJ61" s="334"/>
      <c r="AK61" s="334"/>
      <c r="AL61" s="334"/>
      <c r="AM61" s="381"/>
      <c r="AN61" s="638"/>
      <c r="AO61" s="638"/>
      <c r="AP61" s="638"/>
      <c r="AQ61" s="693"/>
      <c r="AR61" s="640"/>
      <c r="AS61" s="638"/>
      <c r="AT61" s="638"/>
      <c r="AU61" s="639"/>
      <c r="AV61" s="704">
        <f>AV58/AV53</f>
        <v>0.43942992874109266</v>
      </c>
      <c r="AW61" s="695">
        <f>AW58/AW53</f>
        <v>0.44158004158004155</v>
      </c>
      <c r="AX61" s="695">
        <f>AX58/AX53</f>
        <v>0.45008517887563876</v>
      </c>
      <c r="AY61" s="705">
        <f>AY58/AY53</f>
        <v>0.45112781954887221</v>
      </c>
      <c r="AZ61" s="704">
        <f t="shared" ref="AZ61:BE61" si="190">AZ58/AZ53</f>
        <v>0.46306641837368095</v>
      </c>
      <c r="BA61" s="695">
        <f t="shared" si="190"/>
        <v>0.46214407558063247</v>
      </c>
      <c r="BB61" s="695">
        <f t="shared" si="190"/>
        <v>0.48530864197530865</v>
      </c>
      <c r="BC61" s="705">
        <f t="shared" si="190"/>
        <v>0.49523160762942769</v>
      </c>
      <c r="BD61" s="704">
        <f t="shared" si="190"/>
        <v>0.50938713854121709</v>
      </c>
      <c r="BE61" s="695">
        <f t="shared" si="190"/>
        <v>0.50367694491033421</v>
      </c>
      <c r="BF61" s="695">
        <f t="shared" ref="BF61:BK61" si="191">BF58/BF53</f>
        <v>0.50325927896767331</v>
      </c>
      <c r="BG61" s="695">
        <f t="shared" si="191"/>
        <v>0.5080201101268853</v>
      </c>
      <c r="BH61" s="704">
        <f t="shared" si="191"/>
        <v>0.50738269714535711</v>
      </c>
      <c r="BI61" s="695">
        <f t="shared" si="191"/>
        <v>0.4994716449454033</v>
      </c>
      <c r="BJ61" s="695">
        <f t="shared" si="191"/>
        <v>0.50355239786856121</v>
      </c>
      <c r="BK61" s="705">
        <f t="shared" si="191"/>
        <v>0.50670322973796478</v>
      </c>
      <c r="BL61" s="704">
        <f t="shared" ref="BL61" si="192">BL58/BL53</f>
        <v>0.51031466869474285</v>
      </c>
      <c r="BM61" s="957">
        <v>0.56200000000000006</v>
      </c>
      <c r="BN61" s="335">
        <f>BM61+0.2%</f>
        <v>0.56400000000000006</v>
      </c>
      <c r="BO61" s="336">
        <f>BN61</f>
        <v>0.56400000000000006</v>
      </c>
      <c r="BP61" s="627">
        <f>BO61-0.1%</f>
        <v>0.56300000000000006</v>
      </c>
      <c r="BQ61" s="335">
        <f>BP61+0.2%</f>
        <v>0.56500000000000006</v>
      </c>
      <c r="BR61" s="335">
        <f>BQ61+0.2%</f>
        <v>0.56700000000000006</v>
      </c>
      <c r="BS61" s="336">
        <f>BR61</f>
        <v>0.56700000000000006</v>
      </c>
      <c r="BT61" s="627">
        <f>BS61-0.1%</f>
        <v>0.56600000000000006</v>
      </c>
      <c r="BU61" s="335">
        <f>BT61+0.2%</f>
        <v>0.56800000000000006</v>
      </c>
      <c r="BV61" s="335">
        <f>BU61+0.2%</f>
        <v>0.57000000000000006</v>
      </c>
      <c r="BW61" s="336">
        <f>BV61</f>
        <v>0.57000000000000006</v>
      </c>
      <c r="BX61" s="15"/>
      <c r="BY61" s="334"/>
      <c r="BZ61" s="334"/>
      <c r="CA61" s="334"/>
      <c r="CB61" s="334"/>
      <c r="CC61" s="334"/>
      <c r="CD61" s="334"/>
      <c r="CE61" s="334"/>
      <c r="CF61" s="334"/>
      <c r="CG61" s="334"/>
      <c r="CH61" s="334"/>
      <c r="CI61" s="381"/>
      <c r="CJ61" s="695">
        <f t="shared" ref="CJ61:CO61" si="193">+CJ58/CJ53</f>
        <v>0.44612361390539473</v>
      </c>
      <c r="CK61" s="695">
        <f t="shared" si="193"/>
        <v>0.47710232528580615</v>
      </c>
      <c r="CL61" s="695">
        <f t="shared" si="193"/>
        <v>0.50597723584753473</v>
      </c>
      <c r="CM61" s="695">
        <f t="shared" si="193"/>
        <v>0.50438588298623388</v>
      </c>
      <c r="CN61" s="695">
        <f t="shared" si="193"/>
        <v>0.55104952327518031</v>
      </c>
      <c r="CO61" s="695">
        <f t="shared" si="193"/>
        <v>0.5655847278211189</v>
      </c>
      <c r="CP61" s="695">
        <f t="shared" ref="CP61" si="194">+CP58/CP53</f>
        <v>0.56858472782111891</v>
      </c>
      <c r="CQ61" s="104"/>
      <c r="CR61" s="9"/>
      <c r="CS61" s="23"/>
      <c r="CT61" s="23"/>
      <c r="CU61" s="23"/>
      <c r="CV61" s="334"/>
      <c r="CW61" s="334"/>
      <c r="CX61" s="334"/>
      <c r="CY61" s="334"/>
      <c r="CZ61" s="695">
        <f t="shared" ref="CZ61:DE61" si="195">+CZ58/CZ53</f>
        <v>0.43942992874109266</v>
      </c>
      <c r="DA61" s="695">
        <f t="shared" si="195"/>
        <v>0.45211067895024515</v>
      </c>
      <c r="DB61" s="695">
        <f t="shared" si="195"/>
        <v>0.4886426707534276</v>
      </c>
      <c r="DC61" s="695">
        <f t="shared" si="195"/>
        <v>0.50560103813215607</v>
      </c>
      <c r="DD61" s="695">
        <f t="shared" si="195"/>
        <v>0.50517643928386036</v>
      </c>
      <c r="DE61" s="695">
        <f t="shared" si="195"/>
        <v>0.56327937341704004</v>
      </c>
      <c r="DF61" s="705">
        <f t="shared" ref="DF61" si="196">+DF58/DF53</f>
        <v>0.56627369445961673</v>
      </c>
    </row>
    <row r="62" spans="2:110" ht="6.75" customHeight="1">
      <c r="B62" s="412"/>
      <c r="D62" s="413"/>
      <c r="E62" s="413"/>
      <c r="F62" s="413"/>
      <c r="G62" s="415"/>
      <c r="H62" s="413"/>
      <c r="I62" s="413"/>
      <c r="J62" s="413"/>
      <c r="K62" s="415"/>
      <c r="L62" s="413"/>
      <c r="M62" s="413"/>
      <c r="N62" s="413"/>
      <c r="O62" s="415"/>
      <c r="P62" s="413"/>
      <c r="Q62" s="413"/>
      <c r="R62" s="413"/>
      <c r="S62" s="415"/>
      <c r="T62" s="413"/>
      <c r="U62" s="413"/>
      <c r="V62" s="413"/>
      <c r="W62" s="415"/>
      <c r="X62" s="413"/>
      <c r="Y62" s="413"/>
      <c r="Z62" s="413"/>
      <c r="AA62" s="415"/>
      <c r="AB62" s="413"/>
      <c r="AC62" s="413"/>
      <c r="AD62" s="413"/>
      <c r="AE62" s="415"/>
      <c r="AF62" s="413"/>
      <c r="AI62" s="15"/>
      <c r="AM62" s="15"/>
      <c r="AQ62" s="105"/>
      <c r="AR62" s="509"/>
      <c r="AS62" s="105"/>
      <c r="AT62" s="105"/>
      <c r="AU62" s="15"/>
      <c r="AV62" s="509"/>
      <c r="AW62" s="105"/>
      <c r="AX62" s="105"/>
      <c r="AY62" s="15"/>
      <c r="AZ62" s="509"/>
      <c r="BA62" s="105"/>
      <c r="BB62" s="105"/>
      <c r="BC62" s="15"/>
      <c r="BD62" s="509"/>
      <c r="BE62" s="105"/>
      <c r="BF62" s="105"/>
      <c r="BG62" s="105"/>
      <c r="BH62" s="509"/>
      <c r="BI62" s="105"/>
      <c r="BJ62" s="105"/>
      <c r="BK62" s="15"/>
      <c r="BO62" s="15"/>
      <c r="BS62" s="15"/>
      <c r="BW62" s="15"/>
      <c r="BX62" s="104"/>
      <c r="CI62" s="15"/>
      <c r="CJ62" s="732"/>
      <c r="CK62" s="732"/>
      <c r="CL62" s="732"/>
      <c r="CM62" s="732"/>
      <c r="CN62" s="732"/>
      <c r="CO62" s="732"/>
      <c r="CP62" s="732"/>
      <c r="CQ62" s="104"/>
      <c r="CR62" s="509"/>
      <c r="CS62" s="105"/>
      <c r="CT62" s="105"/>
      <c r="CZ62" s="105"/>
      <c r="DA62" s="732"/>
      <c r="DB62" s="732"/>
      <c r="DC62" s="732"/>
      <c r="DD62" s="732"/>
      <c r="DE62" s="732"/>
      <c r="DF62" s="730"/>
    </row>
    <row r="63" spans="2:110" ht="15">
      <c r="B63" s="417" t="s">
        <v>266</v>
      </c>
      <c r="D63" s="428">
        <f t="shared" ref="D63:K63" si="197">D9+D27</f>
        <v>160.19399999999999</v>
      </c>
      <c r="E63" s="429">
        <f t="shared" si="197"/>
        <v>157.364</v>
      </c>
      <c r="F63" s="429">
        <f t="shared" si="197"/>
        <v>150.19900000000001</v>
      </c>
      <c r="G63" s="430">
        <f t="shared" si="197"/>
        <v>150.03200000000001</v>
      </c>
      <c r="H63" s="428">
        <f t="shared" si="197"/>
        <v>175.108</v>
      </c>
      <c r="I63" s="429">
        <f t="shared" si="197"/>
        <v>183.471</v>
      </c>
      <c r="J63" s="429">
        <f t="shared" si="197"/>
        <v>207.37700000000001</v>
      </c>
      <c r="K63" s="430">
        <f t="shared" si="197"/>
        <v>218.06699999999995</v>
      </c>
      <c r="L63" s="429">
        <f>L9+L27+L22</f>
        <v>220.16</v>
      </c>
      <c r="M63" s="429">
        <f>M9+M27+M22</f>
        <v>105.58499999999999</v>
      </c>
      <c r="N63" s="429">
        <f>N9+N27+N22</f>
        <v>191.53200000000001</v>
      </c>
      <c r="O63" s="430">
        <f t="shared" ref="O63:AU63" si="198">O9+O27</f>
        <v>275.09399999999994</v>
      </c>
      <c r="P63" s="428">
        <f t="shared" si="198"/>
        <v>198.32499999999999</v>
      </c>
      <c r="Q63" s="429">
        <f t="shared" si="198"/>
        <v>185.23400000000001</v>
      </c>
      <c r="R63" s="429">
        <f t="shared" si="198"/>
        <v>197.05799999999999</v>
      </c>
      <c r="S63" s="430">
        <f t="shared" si="198"/>
        <v>193.13299999999998</v>
      </c>
      <c r="T63" s="428">
        <f t="shared" si="198"/>
        <v>196.03</v>
      </c>
      <c r="U63" s="429">
        <f t="shared" si="198"/>
        <v>180.21</v>
      </c>
      <c r="V63" s="429">
        <f t="shared" si="198"/>
        <v>175.05</v>
      </c>
      <c r="W63" s="430">
        <f t="shared" si="198"/>
        <v>190.45399999999992</v>
      </c>
      <c r="X63" s="428">
        <f t="shared" si="198"/>
        <v>210.53299999999999</v>
      </c>
      <c r="Y63" s="429">
        <f t="shared" si="198"/>
        <v>201.708</v>
      </c>
      <c r="Z63" s="429">
        <f t="shared" si="198"/>
        <v>215.21</v>
      </c>
      <c r="AA63" s="430">
        <f t="shared" si="198"/>
        <v>232.56600000000006</v>
      </c>
      <c r="AB63" s="429">
        <f t="shared" si="198"/>
        <v>210.22800000000001</v>
      </c>
      <c r="AC63" s="429">
        <f t="shared" si="198"/>
        <v>172.99</v>
      </c>
      <c r="AD63" s="429">
        <f t="shared" si="198"/>
        <v>191.21299999999999</v>
      </c>
      <c r="AE63" s="430">
        <f t="shared" si="198"/>
        <v>228.14600000000002</v>
      </c>
      <c r="AF63" s="429">
        <f t="shared" si="198"/>
        <v>245.13800000000001</v>
      </c>
      <c r="AG63" s="429">
        <f t="shared" si="198"/>
        <v>238.05799999999999</v>
      </c>
      <c r="AH63" s="429">
        <f t="shared" si="198"/>
        <v>275.37</v>
      </c>
      <c r="AI63" s="430">
        <f t="shared" si="198"/>
        <v>313.2829999999999</v>
      </c>
      <c r="AJ63" s="428">
        <f t="shared" si="198"/>
        <v>335.12</v>
      </c>
      <c r="AK63" s="429">
        <f t="shared" si="198"/>
        <v>325.411</v>
      </c>
      <c r="AL63" s="429">
        <f t="shared" si="198"/>
        <v>356.07499999999999</v>
      </c>
      <c r="AM63" s="430">
        <f t="shared" si="198"/>
        <v>402.31599999999997</v>
      </c>
      <c r="AN63" s="429">
        <f t="shared" si="198"/>
        <v>393.74</v>
      </c>
      <c r="AO63" s="429">
        <f t="shared" si="198"/>
        <v>364.69</v>
      </c>
      <c r="AP63" s="429">
        <f t="shared" si="198"/>
        <v>389.03800000000001</v>
      </c>
      <c r="AQ63" s="429">
        <f t="shared" si="198"/>
        <v>421.113</v>
      </c>
      <c r="AR63" s="428">
        <f t="shared" si="198"/>
        <v>453.72299999999996</v>
      </c>
      <c r="AS63" s="429">
        <f t="shared" si="198"/>
        <v>425.2</v>
      </c>
      <c r="AT63" s="429">
        <f t="shared" si="198"/>
        <v>436.1</v>
      </c>
      <c r="AU63" s="430">
        <f t="shared" si="198"/>
        <v>477</v>
      </c>
      <c r="AV63" s="428">
        <f t="shared" ref="AV63:BS63" si="199">AV53+AV43+AV33</f>
        <v>505.2</v>
      </c>
      <c r="AW63" s="429">
        <f t="shared" si="199"/>
        <v>481</v>
      </c>
      <c r="AX63" s="429">
        <f t="shared" si="199"/>
        <v>587</v>
      </c>
      <c r="AY63" s="430">
        <f t="shared" si="199"/>
        <v>718.2</v>
      </c>
      <c r="AZ63" s="428">
        <f t="shared" si="199"/>
        <v>805.5</v>
      </c>
      <c r="BA63" s="429">
        <f t="shared" si="199"/>
        <v>762.1</v>
      </c>
      <c r="BB63" s="429">
        <f t="shared" si="199"/>
        <v>810</v>
      </c>
      <c r="BC63" s="430">
        <f t="shared" si="199"/>
        <v>880.8</v>
      </c>
      <c r="BD63" s="428">
        <f t="shared" si="199"/>
        <v>926.8</v>
      </c>
      <c r="BE63" s="429">
        <f t="shared" si="199"/>
        <v>775.1</v>
      </c>
      <c r="BF63" s="429">
        <f t="shared" si="199"/>
        <v>751.70000000000016</v>
      </c>
      <c r="BG63" s="429">
        <f t="shared" si="199"/>
        <v>835.40000000000009</v>
      </c>
      <c r="BH63" s="428">
        <f>BH53+BH43+BH33</f>
        <v>914.3</v>
      </c>
      <c r="BI63" s="429">
        <f>BI53+BI43+BI33</f>
        <v>851.7</v>
      </c>
      <c r="BJ63" s="429">
        <f>BJ53+BJ43+BJ33</f>
        <v>900.8</v>
      </c>
      <c r="BK63" s="430">
        <f t="shared" ref="BK63" si="200">BK53+BK43+BK33</f>
        <v>984.6</v>
      </c>
      <c r="BL63" s="429">
        <f t="shared" si="199"/>
        <v>1051.9000000000001</v>
      </c>
      <c r="BM63" s="429">
        <f t="shared" si="199"/>
        <v>902.71428250000008</v>
      </c>
      <c r="BN63" s="429">
        <f t="shared" si="199"/>
        <v>868.11900083750015</v>
      </c>
      <c r="BO63" s="430">
        <f t="shared" si="199"/>
        <v>1031.6292427112503</v>
      </c>
      <c r="BP63" s="429">
        <f t="shared" si="199"/>
        <v>1074.111857351744</v>
      </c>
      <c r="BQ63" s="429">
        <f t="shared" si="199"/>
        <v>978.01908972602337</v>
      </c>
      <c r="BR63" s="429">
        <f t="shared" si="199"/>
        <v>978.30933771510013</v>
      </c>
      <c r="BS63" s="430">
        <f t="shared" si="199"/>
        <v>1052.3061280678833</v>
      </c>
      <c r="BT63" s="429">
        <f t="shared" ref="BT63:BW63" si="201">BT53+BT43+BT33</f>
        <v>1096.7076503445662</v>
      </c>
      <c r="BU63" s="429">
        <f t="shared" si="201"/>
        <v>1037.134618439238</v>
      </c>
      <c r="BV63" s="429">
        <f t="shared" si="201"/>
        <v>1050.6310512325501</v>
      </c>
      <c r="BW63" s="430">
        <f t="shared" si="201"/>
        <v>1136.1113248292809</v>
      </c>
      <c r="BX63" s="104"/>
      <c r="BY63" s="429">
        <f>BY9+BY27+BY22</f>
        <v>617.78899999999999</v>
      </c>
      <c r="BZ63" s="429">
        <f>BZ9+BZ27+BZ22</f>
        <v>784.02299999999991</v>
      </c>
      <c r="CA63" s="429">
        <f>CA9+CA27+CA22</f>
        <v>792.37099999999998</v>
      </c>
      <c r="CB63" s="429">
        <f t="shared" ref="CB63:CI63" si="202">CB9+CB27</f>
        <v>773.75</v>
      </c>
      <c r="CC63" s="429">
        <f t="shared" si="202"/>
        <v>741.74399999999991</v>
      </c>
      <c r="CD63" s="429">
        <f t="shared" si="202"/>
        <v>860.01700000000005</v>
      </c>
      <c r="CE63" s="429">
        <f t="shared" si="202"/>
        <v>802.577</v>
      </c>
      <c r="CF63" s="429">
        <f t="shared" si="202"/>
        <v>1071.8489999999999</v>
      </c>
      <c r="CG63" s="429">
        <f t="shared" si="202"/>
        <v>1418.922</v>
      </c>
      <c r="CH63" s="429">
        <f t="shared" si="202"/>
        <v>1568.5810000000001</v>
      </c>
      <c r="CI63" s="430">
        <f t="shared" si="202"/>
        <v>1792.0230000000001</v>
      </c>
      <c r="CJ63" s="731">
        <f t="shared" ref="CJ63:CO63" si="203">CJ53+CJ43+CJ33</f>
        <v>2291.4</v>
      </c>
      <c r="CK63" s="731">
        <f t="shared" si="203"/>
        <v>3258.4</v>
      </c>
      <c r="CL63" s="731">
        <f t="shared" si="203"/>
        <v>3289</v>
      </c>
      <c r="CM63" s="731">
        <f t="shared" si="203"/>
        <v>3651.3999999999996</v>
      </c>
      <c r="CN63" s="731">
        <f t="shared" si="203"/>
        <v>3854.3625260487502</v>
      </c>
      <c r="CO63" s="731">
        <f t="shared" si="203"/>
        <v>4082.7464128607508</v>
      </c>
      <c r="CP63" s="731">
        <f t="shared" ref="CP63" si="204">CP53+CP43+CP33</f>
        <v>4320.584644845635</v>
      </c>
      <c r="CQ63" s="104"/>
      <c r="CR63" s="31">
        <f t="shared" ref="CR63:CY63" si="205">CR9+CR27+CR22</f>
        <v>770.53599999999983</v>
      </c>
      <c r="CS63" s="31">
        <f t="shared" si="205"/>
        <v>771.45500000000004</v>
      </c>
      <c r="CT63" s="31">
        <f t="shared" si="205"/>
        <v>756.24699999999996</v>
      </c>
      <c r="CU63" s="31">
        <f t="shared" si="205"/>
        <v>859.71199999999999</v>
      </c>
      <c r="CV63" s="31">
        <f t="shared" si="205"/>
        <v>837.48700000000008</v>
      </c>
      <c r="CW63" s="31">
        <f t="shared" si="205"/>
        <v>1161.8309999999997</v>
      </c>
      <c r="CX63" s="31">
        <f t="shared" si="205"/>
        <v>1477.5419999999999</v>
      </c>
      <c r="CY63" s="31">
        <f t="shared" si="205"/>
        <v>1628.5640000000001</v>
      </c>
      <c r="CZ63" s="31">
        <f>CZ9+CZ27+CZ33+CZ43+CZ53</f>
        <v>1843.5</v>
      </c>
      <c r="DA63" s="731">
        <f t="shared" ref="DA63:DF63" si="206">DA53+DA43+DA33</f>
        <v>2591.7000000000003</v>
      </c>
      <c r="DB63" s="731">
        <f t="shared" si="206"/>
        <v>3379.7000000000003</v>
      </c>
      <c r="DC63" s="731">
        <f t="shared" si="206"/>
        <v>3276.5</v>
      </c>
      <c r="DD63" s="731">
        <f t="shared" si="206"/>
        <v>3789</v>
      </c>
      <c r="DE63" s="731">
        <f t="shared" si="206"/>
        <v>3876.5743834004943</v>
      </c>
      <c r="DF63" s="729">
        <f t="shared" si="206"/>
        <v>4105.3422058535734</v>
      </c>
    </row>
    <row r="64" spans="2:110" ht="14.25">
      <c r="B64" s="472" t="s">
        <v>275</v>
      </c>
      <c r="D64" s="414"/>
      <c r="E64" s="414">
        <f>E63/D63-1</f>
        <v>-1.7666079878147611E-2</v>
      </c>
      <c r="F64" s="414">
        <f>F63/E63-1</f>
        <v>-4.5531379476881573E-2</v>
      </c>
      <c r="G64" s="311">
        <f>G63/F63-1</f>
        <v>-1.1118582680310629E-3</v>
      </c>
      <c r="H64" s="414"/>
      <c r="I64" s="414">
        <f>I63/H63-1</f>
        <v>4.7759097242844328E-2</v>
      </c>
      <c r="J64" s="414">
        <f>J63/I63-1</f>
        <v>0.13029852129219344</v>
      </c>
      <c r="K64" s="311">
        <f>K63/J63-1</f>
        <v>5.1548628825761389E-2</v>
      </c>
      <c r="L64" s="414"/>
      <c r="M64" s="414">
        <f>M63/L63-1</f>
        <v>-0.52041696947674421</v>
      </c>
      <c r="N64" s="414">
        <f>N63/M63-1</f>
        <v>0.81400767154425369</v>
      </c>
      <c r="O64" s="311">
        <f>O63/N63-1</f>
        <v>0.43628218783284223</v>
      </c>
      <c r="P64" s="414"/>
      <c r="Q64" s="414">
        <f>Q63/P63-1</f>
        <v>-6.6007815454430796E-2</v>
      </c>
      <c r="R64" s="414">
        <f>R63/Q63-1</f>
        <v>6.3832773680857713E-2</v>
      </c>
      <c r="S64" s="311">
        <f>S63/R63-1</f>
        <v>-1.9917993687137869E-2</v>
      </c>
      <c r="T64" s="414"/>
      <c r="U64" s="414">
        <f>U63/T63-1</f>
        <v>-8.0701933377544166E-2</v>
      </c>
      <c r="V64" s="414">
        <f>V63/U63-1</f>
        <v>-2.8633261195272208E-2</v>
      </c>
      <c r="W64" s="311">
        <f>W63/V63-1</f>
        <v>8.7997714938588434E-2</v>
      </c>
      <c r="X64" s="414"/>
      <c r="Y64" s="414">
        <f t="shared" ref="Y64:AU64" si="207">Y63/X63-1</f>
        <v>-4.1917419121942801E-2</v>
      </c>
      <c r="Z64" s="414">
        <f t="shared" si="207"/>
        <v>6.6938346520713177E-2</v>
      </c>
      <c r="AA64" s="311">
        <f t="shared" si="207"/>
        <v>8.0646810092467991E-2</v>
      </c>
      <c r="AB64" s="414">
        <f t="shared" si="207"/>
        <v>-9.6050153504811719E-2</v>
      </c>
      <c r="AC64" s="414">
        <f t="shared" si="207"/>
        <v>-0.17713149532888106</v>
      </c>
      <c r="AD64" s="414">
        <f t="shared" si="207"/>
        <v>0.10534134921093696</v>
      </c>
      <c r="AE64" s="311">
        <f t="shared" si="207"/>
        <v>0.19315109328340663</v>
      </c>
      <c r="AF64" s="414">
        <f t="shared" si="207"/>
        <v>7.4478623337687289E-2</v>
      </c>
      <c r="AG64" s="414">
        <f t="shared" si="207"/>
        <v>-2.8881691129078346E-2</v>
      </c>
      <c r="AH64" s="414">
        <f t="shared" si="207"/>
        <v>0.15673491334044654</v>
      </c>
      <c r="AI64" s="311">
        <f t="shared" si="207"/>
        <v>0.13768021207829428</v>
      </c>
      <c r="AJ64" s="414">
        <f t="shared" si="207"/>
        <v>6.9703750283290455E-2</v>
      </c>
      <c r="AK64" s="414">
        <f t="shared" si="207"/>
        <v>-2.8971711625686347E-2</v>
      </c>
      <c r="AL64" s="414">
        <f t="shared" si="207"/>
        <v>9.4231602496535061E-2</v>
      </c>
      <c r="AM64" s="311">
        <f t="shared" si="207"/>
        <v>0.12986309064101653</v>
      </c>
      <c r="AN64" s="414">
        <f t="shared" si="207"/>
        <v>-2.1316577019059535E-2</v>
      </c>
      <c r="AO64" s="414">
        <f t="shared" si="207"/>
        <v>-7.377965154670596E-2</v>
      </c>
      <c r="AP64" s="414">
        <f t="shared" si="207"/>
        <v>6.6763552606323273E-2</v>
      </c>
      <c r="AQ64" s="310">
        <f t="shared" si="207"/>
        <v>8.2446958908898305E-2</v>
      </c>
      <c r="AR64" s="309">
        <f t="shared" si="207"/>
        <v>7.7437647377307073E-2</v>
      </c>
      <c r="AS64" s="310">
        <f t="shared" si="207"/>
        <v>-6.2864346749007538E-2</v>
      </c>
      <c r="AT64" s="310">
        <f t="shared" si="207"/>
        <v>2.5634995296331287E-2</v>
      </c>
      <c r="AU64" s="311">
        <f t="shared" si="207"/>
        <v>9.3785828938316884E-2</v>
      </c>
      <c r="AV64" s="309">
        <f>AV63/AU63-1</f>
        <v>5.9119496855345899E-2</v>
      </c>
      <c r="AW64" s="310">
        <f>AW63/AV63-1</f>
        <v>-4.7901821060965966E-2</v>
      </c>
      <c r="AX64" s="310">
        <f>AX63/AW63-1</f>
        <v>0.22037422037422028</v>
      </c>
      <c r="AY64" s="311">
        <f>AY63/AX63-1</f>
        <v>0.2235093696763204</v>
      </c>
      <c r="AZ64" s="309">
        <f t="shared" ref="AZ64:BL64" si="208">AZ63/AY63-1</f>
        <v>0.12155388471177941</v>
      </c>
      <c r="BA64" s="310">
        <f t="shared" si="208"/>
        <v>-5.3879577901924214E-2</v>
      </c>
      <c r="BB64" s="310">
        <f t="shared" si="208"/>
        <v>6.2852644009972369E-2</v>
      </c>
      <c r="BC64" s="311">
        <f t="shared" si="208"/>
        <v>8.7407407407407378E-2</v>
      </c>
      <c r="BD64" s="309">
        <f t="shared" si="208"/>
        <v>5.2225249772933635E-2</v>
      </c>
      <c r="BE64" s="310">
        <f t="shared" si="208"/>
        <v>-0.16368148467846344</v>
      </c>
      <c r="BF64" s="310">
        <f t="shared" si="208"/>
        <v>-3.0189652948006573E-2</v>
      </c>
      <c r="BG64" s="310">
        <f t="shared" si="208"/>
        <v>0.1113476120792869</v>
      </c>
      <c r="BH64" s="309">
        <f t="shared" si="208"/>
        <v>9.4445774479291256E-2</v>
      </c>
      <c r="BI64" s="310">
        <f t="shared" si="208"/>
        <v>-6.8467680192496938E-2</v>
      </c>
      <c r="BJ64" s="310">
        <f t="shared" si="208"/>
        <v>5.7649407068216307E-2</v>
      </c>
      <c r="BK64" s="311">
        <f t="shared" si="208"/>
        <v>9.3028419182948463E-2</v>
      </c>
      <c r="BL64" s="309">
        <f t="shared" si="208"/>
        <v>6.8352630509851853E-2</v>
      </c>
      <c r="BM64" s="414">
        <f>BM63/BL63-1</f>
        <v>-0.14182499999999998</v>
      </c>
      <c r="BN64" s="414">
        <f>BN63/BM63-1</f>
        <v>-3.8323622804206536E-2</v>
      </c>
      <c r="BO64" s="311">
        <f>BO63/BN63-1</f>
        <v>0.18835003232967718</v>
      </c>
      <c r="BP64" s="414">
        <f>BP63/BK63-1</f>
        <v>9.0911900621312158E-2</v>
      </c>
      <c r="BQ64" s="414">
        <f>BQ63/BP63-1</f>
        <v>-8.9462533131921984E-2</v>
      </c>
      <c r="BR64" s="414">
        <f>BR63/BQ63-1</f>
        <v>2.9677129222305254E-4</v>
      </c>
      <c r="BS64" s="311">
        <f>BS63/BR63-1</f>
        <v>7.563741599932694E-2</v>
      </c>
      <c r="BT64" s="414">
        <f>BT63/BO63-1</f>
        <v>6.3083135819494318E-2</v>
      </c>
      <c r="BU64" s="414">
        <f>BU63/BT63-1</f>
        <v>-5.4319883595789098E-2</v>
      </c>
      <c r="BV64" s="414">
        <f>BV63/BU63-1</f>
        <v>1.3013192842432186E-2</v>
      </c>
      <c r="BW64" s="311">
        <f>BW63/BV63-1</f>
        <v>8.1360886389612475E-2</v>
      </c>
      <c r="BX64" s="104"/>
      <c r="CE64" s="414"/>
      <c r="CF64" s="414"/>
      <c r="CG64" s="414"/>
      <c r="CH64" s="414"/>
      <c r="CI64" s="311"/>
      <c r="CJ64" s="310"/>
      <c r="CK64" s="687"/>
      <c r="CL64" s="687"/>
      <c r="CM64" s="687"/>
      <c r="CN64" s="687"/>
      <c r="CO64" s="687"/>
      <c r="CP64" s="687"/>
      <c r="CQ64" s="104"/>
      <c r="CV64" s="414"/>
      <c r="CW64" s="414"/>
      <c r="CX64" s="414"/>
      <c r="CY64" s="414"/>
      <c r="CZ64" s="310"/>
      <c r="DA64" s="687"/>
      <c r="DB64" s="687"/>
      <c r="DC64" s="687"/>
      <c r="DD64" s="687"/>
      <c r="DE64" s="687"/>
      <c r="DF64" s="686"/>
    </row>
    <row r="65" spans="2:113" ht="14.25">
      <c r="B65" s="473" t="s">
        <v>276</v>
      </c>
      <c r="D65" s="414"/>
      <c r="E65" s="414"/>
      <c r="F65" s="414"/>
      <c r="G65" s="311"/>
      <c r="H65" s="414"/>
      <c r="I65" s="414"/>
      <c r="J65" s="414"/>
      <c r="K65" s="311"/>
      <c r="L65" s="414"/>
      <c r="M65" s="414"/>
      <c r="N65" s="414"/>
      <c r="O65" s="311"/>
      <c r="P65" s="414"/>
      <c r="Q65" s="414"/>
      <c r="R65" s="414"/>
      <c r="S65" s="311"/>
      <c r="T65" s="414"/>
      <c r="U65" s="414"/>
      <c r="V65" s="414"/>
      <c r="W65" s="311"/>
      <c r="X65" s="414"/>
      <c r="Y65" s="414"/>
      <c r="Z65" s="414"/>
      <c r="AA65" s="311"/>
      <c r="AB65" s="414">
        <f t="shared" ref="AB65:AU65" si="209">AB63/X63-1</f>
        <v>-1.4487040036478271E-3</v>
      </c>
      <c r="AC65" s="414">
        <f t="shared" si="209"/>
        <v>-0.14237412497273283</v>
      </c>
      <c r="AD65" s="414">
        <f t="shared" si="209"/>
        <v>-0.11150504158728691</v>
      </c>
      <c r="AE65" s="311">
        <f t="shared" si="209"/>
        <v>-1.9005357618912644E-2</v>
      </c>
      <c r="AF65" s="414">
        <f t="shared" si="209"/>
        <v>0.16605780390813774</v>
      </c>
      <c r="AG65" s="414">
        <f t="shared" si="209"/>
        <v>0.37613734897970974</v>
      </c>
      <c r="AH65" s="414">
        <f t="shared" si="209"/>
        <v>0.44012174904425971</v>
      </c>
      <c r="AI65" s="311">
        <f t="shared" si="209"/>
        <v>0.37316893568153664</v>
      </c>
      <c r="AJ65" s="414">
        <f t="shared" si="209"/>
        <v>0.36706671344304032</v>
      </c>
      <c r="AK65" s="414">
        <f t="shared" si="209"/>
        <v>0.36693998941434436</v>
      </c>
      <c r="AL65" s="414">
        <f t="shared" si="209"/>
        <v>0.29307840360242587</v>
      </c>
      <c r="AM65" s="311">
        <f t="shared" si="209"/>
        <v>0.28419352470450066</v>
      </c>
      <c r="AN65" s="414">
        <f t="shared" si="209"/>
        <v>0.17492241585103852</v>
      </c>
      <c r="AO65" s="414">
        <f t="shared" si="209"/>
        <v>0.12070581510766387</v>
      </c>
      <c r="AP65" s="414">
        <f t="shared" si="209"/>
        <v>9.257319384961038E-2</v>
      </c>
      <c r="AQ65" s="310">
        <f t="shared" si="209"/>
        <v>4.6721979737321062E-2</v>
      </c>
      <c r="AR65" s="309">
        <f t="shared" si="209"/>
        <v>0.15234164677198136</v>
      </c>
      <c r="AS65" s="310">
        <f t="shared" si="209"/>
        <v>0.1659217417532699</v>
      </c>
      <c r="AT65" s="310">
        <f t="shared" si="209"/>
        <v>0.12097018800220027</v>
      </c>
      <c r="AU65" s="311">
        <f t="shared" si="209"/>
        <v>0.13271259733135765</v>
      </c>
      <c r="AV65" s="309">
        <f t="shared" ref="AV65:BO65" si="210">AV63/AR63-1</f>
        <v>0.1134546849068705</v>
      </c>
      <c r="AW65" s="310">
        <f t="shared" si="210"/>
        <v>0.13123236124176851</v>
      </c>
      <c r="AX65" s="310">
        <f t="shared" si="210"/>
        <v>0.3460215546892913</v>
      </c>
      <c r="AY65" s="311">
        <f t="shared" si="210"/>
        <v>0.50566037735849068</v>
      </c>
      <c r="AZ65" s="309">
        <f t="shared" si="210"/>
        <v>0.5944180522565321</v>
      </c>
      <c r="BA65" s="310">
        <f t="shared" si="210"/>
        <v>0.58440748440748447</v>
      </c>
      <c r="BB65" s="310">
        <f t="shared" si="210"/>
        <v>0.37989778534923335</v>
      </c>
      <c r="BC65" s="310">
        <f t="shared" si="210"/>
        <v>0.22639933166248949</v>
      </c>
      <c r="BD65" s="309">
        <f t="shared" si="210"/>
        <v>0.15058969584109239</v>
      </c>
      <c r="BE65" s="310">
        <f t="shared" si="210"/>
        <v>1.7058128854481103E-2</v>
      </c>
      <c r="BF65" s="310">
        <f t="shared" si="210"/>
        <v>-7.19753086419751E-2</v>
      </c>
      <c r="BG65" s="310">
        <f t="shared" si="210"/>
        <v>-5.1544050862851853E-2</v>
      </c>
      <c r="BH65" s="309">
        <f t="shared" si="210"/>
        <v>-1.3487268018990028E-2</v>
      </c>
      <c r="BI65" s="310">
        <f t="shared" si="210"/>
        <v>9.882595794091098E-2</v>
      </c>
      <c r="BJ65" s="310">
        <f t="shared" si="210"/>
        <v>0.19835040574697316</v>
      </c>
      <c r="BK65" s="311">
        <f t="shared" si="210"/>
        <v>0.17859707924347612</v>
      </c>
      <c r="BL65" s="310">
        <f t="shared" si="210"/>
        <v>0.15049764847424285</v>
      </c>
      <c r="BM65" s="310">
        <f t="shared" si="210"/>
        <v>5.9897008923329942E-2</v>
      </c>
      <c r="BN65" s="310">
        <f t="shared" si="210"/>
        <v>-3.6279972427286644E-2</v>
      </c>
      <c r="BO65" s="310">
        <f t="shared" si="210"/>
        <v>4.7764820953940967E-2</v>
      </c>
      <c r="BP65" s="309">
        <f t="shared" ref="BP65:BW65" si="211">BP63/BL63-1</f>
        <v>2.111594006250006E-2</v>
      </c>
      <c r="BQ65" s="310">
        <f t="shared" si="211"/>
        <v>8.342042292437446E-2</v>
      </c>
      <c r="BR65" s="310">
        <f t="shared" si="211"/>
        <v>0.12692999090135815</v>
      </c>
      <c r="BS65" s="310">
        <f t="shared" si="211"/>
        <v>2.00429422708992E-2</v>
      </c>
      <c r="BT65" s="309">
        <f t="shared" si="211"/>
        <v>2.1036722421566845E-2</v>
      </c>
      <c r="BU65" s="310">
        <f t="shared" si="211"/>
        <v>6.044414606444426E-2</v>
      </c>
      <c r="BV65" s="310">
        <f t="shared" si="211"/>
        <v>7.3925200066434771E-2</v>
      </c>
      <c r="BW65" s="310">
        <f t="shared" si="211"/>
        <v>7.963955974985204E-2</v>
      </c>
      <c r="BX65" s="104"/>
      <c r="CE65" s="414">
        <f t="shared" ref="CE65:CP65" si="212">CE63/CD63-1</f>
        <v>-6.6789377419283591E-2</v>
      </c>
      <c r="CF65" s="414">
        <f t="shared" si="212"/>
        <v>0.33550924085788636</v>
      </c>
      <c r="CG65" s="414">
        <f t="shared" si="212"/>
        <v>0.32380773784367034</v>
      </c>
      <c r="CH65" s="414">
        <f t="shared" si="212"/>
        <v>0.10547373287608486</v>
      </c>
      <c r="CI65" s="311">
        <f t="shared" si="212"/>
        <v>0.14244849325600661</v>
      </c>
      <c r="CJ65" s="310">
        <f t="shared" si="212"/>
        <v>0.27866662425649658</v>
      </c>
      <c r="CK65" s="687">
        <f t="shared" si="212"/>
        <v>0.42201274330103855</v>
      </c>
      <c r="CL65" s="687">
        <f t="shared" si="212"/>
        <v>9.3911122023078164E-3</v>
      </c>
      <c r="CM65" s="687">
        <f t="shared" si="212"/>
        <v>0.11018546670720575</v>
      </c>
      <c r="CN65" s="687">
        <f t="shared" si="212"/>
        <v>5.5584851303267291E-2</v>
      </c>
      <c r="CO65" s="687">
        <f t="shared" si="212"/>
        <v>5.9253348710331499E-2</v>
      </c>
      <c r="CP65" s="687">
        <f t="shared" si="212"/>
        <v>5.8254470871785813E-2</v>
      </c>
      <c r="CQ65" s="104"/>
      <c r="CV65" s="414">
        <f t="shared" ref="CV65:DF65" si="213">CV63/CU63-1</f>
        <v>-2.5851680562792967E-2</v>
      </c>
      <c r="CW65" s="414">
        <f t="shared" si="213"/>
        <v>0.38728242945860591</v>
      </c>
      <c r="CX65" s="414">
        <f t="shared" si="213"/>
        <v>0.27173573437100607</v>
      </c>
      <c r="CY65" s="414">
        <f t="shared" si="213"/>
        <v>0.10221164609872346</v>
      </c>
      <c r="CZ65" s="310">
        <f t="shared" si="213"/>
        <v>0.13197884762281364</v>
      </c>
      <c r="DA65" s="687">
        <f t="shared" si="213"/>
        <v>0.40585842148087892</v>
      </c>
      <c r="DB65" s="687">
        <f t="shared" si="213"/>
        <v>0.30404753636609172</v>
      </c>
      <c r="DC65" s="687">
        <f t="shared" si="213"/>
        <v>-3.0535254608397233E-2</v>
      </c>
      <c r="DD65" s="687">
        <f t="shared" si="213"/>
        <v>0.15641690828628119</v>
      </c>
      <c r="DE65" s="687">
        <f t="shared" si="213"/>
        <v>2.3112795830164679E-2</v>
      </c>
      <c r="DF65" s="686">
        <f t="shared" si="213"/>
        <v>5.9012880916889943E-2</v>
      </c>
    </row>
    <row r="66" spans="2:113" ht="14.25">
      <c r="B66" s="305"/>
      <c r="G66" s="15"/>
      <c r="K66" s="15"/>
      <c r="O66" s="15"/>
      <c r="S66" s="15"/>
      <c r="W66" s="15"/>
      <c r="AA66" s="15"/>
      <c r="AE66" s="15"/>
      <c r="AI66" s="15"/>
      <c r="AM66" s="15"/>
      <c r="AQ66" s="105"/>
      <c r="AR66" s="509"/>
      <c r="AS66" s="105"/>
      <c r="AT66" s="105"/>
      <c r="AU66" s="15"/>
      <c r="AV66" s="509"/>
      <c r="AW66" s="105"/>
      <c r="AX66" s="105"/>
      <c r="AY66" s="15"/>
      <c r="AZ66" s="509"/>
      <c r="BA66" s="105"/>
      <c r="BB66" s="105"/>
      <c r="BC66" s="15"/>
      <c r="BD66" s="509"/>
      <c r="BE66" s="105"/>
      <c r="BF66" s="105"/>
      <c r="BG66" s="105"/>
      <c r="BH66" s="509"/>
      <c r="BI66" s="105"/>
      <c r="BJ66" s="105"/>
      <c r="BK66" s="15"/>
      <c r="BO66" s="15"/>
      <c r="BS66" s="15"/>
      <c r="BW66" s="15"/>
      <c r="BX66" s="104"/>
      <c r="CI66" s="15"/>
      <c r="CJ66" s="105"/>
      <c r="CK66" s="732"/>
      <c r="CL66" s="732"/>
      <c r="CM66" s="732"/>
      <c r="CN66" s="732"/>
      <c r="CO66" s="732"/>
      <c r="CP66" s="732"/>
      <c r="CQ66" s="104"/>
      <c r="CZ66" s="105"/>
      <c r="DA66" s="732"/>
      <c r="DB66" s="732"/>
      <c r="DC66" s="732"/>
      <c r="DD66" s="732"/>
      <c r="DE66" s="732"/>
      <c r="DF66" s="730"/>
    </row>
    <row r="67" spans="2:113" ht="15.75" customHeight="1">
      <c r="B67" s="418" t="s">
        <v>267</v>
      </c>
      <c r="C67" s="23"/>
      <c r="D67" s="431">
        <f>IS!D8</f>
        <v>160.19399999999999</v>
      </c>
      <c r="E67" s="432">
        <f>IS!E8</f>
        <v>157.364</v>
      </c>
      <c r="F67" s="432">
        <f>IS!F8</f>
        <v>150.19900000000001</v>
      </c>
      <c r="G67" s="433">
        <f>IS!G8</f>
        <v>150.03200000000001</v>
      </c>
      <c r="H67" s="431">
        <f>IS!H8</f>
        <v>175.108</v>
      </c>
      <c r="I67" s="432">
        <f>IS!I8</f>
        <v>183.471</v>
      </c>
      <c r="J67" s="432">
        <f>IS!J8</f>
        <v>207.37700000000001</v>
      </c>
      <c r="K67" s="433">
        <f>IS!K8</f>
        <v>218.06699999999995</v>
      </c>
      <c r="L67" s="431">
        <f>IS!L8</f>
        <v>220.16</v>
      </c>
      <c r="M67" s="432">
        <f>IS!M8</f>
        <v>105.58499999999999</v>
      </c>
      <c r="N67" s="432">
        <f>IS!N8</f>
        <v>191.53200000000001</v>
      </c>
      <c r="O67" s="433">
        <f>IS!O8</f>
        <v>275.09399999999994</v>
      </c>
      <c r="P67" s="431">
        <f>IS!P8</f>
        <v>198.32499999999999</v>
      </c>
      <c r="Q67" s="432">
        <f>IS!Q8</f>
        <v>185.23400000000001</v>
      </c>
      <c r="R67" s="432">
        <f>IS!R8</f>
        <v>197.05799999999999</v>
      </c>
      <c r="S67" s="433">
        <f>IS!S8</f>
        <v>193.13299999999998</v>
      </c>
      <c r="T67" s="431">
        <f>IS!T8</f>
        <v>196.03</v>
      </c>
      <c r="U67" s="432">
        <f>IS!U8</f>
        <v>180.21</v>
      </c>
      <c r="V67" s="432">
        <f>IS!V8</f>
        <v>175.05</v>
      </c>
      <c r="W67" s="433">
        <f>IS!W8</f>
        <v>190.45399999999992</v>
      </c>
      <c r="X67" s="431">
        <f>IS!X8</f>
        <v>210.53299999999999</v>
      </c>
      <c r="Y67" s="432">
        <f>IS!Y8</f>
        <v>201.708</v>
      </c>
      <c r="Z67" s="432">
        <f>IS!Z8</f>
        <v>215.21</v>
      </c>
      <c r="AA67" s="433">
        <f>IS!AA8</f>
        <v>232.56600000000006</v>
      </c>
      <c r="AB67" s="431">
        <f>IS!AB8</f>
        <v>210.22800000000001</v>
      </c>
      <c r="AC67" s="432">
        <f>IS!AC8</f>
        <v>172.99</v>
      </c>
      <c r="AD67" s="432">
        <f>IS!AD8</f>
        <v>191.21299999999999</v>
      </c>
      <c r="AE67" s="433">
        <f>IS!AE8</f>
        <v>228.14600000000002</v>
      </c>
      <c r="AF67" s="431">
        <f>IS!AF8</f>
        <v>245.13800000000001</v>
      </c>
      <c r="AG67" s="432">
        <f>IS!AG8</f>
        <v>238.05799999999999</v>
      </c>
      <c r="AH67" s="432">
        <f>IS!AH8</f>
        <v>275.37</v>
      </c>
      <c r="AI67" s="433">
        <f>IS!AI8</f>
        <v>313.2829999999999</v>
      </c>
      <c r="AJ67" s="431">
        <f>IS!AJ8</f>
        <v>335.12</v>
      </c>
      <c r="AK67" s="432">
        <f>IS!AK8</f>
        <v>325.411</v>
      </c>
      <c r="AL67" s="432">
        <f>IS!AL8</f>
        <v>356.07499999999999</v>
      </c>
      <c r="AM67" s="433">
        <f>IS!AM8</f>
        <v>402.31599999999997</v>
      </c>
      <c r="AN67" s="432">
        <f>IS!AN8</f>
        <v>393.74</v>
      </c>
      <c r="AO67" s="432">
        <f>IS!AO8</f>
        <v>364.69</v>
      </c>
      <c r="AP67" s="432">
        <f>IS!AP8</f>
        <v>389.03800000000001</v>
      </c>
      <c r="AQ67" s="432">
        <f>IS!AQ8</f>
        <v>421.113</v>
      </c>
      <c r="AR67" s="431">
        <f>IS!AR8</f>
        <v>453.72300000000001</v>
      </c>
      <c r="AS67" s="432">
        <f>IS!AS8</f>
        <v>425.2</v>
      </c>
      <c r="AT67" s="432">
        <f>IS!AT8</f>
        <v>436.1</v>
      </c>
      <c r="AU67" s="433">
        <f>IS!AU8</f>
        <v>477</v>
      </c>
      <c r="AV67" s="431">
        <f>IS!AV8</f>
        <v>505.2</v>
      </c>
      <c r="AW67" s="432">
        <f>IS!AW8</f>
        <v>481</v>
      </c>
      <c r="AX67" s="432">
        <f>IS!AX8</f>
        <v>587</v>
      </c>
      <c r="AY67" s="433">
        <f>IS!AY8</f>
        <v>718.2</v>
      </c>
      <c r="AZ67" s="431">
        <f>IS!AZ8</f>
        <v>805.5</v>
      </c>
      <c r="BA67" s="432">
        <f>IS!BA8</f>
        <v>762.1</v>
      </c>
      <c r="BB67" s="432">
        <f>IS!BB8</f>
        <v>810</v>
      </c>
      <c r="BC67" s="433">
        <f>IS!BC8</f>
        <v>880.8</v>
      </c>
      <c r="BD67" s="431">
        <f>IS!BD8</f>
        <v>926.8</v>
      </c>
      <c r="BE67" s="432">
        <f>IS!BE8</f>
        <v>775.1</v>
      </c>
      <c r="BF67" s="432">
        <f>IS!BF8</f>
        <v>751.7</v>
      </c>
      <c r="BG67" s="432">
        <f>IS!BG8</f>
        <v>835.4</v>
      </c>
      <c r="BH67" s="431">
        <f>IS!BH8</f>
        <v>914.3</v>
      </c>
      <c r="BI67" s="432">
        <f>IS!BI8</f>
        <v>851.7</v>
      </c>
      <c r="BJ67" s="432">
        <f>IS!BJ8</f>
        <v>900.8</v>
      </c>
      <c r="BK67" s="433">
        <f>IS!BK8</f>
        <v>984.6</v>
      </c>
      <c r="BL67" s="432">
        <f>IS!BL8</f>
        <v>1051.9000000000001</v>
      </c>
      <c r="BM67" s="432">
        <f>IS!BM8</f>
        <v>902.71428250000008</v>
      </c>
      <c r="BN67" s="432">
        <f>IS!BN8</f>
        <v>868.11900083750015</v>
      </c>
      <c r="BO67" s="433">
        <f>IS!BO8</f>
        <v>1031.6292427112503</v>
      </c>
      <c r="BP67" s="432">
        <f>IS!BP8</f>
        <v>1074.111857351744</v>
      </c>
      <c r="BQ67" s="432">
        <f>IS!BQ8</f>
        <v>978.01908972602337</v>
      </c>
      <c r="BR67" s="432">
        <f>IS!BR8</f>
        <v>978.30933771510013</v>
      </c>
      <c r="BS67" s="433">
        <f>IS!BS8</f>
        <v>1052.3061280678833</v>
      </c>
      <c r="BT67" s="432">
        <f>IS!BT8</f>
        <v>1096.7076503445662</v>
      </c>
      <c r="BU67" s="432">
        <f>IS!BU8</f>
        <v>1037.134618439238</v>
      </c>
      <c r="BV67" s="432">
        <f>IS!BV8</f>
        <v>1050.6310512325501</v>
      </c>
      <c r="BW67" s="433">
        <f>IS!BW8</f>
        <v>1136.1113248292809</v>
      </c>
      <c r="BX67" s="104"/>
      <c r="BY67" s="432">
        <f>IS!BY8</f>
        <v>617.78899999999999</v>
      </c>
      <c r="BZ67" s="432">
        <f>IS!BZ8</f>
        <v>784.02299999999991</v>
      </c>
      <c r="CA67" s="432">
        <f>IS!CA8</f>
        <v>792.37099999999998</v>
      </c>
      <c r="CB67" s="432">
        <f>IS!CB8</f>
        <v>773.75</v>
      </c>
      <c r="CC67" s="432">
        <f>IS!CC8</f>
        <v>741.74399999999991</v>
      </c>
      <c r="CD67" s="432">
        <f>IS!CD8</f>
        <v>860.01700000000005</v>
      </c>
      <c r="CE67" s="432">
        <f>IS!CE8</f>
        <v>802.577</v>
      </c>
      <c r="CF67" s="432">
        <f>IS!CF8</f>
        <v>1071.8489999999999</v>
      </c>
      <c r="CG67" s="432">
        <f>IS!CG8</f>
        <v>1418.922</v>
      </c>
      <c r="CH67" s="432">
        <f>IS!CH8</f>
        <v>1568.5810000000001</v>
      </c>
      <c r="CI67" s="433">
        <f>IS!CI8</f>
        <v>1792.0230000000001</v>
      </c>
      <c r="CJ67" s="432">
        <f>IS!CJ8</f>
        <v>2291.4</v>
      </c>
      <c r="CK67" s="733">
        <f>IS!CK8</f>
        <v>3258.3999999999996</v>
      </c>
      <c r="CL67" s="733">
        <f>IS!CL8</f>
        <v>3289.0000000000005</v>
      </c>
      <c r="CM67" s="733">
        <f>IS!CM8</f>
        <v>3651.4</v>
      </c>
      <c r="CN67" s="733">
        <f>IS!CN8</f>
        <v>3854.3625260487506</v>
      </c>
      <c r="CO67" s="733">
        <f>IS!CO8</f>
        <v>4082.7464128607508</v>
      </c>
      <c r="CP67" s="733">
        <f>IS!CP8</f>
        <v>4320.5846448456359</v>
      </c>
      <c r="CQ67" s="104"/>
      <c r="CR67" s="422">
        <f>IS!CR8</f>
        <v>770.53600000000006</v>
      </c>
      <c r="CS67" s="422">
        <f>IS!CS8</f>
        <v>771.45499999999993</v>
      </c>
      <c r="CT67" s="422">
        <f>IS!CT8</f>
        <v>756.24699999999996</v>
      </c>
      <c r="CU67" s="422">
        <f>IS!CU8</f>
        <v>859.71199999999999</v>
      </c>
      <c r="CV67" s="422">
        <f>IS!CV8</f>
        <v>837.48699999999997</v>
      </c>
      <c r="CW67" s="422">
        <f>IS!CW8</f>
        <v>1161.8309999999999</v>
      </c>
      <c r="CX67" s="422">
        <f>IS!CX8</f>
        <v>1477.5419999999999</v>
      </c>
      <c r="CY67" s="422">
        <f>IS!CY8</f>
        <v>1628.5640000000001</v>
      </c>
      <c r="CZ67" s="422">
        <f>IS!CZ8</f>
        <v>1843.5</v>
      </c>
      <c r="DA67" s="733">
        <f>IS!DA8</f>
        <v>2591.6999999999998</v>
      </c>
      <c r="DB67" s="733">
        <f>IS!DB8</f>
        <v>3379.7</v>
      </c>
      <c r="DC67" s="733">
        <f>IS!DC8</f>
        <v>3276.5</v>
      </c>
      <c r="DD67" s="733">
        <f>IS!DD8</f>
        <v>3789</v>
      </c>
      <c r="DE67" s="733">
        <f>IS!DE8</f>
        <v>3876.5743834004943</v>
      </c>
      <c r="DF67" s="735">
        <f>IS!DF8</f>
        <v>4105.3422058535725</v>
      </c>
    </row>
    <row r="68" spans="2:113" ht="14.25">
      <c r="B68" s="118"/>
      <c r="CJ68" s="105"/>
      <c r="CK68" s="734"/>
      <c r="CL68" s="734"/>
      <c r="CM68" s="734"/>
      <c r="CN68" s="734"/>
      <c r="CO68" s="734"/>
      <c r="CP68" s="734"/>
      <c r="DA68" s="734"/>
      <c r="DB68" s="734"/>
      <c r="DC68" s="734"/>
      <c r="DD68" s="734"/>
      <c r="DE68" s="734"/>
      <c r="DF68" s="734"/>
    </row>
    <row r="69" spans="2:113" ht="15">
      <c r="B69" s="419" t="s">
        <v>268</v>
      </c>
      <c r="C69" s="421"/>
      <c r="D69" s="420" t="str">
        <f t="shared" ref="D69:X69" si="214">IF(ABS(D63-D67)&lt;1,"OK",D63-D67)</f>
        <v>OK</v>
      </c>
      <c r="E69" s="423" t="str">
        <f t="shared" si="214"/>
        <v>OK</v>
      </c>
      <c r="F69" s="423" t="str">
        <f t="shared" si="214"/>
        <v>OK</v>
      </c>
      <c r="G69" s="423" t="str">
        <f t="shared" si="214"/>
        <v>OK</v>
      </c>
      <c r="H69" s="420" t="str">
        <f t="shared" si="214"/>
        <v>OK</v>
      </c>
      <c r="I69" s="423" t="str">
        <f t="shared" si="214"/>
        <v>OK</v>
      </c>
      <c r="J69" s="423" t="str">
        <f t="shared" si="214"/>
        <v>OK</v>
      </c>
      <c r="K69" s="423" t="str">
        <f t="shared" si="214"/>
        <v>OK</v>
      </c>
      <c r="L69" s="420" t="str">
        <f t="shared" si="214"/>
        <v>OK</v>
      </c>
      <c r="M69" s="423" t="str">
        <f t="shared" si="214"/>
        <v>OK</v>
      </c>
      <c r="N69" s="423" t="str">
        <f t="shared" si="214"/>
        <v>OK</v>
      </c>
      <c r="O69" s="423" t="str">
        <f t="shared" si="214"/>
        <v>OK</v>
      </c>
      <c r="P69" s="420" t="str">
        <f t="shared" si="214"/>
        <v>OK</v>
      </c>
      <c r="Q69" s="423" t="str">
        <f t="shared" si="214"/>
        <v>OK</v>
      </c>
      <c r="R69" s="423" t="str">
        <f t="shared" si="214"/>
        <v>OK</v>
      </c>
      <c r="S69" s="423" t="str">
        <f t="shared" si="214"/>
        <v>OK</v>
      </c>
      <c r="T69" s="420" t="str">
        <f t="shared" si="214"/>
        <v>OK</v>
      </c>
      <c r="U69" s="423" t="str">
        <f t="shared" si="214"/>
        <v>OK</v>
      </c>
      <c r="V69" s="423" t="str">
        <f t="shared" si="214"/>
        <v>OK</v>
      </c>
      <c r="W69" s="423" t="str">
        <f t="shared" si="214"/>
        <v>OK</v>
      </c>
      <c r="X69" s="420" t="str">
        <f t="shared" si="214"/>
        <v>OK</v>
      </c>
      <c r="Y69" s="423" t="str">
        <f t="shared" ref="Y69:AE69" si="215">IF(ABS(Y63-Y67)&lt;1,"OK",Y63-Y67)</f>
        <v>OK</v>
      </c>
      <c r="Z69" s="423" t="str">
        <f t="shared" si="215"/>
        <v>OK</v>
      </c>
      <c r="AA69" s="423" t="str">
        <f t="shared" si="215"/>
        <v>OK</v>
      </c>
      <c r="AB69" s="420" t="str">
        <f t="shared" si="215"/>
        <v>OK</v>
      </c>
      <c r="AC69" s="423" t="str">
        <f t="shared" si="215"/>
        <v>OK</v>
      </c>
      <c r="AD69" s="423" t="str">
        <f t="shared" si="215"/>
        <v>OK</v>
      </c>
      <c r="AE69" s="424" t="str">
        <f t="shared" si="215"/>
        <v>OK</v>
      </c>
      <c r="AF69" s="447" t="str">
        <f>IF(ABS(AF63-AF67)&lt;1,"OK",AF63-AF67)</f>
        <v>OK</v>
      </c>
      <c r="AG69" s="448" t="str">
        <f t="shared" ref="AG69:AM69" si="216">IF(ABS(AG63-AG67)&lt;1,"OK",AG63-AG67)</f>
        <v>OK</v>
      </c>
      <c r="AH69" s="448" t="str">
        <f t="shared" si="216"/>
        <v>OK</v>
      </c>
      <c r="AI69" s="448" t="str">
        <f t="shared" si="216"/>
        <v>OK</v>
      </c>
      <c r="AJ69" s="447" t="str">
        <f t="shared" si="216"/>
        <v>OK</v>
      </c>
      <c r="AK69" s="448" t="str">
        <f t="shared" si="216"/>
        <v>OK</v>
      </c>
      <c r="AL69" s="448" t="str">
        <f t="shared" si="216"/>
        <v>OK</v>
      </c>
      <c r="AM69" s="449" t="str">
        <f t="shared" si="216"/>
        <v>OK</v>
      </c>
      <c r="AN69" s="447" t="str">
        <f t="shared" ref="AN69:BO69" si="217">IF(ABS(AN63-AN67)&lt;1,"OK",AN63-AN67)</f>
        <v>OK</v>
      </c>
      <c r="AO69" s="448" t="str">
        <f t="shared" si="217"/>
        <v>OK</v>
      </c>
      <c r="AP69" s="448" t="str">
        <f t="shared" si="217"/>
        <v>OK</v>
      </c>
      <c r="AQ69" s="448" t="str">
        <f t="shared" si="217"/>
        <v>OK</v>
      </c>
      <c r="AR69" s="447" t="str">
        <f t="shared" si="217"/>
        <v>OK</v>
      </c>
      <c r="AS69" s="448" t="str">
        <f t="shared" si="217"/>
        <v>OK</v>
      </c>
      <c r="AT69" s="448" t="str">
        <f t="shared" si="217"/>
        <v>OK</v>
      </c>
      <c r="AU69" s="448" t="str">
        <f t="shared" si="217"/>
        <v>OK</v>
      </c>
      <c r="AV69" s="447" t="str">
        <f t="shared" si="217"/>
        <v>OK</v>
      </c>
      <c r="AW69" s="448" t="str">
        <f t="shared" si="217"/>
        <v>OK</v>
      </c>
      <c r="AX69" s="448" t="str">
        <f t="shared" si="217"/>
        <v>OK</v>
      </c>
      <c r="AY69" s="448" t="str">
        <f t="shared" ref="AY69:BE69" si="218">IF(ABS(AY63-AY67)&lt;1,"OK",AY63-AY67)</f>
        <v>OK</v>
      </c>
      <c r="AZ69" s="447" t="str">
        <f t="shared" si="218"/>
        <v>OK</v>
      </c>
      <c r="BA69" s="448" t="str">
        <f t="shared" si="218"/>
        <v>OK</v>
      </c>
      <c r="BB69" s="448" t="str">
        <f t="shared" si="218"/>
        <v>OK</v>
      </c>
      <c r="BC69" s="448" t="str">
        <f t="shared" si="218"/>
        <v>OK</v>
      </c>
      <c r="BD69" s="447" t="str">
        <f t="shared" si="218"/>
        <v>OK</v>
      </c>
      <c r="BE69" s="448" t="str">
        <f t="shared" si="218"/>
        <v>OK</v>
      </c>
      <c r="BF69" s="448" t="str">
        <f t="shared" si="217"/>
        <v>OK</v>
      </c>
      <c r="BG69" s="448" t="str">
        <f t="shared" si="217"/>
        <v>OK</v>
      </c>
      <c r="BH69" s="447" t="str">
        <f>IF(ABS(BH63-BH67)&lt;1,"OK",BH63-BH67)</f>
        <v>OK</v>
      </c>
      <c r="BI69" s="448" t="str">
        <f>IF(ABS(BI63-BI67)&lt;1,"OK",BI63-BI67)</f>
        <v>OK</v>
      </c>
      <c r="BJ69" s="448" t="str">
        <f>IF(ABS(BJ63-BJ67)&lt;1,"OK",BJ63-BJ67)</f>
        <v>OK</v>
      </c>
      <c r="BK69" s="448" t="str">
        <f t="shared" ref="BK69" si="219">IF(ABS(BK63-BK67)&lt;1,"OK",BK63-BK67)</f>
        <v>OK</v>
      </c>
      <c r="BL69" s="447" t="str">
        <f t="shared" si="217"/>
        <v>OK</v>
      </c>
      <c r="BM69" s="448" t="str">
        <f>IF(ABS(BM63-BM67)&lt;1,"OK",BM63-BM67)</f>
        <v>OK</v>
      </c>
      <c r="BN69" s="448" t="str">
        <f t="shared" si="217"/>
        <v>OK</v>
      </c>
      <c r="BO69" s="448" t="str">
        <f t="shared" si="217"/>
        <v>OK</v>
      </c>
      <c r="BP69" s="447" t="str">
        <f t="shared" ref="BP69:BW69" si="220">IF(ABS(BP63-BP67)&lt;1,"OK",BP63-BP67)</f>
        <v>OK</v>
      </c>
      <c r="BQ69" s="448" t="str">
        <f t="shared" si="220"/>
        <v>OK</v>
      </c>
      <c r="BR69" s="448" t="str">
        <f t="shared" si="220"/>
        <v>OK</v>
      </c>
      <c r="BS69" s="448" t="str">
        <f t="shared" si="220"/>
        <v>OK</v>
      </c>
      <c r="BT69" s="447" t="str">
        <f t="shared" si="220"/>
        <v>OK</v>
      </c>
      <c r="BU69" s="448" t="str">
        <f t="shared" si="220"/>
        <v>OK</v>
      </c>
      <c r="BV69" s="448" t="str">
        <f t="shared" si="220"/>
        <v>OK</v>
      </c>
      <c r="BW69" s="448" t="str">
        <f t="shared" si="220"/>
        <v>OK</v>
      </c>
      <c r="BX69" s="104"/>
      <c r="BY69" s="446" t="str">
        <f>IF(ABS(BY63-BY67)&lt;1,"OK",BY63-BY67)</f>
        <v>OK</v>
      </c>
      <c r="BZ69" s="446" t="str">
        <f>IF(ABS(BZ63-BZ67)&lt;1,"OK",BZ63-BZ67)</f>
        <v>OK</v>
      </c>
      <c r="CA69" s="446" t="str">
        <f>IF(ABS(CA63-CA67)&lt;1,"OK",CA63-CA67)</f>
        <v>OK</v>
      </c>
      <c r="CB69" s="446" t="str">
        <f>IF(ABS(CB63-CB67)&lt;1,"OK",CB63-CB67)</f>
        <v>OK</v>
      </c>
      <c r="CC69" s="446" t="str">
        <f>IF(ABS(CC63-CC67)&lt;1,"OK",CC63-CC67)</f>
        <v>OK</v>
      </c>
      <c r="CD69" s="446" t="str">
        <f t="shared" ref="CD69:CI69" si="221">IF(ABS(CD63-CD67)&lt;1,"OK",CD63-CD67)</f>
        <v>OK</v>
      </c>
      <c r="CE69" s="446" t="str">
        <f t="shared" si="221"/>
        <v>OK</v>
      </c>
      <c r="CF69" s="446" t="str">
        <f t="shared" si="221"/>
        <v>OK</v>
      </c>
      <c r="CG69" s="446" t="str">
        <f t="shared" si="221"/>
        <v>OK</v>
      </c>
      <c r="CH69" s="446" t="str">
        <f t="shared" si="221"/>
        <v>OK</v>
      </c>
      <c r="CI69" s="424" t="str">
        <f t="shared" si="221"/>
        <v>OK</v>
      </c>
      <c r="CJ69" s="446" t="str">
        <f t="shared" ref="CJ69:CO69" si="222">IF(ABS(CJ63-CJ67)&lt;1,"OK",CJ63-CJ67)</f>
        <v>OK</v>
      </c>
      <c r="CK69" s="736" t="str">
        <f t="shared" si="222"/>
        <v>OK</v>
      </c>
      <c r="CL69" s="736" t="str">
        <f t="shared" si="222"/>
        <v>OK</v>
      </c>
      <c r="CM69" s="736" t="str">
        <f t="shared" si="222"/>
        <v>OK</v>
      </c>
      <c r="CN69" s="736" t="str">
        <f t="shared" si="222"/>
        <v>OK</v>
      </c>
      <c r="CO69" s="736" t="str">
        <f t="shared" si="222"/>
        <v>OK</v>
      </c>
      <c r="CP69" s="736" t="str">
        <f t="shared" ref="CP69" si="223">IF(ABS(CP63-CP67)&lt;1,"OK",CP63-CP67)</f>
        <v>OK</v>
      </c>
      <c r="CQ69" s="104"/>
      <c r="CR69" s="423" t="str">
        <f>IF(ABS(CR63-CR67)&lt;1,"OK",CR63-CR67)</f>
        <v>OK</v>
      </c>
      <c r="CS69" s="423" t="str">
        <f>IF(ABS(CS63-CS67)&lt;1,"OK",CS63-CS67)</f>
        <v>OK</v>
      </c>
      <c r="CT69" s="423" t="str">
        <f>IF(ABS(CT63-CT67)&lt;1,"OK",CT63-CT67)</f>
        <v>OK</v>
      </c>
      <c r="CU69" s="423" t="str">
        <f t="shared" ref="CU69:DD69" si="224">IF(ABS(CU63-CU67)&lt;1,"OK",CU63-CU67)</f>
        <v>OK</v>
      </c>
      <c r="CV69" s="423" t="str">
        <f t="shared" si="224"/>
        <v>OK</v>
      </c>
      <c r="CW69" s="423" t="str">
        <f t="shared" si="224"/>
        <v>OK</v>
      </c>
      <c r="CX69" s="423" t="str">
        <f t="shared" si="224"/>
        <v>OK</v>
      </c>
      <c r="CY69" s="423" t="str">
        <f t="shared" si="224"/>
        <v>OK</v>
      </c>
      <c r="CZ69" s="423" t="str">
        <f t="shared" si="224"/>
        <v>OK</v>
      </c>
      <c r="DA69" s="736" t="str">
        <f t="shared" si="224"/>
        <v>OK</v>
      </c>
      <c r="DB69" s="736" t="str">
        <f t="shared" si="224"/>
        <v>OK</v>
      </c>
      <c r="DC69" s="736" t="str">
        <f t="shared" si="224"/>
        <v>OK</v>
      </c>
      <c r="DD69" s="736" t="str">
        <f t="shared" si="224"/>
        <v>OK</v>
      </c>
      <c r="DE69" s="736" t="str">
        <f>IF(ABS(DE63-DE67)&lt;1,"OK",DE63-DE67)</f>
        <v>OK</v>
      </c>
      <c r="DF69" s="737" t="str">
        <f>IF(ABS(DF63-DF67)&lt;1,"OK",DF63-DF67)</f>
        <v>OK</v>
      </c>
    </row>
    <row r="70" spans="2:113" ht="15">
      <c r="B70" s="583"/>
      <c r="C70" s="105"/>
      <c r="D70" s="423"/>
      <c r="E70" s="423"/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673"/>
      <c r="S70" s="673"/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2"/>
      <c r="AG70" s="672"/>
      <c r="AH70" s="672"/>
      <c r="AI70" s="672"/>
      <c r="AJ70" s="672"/>
      <c r="AK70" s="672"/>
      <c r="AL70" s="672"/>
      <c r="AM70" s="672"/>
      <c r="AN70" s="672"/>
      <c r="AO70" s="672"/>
      <c r="AP70" s="672"/>
      <c r="AQ70" s="672"/>
      <c r="AR70" s="672"/>
      <c r="AS70" s="672"/>
      <c r="AT70" s="672"/>
      <c r="AU70" s="672"/>
      <c r="AV70" s="672"/>
      <c r="AW70" s="672"/>
      <c r="AX70" s="672"/>
      <c r="AY70" s="672"/>
      <c r="AZ70" s="672"/>
      <c r="BA70" s="672"/>
      <c r="BB70" s="672"/>
      <c r="BC70" s="672"/>
      <c r="BD70" s="672"/>
      <c r="BE70" s="672"/>
      <c r="BF70" s="672"/>
      <c r="BG70" s="672"/>
      <c r="BH70" s="672"/>
      <c r="BI70" s="672"/>
      <c r="BJ70" s="672"/>
      <c r="BK70" s="672"/>
      <c r="BL70" s="672"/>
      <c r="BM70" s="672"/>
      <c r="BN70" s="672"/>
      <c r="BO70" s="672"/>
      <c r="BP70" s="672"/>
      <c r="BQ70" s="672"/>
      <c r="BR70" s="672"/>
      <c r="BS70" s="672"/>
      <c r="BT70" s="672"/>
      <c r="BU70" s="672"/>
      <c r="BV70" s="672"/>
      <c r="BW70" s="672"/>
      <c r="BX70" s="105"/>
      <c r="BY70" s="446"/>
      <c r="BZ70" s="446"/>
      <c r="CA70" s="446"/>
      <c r="CB70" s="446"/>
      <c r="CC70" s="446"/>
      <c r="CD70" s="446"/>
      <c r="CE70" s="446"/>
      <c r="CF70" s="446"/>
      <c r="CG70" s="446"/>
      <c r="CH70" s="446"/>
      <c r="CI70" s="423"/>
      <c r="CJ70" s="423"/>
      <c r="CK70" s="423"/>
      <c r="CL70" s="423"/>
      <c r="CM70" s="423"/>
      <c r="CN70" s="423"/>
      <c r="CO70" s="423"/>
      <c r="CP70" s="423"/>
      <c r="CQ70" s="105"/>
      <c r="CR70" s="105"/>
      <c r="CS70" s="105"/>
      <c r="CT70" s="105"/>
      <c r="CU70" s="641"/>
      <c r="CV70" s="641"/>
      <c r="CW70" s="641"/>
      <c r="CX70" s="641"/>
      <c r="CY70" s="641"/>
      <c r="CZ70" s="641"/>
      <c r="DA70" s="641"/>
      <c r="DB70" s="641"/>
      <c r="DC70" s="641"/>
      <c r="DD70" s="641"/>
      <c r="DE70" s="641"/>
      <c r="DF70" s="641"/>
    </row>
    <row r="71" spans="2:113" ht="15">
      <c r="B71" s="654" t="s">
        <v>394</v>
      </c>
      <c r="C71" s="655"/>
      <c r="D71" s="683"/>
      <c r="E71" s="684"/>
      <c r="F71" s="684"/>
      <c r="G71" s="765"/>
      <c r="H71" s="684"/>
      <c r="I71" s="684"/>
      <c r="J71" s="684"/>
      <c r="K71" s="765"/>
      <c r="L71" s="684"/>
      <c r="M71" s="684"/>
      <c r="N71" s="684"/>
      <c r="O71" s="765"/>
      <c r="P71" s="684"/>
      <c r="Q71" s="684"/>
      <c r="R71" s="684"/>
      <c r="S71" s="765"/>
      <c r="T71" s="684"/>
      <c r="U71" s="684"/>
      <c r="V71" s="684"/>
      <c r="W71" s="765"/>
      <c r="X71" s="684"/>
      <c r="Y71" s="684"/>
      <c r="Z71" s="684"/>
      <c r="AA71" s="765"/>
      <c r="AB71" s="684"/>
      <c r="AC71" s="684"/>
      <c r="AD71" s="684"/>
      <c r="AE71" s="684"/>
      <c r="AF71" s="680"/>
      <c r="AG71" s="680"/>
      <c r="AH71" s="680"/>
      <c r="AI71" s="680"/>
      <c r="AJ71" s="680"/>
      <c r="AK71" s="680"/>
      <c r="AL71" s="680"/>
      <c r="AM71" s="680"/>
      <c r="AN71" s="680"/>
      <c r="AO71" s="680"/>
      <c r="AP71" s="680"/>
      <c r="AQ71" s="680"/>
      <c r="AR71" s="680"/>
      <c r="AS71" s="681"/>
      <c r="AT71" s="681"/>
      <c r="AU71" s="681"/>
      <c r="AV71" s="681"/>
      <c r="AW71" s="681"/>
      <c r="AX71" s="681"/>
      <c r="AY71" s="681"/>
      <c r="AZ71" s="681"/>
      <c r="BA71" s="681"/>
      <c r="BB71" s="681"/>
      <c r="BC71" s="681"/>
      <c r="BD71" s="681"/>
      <c r="BE71" s="681"/>
      <c r="BF71" s="681"/>
      <c r="BG71" s="681"/>
      <c r="BH71" s="681"/>
      <c r="BI71" s="681"/>
      <c r="BJ71" s="681"/>
      <c r="BK71" s="681"/>
      <c r="BL71" s="681"/>
      <c r="BM71" s="681"/>
      <c r="BN71" s="681"/>
      <c r="BO71" s="682"/>
      <c r="BP71" s="681"/>
      <c r="BQ71" s="681"/>
      <c r="BR71" s="681"/>
      <c r="BS71" s="682"/>
      <c r="BT71" s="681"/>
      <c r="BU71" s="681"/>
      <c r="BV71" s="681"/>
      <c r="BW71" s="682"/>
      <c r="BX71" s="104"/>
      <c r="BY71" s="681"/>
      <c r="BZ71" s="681"/>
      <c r="CA71" s="681"/>
      <c r="CB71" s="681"/>
      <c r="CC71" s="681"/>
      <c r="CD71" s="681"/>
      <c r="CE71" s="681"/>
      <c r="CF71" s="681"/>
      <c r="CG71" s="681"/>
      <c r="CH71" s="681"/>
      <c r="CI71" s="681"/>
      <c r="CJ71" s="681"/>
      <c r="CK71" s="681"/>
      <c r="CL71" s="681"/>
      <c r="CM71" s="681"/>
      <c r="CN71" s="681"/>
      <c r="CO71" s="681"/>
      <c r="CP71" s="681"/>
      <c r="CQ71" s="509"/>
      <c r="CR71" s="105"/>
      <c r="CS71" s="105"/>
      <c r="CT71" s="105"/>
      <c r="CU71" s="641"/>
      <c r="CV71" s="641"/>
      <c r="CW71" s="641"/>
      <c r="CX71" s="641"/>
      <c r="CY71" s="641"/>
      <c r="CZ71" s="641"/>
      <c r="DA71" s="641"/>
      <c r="DB71" s="641"/>
      <c r="DC71" s="641"/>
      <c r="DD71" s="641"/>
      <c r="DE71" s="641"/>
      <c r="DF71" s="641"/>
      <c r="DG71" s="105"/>
      <c r="DH71" s="105"/>
      <c r="DI71" s="105"/>
    </row>
    <row r="72" spans="2:113" ht="15">
      <c r="B72" s="678"/>
      <c r="C72" s="679"/>
      <c r="D72" s="673"/>
      <c r="E72" s="673"/>
      <c r="F72" s="673"/>
      <c r="G72" s="766"/>
      <c r="H72" s="673"/>
      <c r="I72" s="673"/>
      <c r="J72" s="673"/>
      <c r="K72" s="766"/>
      <c r="L72" s="673"/>
      <c r="M72" s="673"/>
      <c r="N72" s="673"/>
      <c r="O72" s="766"/>
      <c r="P72" s="673"/>
      <c r="Q72" s="673"/>
      <c r="R72" s="673"/>
      <c r="S72" s="766"/>
      <c r="T72" s="673"/>
      <c r="U72" s="673"/>
      <c r="V72" s="673"/>
      <c r="W72" s="766"/>
      <c r="X72" s="673"/>
      <c r="Y72" s="673"/>
      <c r="Z72" s="673"/>
      <c r="AA72" s="766"/>
      <c r="AB72" s="673"/>
      <c r="AC72" s="673"/>
      <c r="AD72" s="673"/>
      <c r="AE72" s="673"/>
      <c r="AF72" s="672"/>
      <c r="AG72" s="672"/>
      <c r="AH72" s="672"/>
      <c r="AI72" s="672"/>
      <c r="AJ72" s="672"/>
      <c r="AK72" s="672"/>
      <c r="AL72" s="672"/>
      <c r="AM72" s="672"/>
      <c r="AN72" s="672"/>
      <c r="AO72" s="672"/>
      <c r="AP72" s="672"/>
      <c r="AQ72" s="672"/>
      <c r="AR72" s="672"/>
      <c r="AS72" s="672"/>
      <c r="AT72" s="672"/>
      <c r="AU72" s="672"/>
      <c r="AV72" s="672"/>
      <c r="AW72" s="672"/>
      <c r="AX72" s="672"/>
      <c r="AY72" s="672"/>
      <c r="AZ72" s="672"/>
      <c r="BA72" s="672"/>
      <c r="BB72" s="672"/>
      <c r="BC72" s="672"/>
      <c r="BD72" s="672"/>
      <c r="BE72" s="672"/>
      <c r="BF72" s="672"/>
      <c r="BG72" s="672"/>
      <c r="BH72" s="672"/>
      <c r="BI72" s="672"/>
      <c r="BJ72" s="672"/>
      <c r="BK72" s="672"/>
      <c r="BL72" s="448"/>
      <c r="BM72" s="448"/>
      <c r="BN72" s="448"/>
      <c r="BO72" s="449"/>
      <c r="BP72" s="448"/>
      <c r="BQ72" s="448"/>
      <c r="BR72" s="448"/>
      <c r="BS72" s="449"/>
      <c r="BT72" s="448"/>
      <c r="BU72" s="448"/>
      <c r="BV72" s="448"/>
      <c r="BW72" s="449"/>
      <c r="BX72" s="104"/>
      <c r="BY72" s="448"/>
      <c r="BZ72" s="448"/>
      <c r="CA72" s="448"/>
      <c r="CB72" s="448"/>
      <c r="CC72" s="448"/>
      <c r="CD72" s="448"/>
      <c r="CE72" s="448"/>
      <c r="CF72" s="448"/>
      <c r="CG72" s="448"/>
      <c r="CH72" s="448"/>
      <c r="CI72" s="448"/>
      <c r="CJ72" s="448"/>
      <c r="CK72" s="448"/>
      <c r="CL72" s="448"/>
      <c r="CM72" s="448"/>
      <c r="CN72" s="448"/>
      <c r="CO72" s="448"/>
      <c r="CP72" s="448"/>
      <c r="CQ72" s="509"/>
      <c r="CR72" s="105"/>
      <c r="CS72" s="105"/>
      <c r="CT72" s="105"/>
      <c r="CU72" s="641"/>
      <c r="CV72" s="641"/>
      <c r="CW72" s="641"/>
      <c r="CX72" s="641"/>
      <c r="CY72" s="641"/>
      <c r="CZ72" s="641"/>
      <c r="DA72" s="641"/>
      <c r="DB72" s="641"/>
      <c r="DC72" s="641"/>
      <c r="DD72" s="641"/>
      <c r="DE72" s="641"/>
      <c r="DF72" s="641"/>
      <c r="DG72" s="105"/>
      <c r="DH72" s="105"/>
      <c r="DI72" s="105"/>
    </row>
    <row r="73" spans="2:113" ht="15">
      <c r="B73" s="645" t="s">
        <v>10</v>
      </c>
      <c r="C73" s="646"/>
      <c r="D73" s="641"/>
      <c r="E73" s="641"/>
      <c r="F73" s="641"/>
      <c r="G73" s="767"/>
      <c r="H73" s="641"/>
      <c r="I73" s="641"/>
      <c r="J73" s="641"/>
      <c r="K73" s="767"/>
      <c r="L73" s="641"/>
      <c r="M73" s="641"/>
      <c r="N73" s="641"/>
      <c r="O73" s="767"/>
      <c r="P73" s="641"/>
      <c r="Q73" s="641"/>
      <c r="R73" s="641"/>
      <c r="S73" s="767"/>
      <c r="T73" s="641"/>
      <c r="U73" s="641"/>
      <c r="V73" s="641"/>
      <c r="W73" s="767"/>
      <c r="X73" s="641"/>
      <c r="Y73" s="641"/>
      <c r="Z73" s="641"/>
      <c r="AA73" s="767"/>
      <c r="AB73" s="641"/>
      <c r="AC73" s="641"/>
      <c r="AD73" s="641"/>
      <c r="AE73" s="641"/>
      <c r="AF73" s="642"/>
      <c r="AG73" s="642"/>
      <c r="AH73" s="642"/>
      <c r="AI73" s="642"/>
      <c r="AJ73" s="642"/>
      <c r="AK73" s="642"/>
      <c r="AL73" s="642"/>
      <c r="AM73" s="642"/>
      <c r="AN73" s="642"/>
      <c r="AO73" s="642"/>
      <c r="AP73" s="642"/>
      <c r="AQ73" s="642"/>
      <c r="AU73" s="8"/>
      <c r="AV73" s="656">
        <f>IS!AV14</f>
        <v>283.2</v>
      </c>
      <c r="AW73" s="656">
        <f>IS!AW14</f>
        <v>268.60000000000002</v>
      </c>
      <c r="AX73" s="656">
        <f>IS!AX14</f>
        <v>322.8</v>
      </c>
      <c r="AY73" s="657">
        <f>IS!AY14</f>
        <v>394.2</v>
      </c>
      <c r="AZ73" s="656">
        <f>IS!AZ14</f>
        <v>432.5</v>
      </c>
      <c r="BA73" s="656">
        <f>IS!BA14</f>
        <v>409.9</v>
      </c>
      <c r="BB73" s="656">
        <f>IS!BB14</f>
        <v>416.9</v>
      </c>
      <c r="BC73" s="657">
        <f>IS!BC14</f>
        <v>444.6</v>
      </c>
      <c r="BD73" s="656">
        <f>IS!BD14</f>
        <v>454.7</v>
      </c>
      <c r="BE73" s="656">
        <f>IS!BE14</f>
        <v>384.7</v>
      </c>
      <c r="BF73" s="656">
        <f>IS!BF14</f>
        <v>373.4</v>
      </c>
      <c r="BG73" s="657">
        <f>IS!BG14</f>
        <v>411</v>
      </c>
      <c r="BH73" s="656">
        <f>IS!BH14</f>
        <v>450.4</v>
      </c>
      <c r="BI73" s="656">
        <f>IS!BI14</f>
        <v>426.3</v>
      </c>
      <c r="BJ73" s="656">
        <f>IS!BJ14</f>
        <v>447.2</v>
      </c>
      <c r="BK73" s="657">
        <f>IS!BK14</f>
        <v>485.7</v>
      </c>
      <c r="BL73" s="586">
        <f t="shared" ref="BL73:BO73" si="225">+BL63-BL81</f>
        <v>515.1</v>
      </c>
      <c r="BM73" s="586">
        <f t="shared" si="225"/>
        <v>444.541512985</v>
      </c>
      <c r="BN73" s="586">
        <f t="shared" si="225"/>
        <v>426.16675653290008</v>
      </c>
      <c r="BO73" s="587">
        <f t="shared" si="225"/>
        <v>506.11961399298275</v>
      </c>
      <c r="BP73" s="586">
        <f t="shared" ref="BP73:BW73" si="226">+BP63-BP81</f>
        <v>526.81568273969037</v>
      </c>
      <c r="BQ73" s="586">
        <f t="shared" si="226"/>
        <v>480.8846055929971</v>
      </c>
      <c r="BR73" s="586">
        <f t="shared" si="226"/>
        <v>480.50486066939754</v>
      </c>
      <c r="BS73" s="587">
        <f t="shared" si="226"/>
        <v>515.60178914862331</v>
      </c>
      <c r="BT73" s="586">
        <f t="shared" si="226"/>
        <v>537.66635479954323</v>
      </c>
      <c r="BU73" s="586">
        <f t="shared" si="226"/>
        <v>508.33948579473679</v>
      </c>
      <c r="BV73" s="586">
        <f t="shared" si="226"/>
        <v>514.4667440276985</v>
      </c>
      <c r="BW73" s="587">
        <f t="shared" si="226"/>
        <v>556.5845377435121</v>
      </c>
      <c r="BX73" s="104"/>
      <c r="BY73" s="586">
        <f>+BY63-BY81</f>
        <v>617.78899999999999</v>
      </c>
      <c r="BZ73" s="586">
        <f>+BZ63-BZ81</f>
        <v>784.02299999999991</v>
      </c>
      <c r="CA73" s="586">
        <f>+CA63-CA81</f>
        <v>792.37099999999998</v>
      </c>
      <c r="CB73" s="586">
        <f>+CB63-CB81</f>
        <v>773.75</v>
      </c>
      <c r="CC73" s="586">
        <f>+CC63-CC81</f>
        <v>741.74399999999991</v>
      </c>
      <c r="CD73" s="586">
        <f t="shared" ref="CD73:CN73" si="227">+CD63-CD81</f>
        <v>860.01700000000005</v>
      </c>
      <c r="CE73" s="586">
        <f t="shared" si="227"/>
        <v>802.577</v>
      </c>
      <c r="CF73" s="586">
        <f t="shared" si="227"/>
        <v>1071.8489999999999</v>
      </c>
      <c r="CG73" s="586">
        <f t="shared" si="227"/>
        <v>1418.922</v>
      </c>
      <c r="CH73" s="586">
        <f t="shared" si="227"/>
        <v>1568.5810000000001</v>
      </c>
      <c r="CI73" s="383">
        <f t="shared" si="227"/>
        <v>1792.0230000000001</v>
      </c>
      <c r="CJ73" s="586">
        <f t="shared" si="227"/>
        <v>1268.8</v>
      </c>
      <c r="CK73" s="586">
        <f t="shared" si="227"/>
        <v>1703.9</v>
      </c>
      <c r="CL73" s="586">
        <f t="shared" si="227"/>
        <v>1623.7999999999997</v>
      </c>
      <c r="CM73" s="586">
        <f t="shared" si="227"/>
        <v>1809.5999999999997</v>
      </c>
      <c r="CN73" s="586">
        <f t="shared" si="227"/>
        <v>1891.9278835108821</v>
      </c>
      <c r="CO73" s="586">
        <f>+CO63-CO81</f>
        <v>2003.8069381507084</v>
      </c>
      <c r="CP73" s="586">
        <f>+CP63-CP81</f>
        <v>2117.0571223654906</v>
      </c>
      <c r="CQ73" s="509"/>
      <c r="CR73" s="105"/>
      <c r="CS73" s="105"/>
      <c r="CT73" s="105"/>
      <c r="CU73" s="641"/>
      <c r="CV73" s="641"/>
      <c r="CW73" s="641"/>
      <c r="CX73" s="641"/>
      <c r="CY73" s="641"/>
      <c r="CZ73" s="641"/>
      <c r="DA73" s="641"/>
      <c r="DB73" s="641"/>
      <c r="DC73" s="641"/>
      <c r="DD73" s="641"/>
      <c r="DE73" s="641"/>
      <c r="DF73" s="641"/>
    </row>
    <row r="74" spans="2:113" ht="15">
      <c r="B74" s="647"/>
      <c r="C74" s="644"/>
      <c r="D74" s="641"/>
      <c r="E74" s="641"/>
      <c r="F74" s="641"/>
      <c r="G74" s="767"/>
      <c r="H74" s="641"/>
      <c r="I74" s="641"/>
      <c r="J74" s="641"/>
      <c r="K74" s="767"/>
      <c r="L74" s="641"/>
      <c r="M74" s="641"/>
      <c r="N74" s="641"/>
      <c r="O74" s="767"/>
      <c r="P74" s="641"/>
      <c r="Q74" s="641"/>
      <c r="R74" s="641"/>
      <c r="S74" s="767"/>
      <c r="T74" s="641"/>
      <c r="U74" s="641"/>
      <c r="V74" s="641"/>
      <c r="W74" s="767"/>
      <c r="X74" s="641"/>
      <c r="Y74" s="641"/>
      <c r="Z74" s="641"/>
      <c r="AA74" s="767"/>
      <c r="AB74" s="641"/>
      <c r="AC74" s="641"/>
      <c r="AD74" s="641"/>
      <c r="AE74" s="641"/>
      <c r="AF74" s="642"/>
      <c r="AG74" s="642"/>
      <c r="AH74" s="642"/>
      <c r="AI74" s="642"/>
      <c r="AJ74" s="642"/>
      <c r="AK74" s="642"/>
      <c r="AL74" s="642"/>
      <c r="AM74" s="642"/>
      <c r="AN74" s="642"/>
      <c r="AO74" s="642"/>
      <c r="AP74" s="642"/>
      <c r="AQ74" s="642"/>
      <c r="AU74" s="15"/>
      <c r="AV74" s="310"/>
      <c r="AW74" s="310"/>
      <c r="AX74" s="310"/>
      <c r="AY74" s="311"/>
      <c r="AZ74" s="310"/>
      <c r="BA74" s="310"/>
      <c r="BB74" s="310"/>
      <c r="BC74" s="311"/>
      <c r="BD74" s="310"/>
      <c r="BE74" s="310"/>
      <c r="BF74" s="310"/>
      <c r="BG74" s="311"/>
      <c r="BH74" s="310"/>
      <c r="BI74" s="310"/>
      <c r="BJ74" s="310"/>
      <c r="BK74" s="311"/>
      <c r="BL74" s="310"/>
      <c r="BM74" s="310"/>
      <c r="BN74" s="310"/>
      <c r="BO74" s="311"/>
      <c r="BP74" s="310"/>
      <c r="BQ74" s="310"/>
      <c r="BR74" s="310"/>
      <c r="BS74" s="311"/>
      <c r="BT74" s="310"/>
      <c r="BU74" s="310"/>
      <c r="BV74" s="310"/>
      <c r="BW74" s="311"/>
      <c r="BX74" s="104"/>
      <c r="BY74" s="310"/>
      <c r="BZ74" s="310"/>
      <c r="CA74" s="310"/>
      <c r="CB74" s="310"/>
      <c r="CC74" s="310"/>
      <c r="CD74" s="310"/>
      <c r="CE74" s="310"/>
      <c r="CF74" s="310"/>
      <c r="CG74" s="310"/>
      <c r="CH74" s="310"/>
      <c r="CI74" s="311"/>
      <c r="CJ74" s="310"/>
      <c r="CK74" s="310"/>
      <c r="CL74" s="310"/>
      <c r="CM74" s="310"/>
      <c r="CN74" s="310"/>
      <c r="CO74" s="310"/>
      <c r="CP74" s="310"/>
      <c r="CQ74" s="509"/>
      <c r="CR74" s="105"/>
      <c r="CS74" s="105"/>
      <c r="CT74" s="105"/>
      <c r="CU74" s="641"/>
      <c r="CV74" s="641"/>
      <c r="CW74" s="641"/>
      <c r="CX74" s="641"/>
      <c r="CY74" s="641"/>
      <c r="CZ74" s="641"/>
      <c r="DA74" s="641"/>
      <c r="DB74" s="641"/>
      <c r="DC74" s="641"/>
      <c r="DD74" s="641"/>
      <c r="DE74" s="641"/>
      <c r="DF74" s="641"/>
    </row>
    <row r="75" spans="2:113" ht="15">
      <c r="B75" s="648" t="s">
        <v>395</v>
      </c>
      <c r="C75" s="644"/>
      <c r="D75" s="641"/>
      <c r="E75" s="641"/>
      <c r="F75" s="641"/>
      <c r="G75" s="767"/>
      <c r="H75" s="641"/>
      <c r="I75" s="641"/>
      <c r="J75" s="641"/>
      <c r="K75" s="767"/>
      <c r="L75" s="641"/>
      <c r="M75" s="641"/>
      <c r="N75" s="641"/>
      <c r="O75" s="767"/>
      <c r="P75" s="641"/>
      <c r="Q75" s="641"/>
      <c r="R75" s="641"/>
      <c r="S75" s="767"/>
      <c r="T75" s="641"/>
      <c r="U75" s="641"/>
      <c r="V75" s="641"/>
      <c r="W75" s="767"/>
      <c r="X75" s="641"/>
      <c r="Y75" s="641"/>
      <c r="Z75" s="641"/>
      <c r="AA75" s="767"/>
      <c r="AB75" s="641"/>
      <c r="AC75" s="641"/>
      <c r="AD75" s="641"/>
      <c r="AE75" s="641"/>
      <c r="AF75" s="642"/>
      <c r="AG75" s="642"/>
      <c r="AH75" s="642"/>
      <c r="AI75" s="642"/>
      <c r="AJ75" s="642"/>
      <c r="AK75" s="642"/>
      <c r="AL75" s="642"/>
      <c r="AM75" s="642"/>
      <c r="AN75" s="642"/>
      <c r="AO75" s="642"/>
      <c r="AP75" s="642"/>
      <c r="AQ75" s="642"/>
      <c r="AU75" s="15"/>
      <c r="AV75" s="310"/>
      <c r="AW75" s="310"/>
      <c r="AX75" s="310"/>
      <c r="AY75" s="311"/>
      <c r="AZ75" s="310"/>
      <c r="BA75" s="310"/>
      <c r="BB75" s="310"/>
      <c r="BC75" s="311"/>
      <c r="BD75" s="310"/>
      <c r="BE75" s="310"/>
      <c r="BF75" s="310"/>
      <c r="BG75" s="311"/>
      <c r="BH75" s="310"/>
      <c r="BI75" s="310"/>
      <c r="BJ75" s="310"/>
      <c r="BK75" s="311"/>
      <c r="BL75" s="310"/>
      <c r="BM75" s="310"/>
      <c r="BN75" s="310"/>
      <c r="BO75" s="311"/>
      <c r="BP75" s="310"/>
      <c r="BQ75" s="310"/>
      <c r="BR75" s="310"/>
      <c r="BS75" s="311"/>
      <c r="BT75" s="310"/>
      <c r="BU75" s="310"/>
      <c r="BV75" s="310"/>
      <c r="BW75" s="311"/>
      <c r="BX75" s="104"/>
      <c r="BY75" s="310"/>
      <c r="BZ75" s="310"/>
      <c r="CA75" s="310"/>
      <c r="CB75" s="310"/>
      <c r="CC75" s="310"/>
      <c r="CD75" s="310"/>
      <c r="CE75" s="310"/>
      <c r="CF75" s="310"/>
      <c r="CG75" s="310"/>
      <c r="CH75" s="310"/>
      <c r="CI75" s="311"/>
      <c r="CJ75" s="310"/>
      <c r="CK75" s="310"/>
      <c r="CL75" s="310"/>
      <c r="CM75" s="310"/>
      <c r="CN75" s="310"/>
      <c r="CO75" s="310"/>
      <c r="CP75" s="310"/>
      <c r="CQ75" s="509"/>
      <c r="CR75" s="105"/>
      <c r="CS75" s="105"/>
      <c r="CT75" s="105"/>
      <c r="CU75" s="641"/>
      <c r="CV75" s="641"/>
      <c r="CW75" s="641"/>
      <c r="CX75" s="641"/>
      <c r="CY75" s="641"/>
      <c r="CZ75" s="641"/>
      <c r="DA75" s="641"/>
      <c r="DB75" s="641"/>
      <c r="DC75" s="641"/>
      <c r="DD75" s="641"/>
      <c r="DE75" s="641"/>
      <c r="DF75" s="641"/>
    </row>
    <row r="76" spans="2:113" ht="15">
      <c r="B76" s="649" t="s">
        <v>396</v>
      </c>
      <c r="C76" s="644"/>
      <c r="D76" s="641"/>
      <c r="E76" s="641"/>
      <c r="F76" s="641"/>
      <c r="G76" s="767"/>
      <c r="H76" s="641"/>
      <c r="I76" s="641"/>
      <c r="J76" s="641"/>
      <c r="K76" s="767"/>
      <c r="L76" s="641"/>
      <c r="M76" s="641"/>
      <c r="N76" s="641"/>
      <c r="O76" s="767"/>
      <c r="P76" s="641"/>
      <c r="Q76" s="641"/>
      <c r="R76" s="641"/>
      <c r="S76" s="767"/>
      <c r="T76" s="641"/>
      <c r="U76" s="641"/>
      <c r="V76" s="641"/>
      <c r="W76" s="767"/>
      <c r="X76" s="641"/>
      <c r="Y76" s="641"/>
      <c r="Z76" s="641"/>
      <c r="AA76" s="767"/>
      <c r="AB76" s="641"/>
      <c r="AC76" s="641"/>
      <c r="AD76" s="641"/>
      <c r="AE76" s="641"/>
      <c r="AF76" s="642"/>
      <c r="AG76" s="642"/>
      <c r="AH76" s="642"/>
      <c r="AI76" s="642"/>
      <c r="AJ76" s="642"/>
      <c r="AK76" s="642"/>
      <c r="AL76" s="642"/>
      <c r="AM76" s="642"/>
      <c r="AN76" s="642"/>
      <c r="AO76" s="642"/>
      <c r="AP76" s="642"/>
      <c r="AQ76" s="642"/>
      <c r="AU76" s="15"/>
      <c r="AV76" s="658">
        <f>AV77*AV63</f>
        <v>0</v>
      </c>
      <c r="AW76" s="658">
        <f t="shared" ref="AW76:BO76" si="228">AW77*AW63</f>
        <v>0</v>
      </c>
      <c r="AX76" s="658">
        <f t="shared" si="228"/>
        <v>0</v>
      </c>
      <c r="AY76" s="651">
        <f t="shared" si="228"/>
        <v>0</v>
      </c>
      <c r="AZ76" s="658">
        <f t="shared" ref="AZ76:BE76" si="229">AZ77*AZ63</f>
        <v>0</v>
      </c>
      <c r="BA76" s="658">
        <f t="shared" si="229"/>
        <v>0</v>
      </c>
      <c r="BB76" s="658">
        <f t="shared" si="229"/>
        <v>0</v>
      </c>
      <c r="BC76" s="651">
        <f t="shared" si="229"/>
        <v>0</v>
      </c>
      <c r="BD76" s="658">
        <f t="shared" si="229"/>
        <v>0</v>
      </c>
      <c r="BE76" s="658">
        <f t="shared" si="229"/>
        <v>0</v>
      </c>
      <c r="BF76" s="658">
        <f t="shared" ref="BF76:BK76" si="230">BF77*BF63</f>
        <v>0</v>
      </c>
      <c r="BG76" s="651">
        <f t="shared" si="230"/>
        <v>0</v>
      </c>
      <c r="BH76" s="658">
        <f t="shared" si="230"/>
        <v>0</v>
      </c>
      <c r="BI76" s="658">
        <f t="shared" si="230"/>
        <v>0</v>
      </c>
      <c r="BJ76" s="658">
        <f t="shared" si="230"/>
        <v>0</v>
      </c>
      <c r="BK76" s="651">
        <f t="shared" si="230"/>
        <v>0</v>
      </c>
      <c r="BL76" s="658">
        <f t="shared" si="228"/>
        <v>0</v>
      </c>
      <c r="BM76" s="658">
        <f t="shared" si="228"/>
        <v>0</v>
      </c>
      <c r="BN76" s="658">
        <f t="shared" si="228"/>
        <v>0</v>
      </c>
      <c r="BO76" s="651">
        <f t="shared" si="228"/>
        <v>0</v>
      </c>
      <c r="BP76" s="658">
        <f t="shared" ref="BP76:BW76" si="231">BP77*BP63</f>
        <v>0</v>
      </c>
      <c r="BQ76" s="658">
        <f t="shared" si="231"/>
        <v>0</v>
      </c>
      <c r="BR76" s="658">
        <f t="shared" si="231"/>
        <v>0</v>
      </c>
      <c r="BS76" s="651">
        <f t="shared" si="231"/>
        <v>0</v>
      </c>
      <c r="BT76" s="658">
        <f t="shared" si="231"/>
        <v>0</v>
      </c>
      <c r="BU76" s="658">
        <f t="shared" si="231"/>
        <v>0</v>
      </c>
      <c r="BV76" s="658">
        <f t="shared" si="231"/>
        <v>0</v>
      </c>
      <c r="BW76" s="651">
        <f t="shared" si="231"/>
        <v>0</v>
      </c>
      <c r="BX76" s="104"/>
      <c r="BY76" s="658">
        <f>BY77*BY63</f>
        <v>0</v>
      </c>
      <c r="BZ76" s="658">
        <f>BZ77*BZ63</f>
        <v>0</v>
      </c>
      <c r="CA76" s="658">
        <f>CA77*CA63</f>
        <v>0</v>
      </c>
      <c r="CB76" s="658">
        <f>CB77*CB63</f>
        <v>0</v>
      </c>
      <c r="CC76" s="658">
        <f>CC77*CC63</f>
        <v>0</v>
      </c>
      <c r="CD76" s="658">
        <f t="shared" ref="CD76:CN76" si="232">CD77*CD63</f>
        <v>0</v>
      </c>
      <c r="CE76" s="658">
        <f t="shared" si="232"/>
        <v>0</v>
      </c>
      <c r="CF76" s="658">
        <f t="shared" si="232"/>
        <v>0</v>
      </c>
      <c r="CG76" s="658">
        <f t="shared" si="232"/>
        <v>0</v>
      </c>
      <c r="CH76" s="658">
        <f t="shared" si="232"/>
        <v>0</v>
      </c>
      <c r="CI76" s="651">
        <f t="shared" si="232"/>
        <v>0</v>
      </c>
      <c r="CJ76" s="658">
        <f t="shared" si="232"/>
        <v>0</v>
      </c>
      <c r="CK76" s="658">
        <f t="shared" si="232"/>
        <v>0</v>
      </c>
      <c r="CL76" s="658">
        <f t="shared" si="232"/>
        <v>0</v>
      </c>
      <c r="CM76" s="658">
        <f t="shared" si="232"/>
        <v>0</v>
      </c>
      <c r="CN76" s="658">
        <f t="shared" si="232"/>
        <v>0</v>
      </c>
      <c r="CO76" s="658">
        <f>CO77*CO63</f>
        <v>0</v>
      </c>
      <c r="CP76" s="658">
        <f>CP77*CP63</f>
        <v>0</v>
      </c>
      <c r="CQ76" s="509"/>
      <c r="CR76" s="105"/>
      <c r="CS76" s="105"/>
      <c r="CT76" s="105"/>
      <c r="CU76" s="641"/>
      <c r="CV76" s="641"/>
      <c r="CW76" s="641"/>
      <c r="CX76" s="641"/>
      <c r="CY76" s="641"/>
      <c r="CZ76" s="641"/>
      <c r="DA76" s="641"/>
      <c r="DB76" s="641"/>
      <c r="DC76" s="641"/>
      <c r="DD76" s="641"/>
      <c r="DE76" s="641"/>
      <c r="DF76" s="641"/>
    </row>
    <row r="77" spans="2:113" ht="15">
      <c r="B77" s="650" t="s">
        <v>397</v>
      </c>
      <c r="C77" s="644"/>
      <c r="D77" s="641"/>
      <c r="E77" s="641"/>
      <c r="F77" s="641"/>
      <c r="G77" s="767"/>
      <c r="H77" s="641"/>
      <c r="I77" s="641"/>
      <c r="J77" s="641"/>
      <c r="K77" s="767"/>
      <c r="L77" s="641"/>
      <c r="M77" s="641"/>
      <c r="N77" s="641"/>
      <c r="O77" s="767"/>
      <c r="P77" s="641"/>
      <c r="Q77" s="641"/>
      <c r="R77" s="641"/>
      <c r="S77" s="767"/>
      <c r="T77" s="641"/>
      <c r="U77" s="641"/>
      <c r="V77" s="641"/>
      <c r="W77" s="767"/>
      <c r="X77" s="641"/>
      <c r="Y77" s="641"/>
      <c r="Z77" s="641"/>
      <c r="AA77" s="767"/>
      <c r="AB77" s="641"/>
      <c r="AC77" s="641"/>
      <c r="AD77" s="641"/>
      <c r="AE77" s="641"/>
      <c r="AF77" s="642"/>
      <c r="AG77" s="642"/>
      <c r="AH77" s="642"/>
      <c r="AI77" s="642"/>
      <c r="AJ77" s="642"/>
      <c r="AK77" s="642"/>
      <c r="AL77" s="642"/>
      <c r="AM77" s="642"/>
      <c r="AN77" s="642"/>
      <c r="AO77" s="642"/>
      <c r="AP77" s="642"/>
      <c r="AQ77" s="642"/>
      <c r="AU77" s="15"/>
      <c r="AV77" s="659">
        <f>AQ77</f>
        <v>0</v>
      </c>
      <c r="AW77" s="659">
        <f t="shared" ref="AW77:BO77" si="233">AV77</f>
        <v>0</v>
      </c>
      <c r="AX77" s="659">
        <f t="shared" si="233"/>
        <v>0</v>
      </c>
      <c r="AY77" s="660">
        <f t="shared" si="233"/>
        <v>0</v>
      </c>
      <c r="AZ77" s="659">
        <f>AU77</f>
        <v>0</v>
      </c>
      <c r="BA77" s="659">
        <f>AZ77</f>
        <v>0</v>
      </c>
      <c r="BB77" s="659">
        <f>BA77</f>
        <v>0</v>
      </c>
      <c r="BC77" s="660">
        <f>BB77</f>
        <v>0</v>
      </c>
      <c r="BD77" s="659">
        <f>AY77</f>
        <v>0</v>
      </c>
      <c r="BE77" s="659">
        <f>BD77</f>
        <v>0</v>
      </c>
      <c r="BF77" s="659">
        <f>BE77</f>
        <v>0</v>
      </c>
      <c r="BG77" s="660">
        <f>BF77</f>
        <v>0</v>
      </c>
      <c r="BH77" s="659">
        <f>BC77</f>
        <v>0</v>
      </c>
      <c r="BI77" s="659">
        <f>BH77</f>
        <v>0</v>
      </c>
      <c r="BJ77" s="659">
        <f>BI77</f>
        <v>0</v>
      </c>
      <c r="BK77" s="660">
        <f>BJ77</f>
        <v>0</v>
      </c>
      <c r="BL77" s="659">
        <f t="shared" si="233"/>
        <v>0</v>
      </c>
      <c r="BM77" s="659">
        <f t="shared" si="233"/>
        <v>0</v>
      </c>
      <c r="BN77" s="659">
        <f t="shared" si="233"/>
        <v>0</v>
      </c>
      <c r="BO77" s="660">
        <f t="shared" si="233"/>
        <v>0</v>
      </c>
      <c r="BP77" s="659">
        <f t="shared" ref="BP77:BW77" si="234">BO77</f>
        <v>0</v>
      </c>
      <c r="BQ77" s="659">
        <f t="shared" si="234"/>
        <v>0</v>
      </c>
      <c r="BR77" s="659">
        <f t="shared" si="234"/>
        <v>0</v>
      </c>
      <c r="BS77" s="660">
        <f t="shared" si="234"/>
        <v>0</v>
      </c>
      <c r="BT77" s="659">
        <f t="shared" si="234"/>
        <v>0</v>
      </c>
      <c r="BU77" s="659">
        <f t="shared" si="234"/>
        <v>0</v>
      </c>
      <c r="BV77" s="659">
        <f t="shared" si="234"/>
        <v>0</v>
      </c>
      <c r="BW77" s="660">
        <f t="shared" si="234"/>
        <v>0</v>
      </c>
      <c r="BX77" s="104"/>
      <c r="BY77" s="659">
        <f>BK77</f>
        <v>0</v>
      </c>
      <c r="BZ77" s="659">
        <f>BL77</f>
        <v>0</v>
      </c>
      <c r="CA77" s="659">
        <f>BM77</f>
        <v>0</v>
      </c>
      <c r="CB77" s="659">
        <f>BN77</f>
        <v>0</v>
      </c>
      <c r="CC77" s="659">
        <f>BO77</f>
        <v>0</v>
      </c>
      <c r="CD77" s="659">
        <f>BX77</f>
        <v>0</v>
      </c>
      <c r="CE77" s="659">
        <f t="shared" ref="CE77:CP77" si="235">CD77</f>
        <v>0</v>
      </c>
      <c r="CF77" s="659">
        <f t="shared" si="235"/>
        <v>0</v>
      </c>
      <c r="CG77" s="659">
        <f t="shared" si="235"/>
        <v>0</v>
      </c>
      <c r="CH77" s="659">
        <f t="shared" si="235"/>
        <v>0</v>
      </c>
      <c r="CI77" s="660">
        <f t="shared" si="235"/>
        <v>0</v>
      </c>
      <c r="CJ77" s="659">
        <f t="shared" si="235"/>
        <v>0</v>
      </c>
      <c r="CK77" s="659">
        <f t="shared" si="235"/>
        <v>0</v>
      </c>
      <c r="CL77" s="659">
        <f t="shared" si="235"/>
        <v>0</v>
      </c>
      <c r="CM77" s="659">
        <f t="shared" si="235"/>
        <v>0</v>
      </c>
      <c r="CN77" s="659">
        <f t="shared" si="235"/>
        <v>0</v>
      </c>
      <c r="CO77" s="659">
        <f t="shared" si="235"/>
        <v>0</v>
      </c>
      <c r="CP77" s="659">
        <f t="shared" si="235"/>
        <v>0</v>
      </c>
      <c r="CQ77" s="509"/>
      <c r="CR77" s="105"/>
      <c r="CS77" s="105"/>
      <c r="CT77" s="105"/>
      <c r="CU77" s="641"/>
      <c r="CV77" s="641"/>
      <c r="CW77" s="641"/>
      <c r="CX77" s="641"/>
      <c r="CY77" s="641"/>
      <c r="CZ77" s="641"/>
      <c r="DA77" s="641"/>
      <c r="DB77" s="641"/>
      <c r="DC77" s="641"/>
      <c r="DD77" s="641"/>
      <c r="DE77" s="641"/>
      <c r="DF77" s="641"/>
    </row>
    <row r="78" spans="2:113" ht="15">
      <c r="B78" s="649" t="s">
        <v>203</v>
      </c>
      <c r="C78" s="644"/>
      <c r="D78" s="641"/>
      <c r="E78" s="641"/>
      <c r="F78" s="641"/>
      <c r="G78" s="767"/>
      <c r="H78" s="641"/>
      <c r="I78" s="641"/>
      <c r="J78" s="641"/>
      <c r="K78" s="767"/>
      <c r="L78" s="641"/>
      <c r="M78" s="641"/>
      <c r="N78" s="641"/>
      <c r="O78" s="767"/>
      <c r="P78" s="641"/>
      <c r="Q78" s="641"/>
      <c r="R78" s="641"/>
      <c r="S78" s="767"/>
      <c r="T78" s="641"/>
      <c r="U78" s="641"/>
      <c r="V78" s="641"/>
      <c r="W78" s="767"/>
      <c r="X78" s="641"/>
      <c r="Y78" s="641"/>
      <c r="Z78" s="641"/>
      <c r="AA78" s="767"/>
      <c r="AB78" s="641"/>
      <c r="AC78" s="641"/>
      <c r="AD78" s="641"/>
      <c r="AE78" s="641"/>
      <c r="AF78" s="642"/>
      <c r="AG78" s="642"/>
      <c r="AH78" s="642"/>
      <c r="AI78" s="642"/>
      <c r="AJ78" s="642"/>
      <c r="AK78" s="642"/>
      <c r="AL78" s="642"/>
      <c r="AM78" s="642"/>
      <c r="AN78" s="642"/>
      <c r="AO78" s="642"/>
      <c r="AP78" s="642"/>
      <c r="AQ78" s="642"/>
      <c r="AU78" s="15"/>
      <c r="AV78" s="663">
        <f>CFS!AV11</f>
        <v>20.8</v>
      </c>
      <c r="AW78" s="663">
        <f>CFS!AW11</f>
        <v>21.599999999999998</v>
      </c>
      <c r="AX78" s="663">
        <f>CFS!AX11</f>
        <v>24.100000000000005</v>
      </c>
      <c r="AY78" s="664">
        <f>CFS!AY11</f>
        <v>30.299999999999994</v>
      </c>
      <c r="AZ78" s="663">
        <f>CFS!AZ11</f>
        <v>35.700000000000003</v>
      </c>
      <c r="BA78" s="663">
        <f>CFS!BA11</f>
        <v>38.799999999999997</v>
      </c>
      <c r="BB78" s="663">
        <f>CFS!BB11</f>
        <v>41.900000000000006</v>
      </c>
      <c r="BC78" s="664">
        <f>CFS!BC11</f>
        <v>45.900000000000006</v>
      </c>
      <c r="BD78" s="663">
        <f>CFS!BD11</f>
        <v>51.5</v>
      </c>
      <c r="BE78" s="663">
        <f>CFS!BE11</f>
        <v>53.5</v>
      </c>
      <c r="BF78" s="663">
        <f>CFS!BF11</f>
        <v>54.599999999999994</v>
      </c>
      <c r="BG78" s="664">
        <f>CFS!BG11</f>
        <v>54.800000000000011</v>
      </c>
      <c r="BH78" s="663">
        <f>CFS!BH11</f>
        <v>55.3</v>
      </c>
      <c r="BI78" s="663">
        <f>CFS!BI11</f>
        <v>55.900000000000006</v>
      </c>
      <c r="BJ78" s="663">
        <f>CFS!BJ11</f>
        <v>55.600000000000009</v>
      </c>
      <c r="BK78" s="664">
        <f>CFS!BK11</f>
        <v>60.399999999999963</v>
      </c>
      <c r="BL78" s="663">
        <f>CFS!BL11</f>
        <v>63.6</v>
      </c>
      <c r="BM78" s="663">
        <f>CFS!BM11</f>
        <v>63.282000000000004</v>
      </c>
      <c r="BN78" s="663">
        <f>CFS!BN11</f>
        <v>65.99014284750001</v>
      </c>
      <c r="BO78" s="664">
        <f>CFS!BO11</f>
        <v>68.594499850012511</v>
      </c>
      <c r="BP78" s="663">
        <f>CFS!BP11</f>
        <v>71.689387578146253</v>
      </c>
      <c r="BQ78" s="663">
        <f>CFS!BQ11</f>
        <v>74.106139257187678</v>
      </c>
      <c r="BR78" s="663">
        <f>CFS!BR11</f>
        <v>76.306682209071241</v>
      </c>
      <c r="BS78" s="664">
        <f>CFS!BS11</f>
        <v>78.507878218930216</v>
      </c>
      <c r="BT78" s="663">
        <f>CFS!BT11</f>
        <v>80.87556700708295</v>
      </c>
      <c r="BU78" s="663">
        <f>CFS!BU11</f>
        <v>83.343159220358231</v>
      </c>
      <c r="BV78" s="663">
        <f>CFS!BV11</f>
        <v>85.676712111846513</v>
      </c>
      <c r="BW78" s="664">
        <f>CFS!BW11</f>
        <v>88.040631977119759</v>
      </c>
      <c r="BX78" s="104"/>
      <c r="BY78" s="663">
        <f>CFS!BY11</f>
        <v>36.941000000000003</v>
      </c>
      <c r="BZ78" s="663">
        <f>CFS!BZ11</f>
        <v>35.829000000000001</v>
      </c>
      <c r="CA78" s="663">
        <f>CFS!CA11</f>
        <v>37.277000000000001</v>
      </c>
      <c r="CB78" s="663">
        <f>CFS!CB11</f>
        <v>38.216999999999999</v>
      </c>
      <c r="CC78" s="663">
        <f>CFS!CC11</f>
        <v>39.237000000000002</v>
      </c>
      <c r="CD78" s="663">
        <f>CFS!CD11</f>
        <v>44.712000000000003</v>
      </c>
      <c r="CE78" s="663">
        <f>CFS!CE11</f>
        <v>44.412999999999997</v>
      </c>
      <c r="CF78" s="663">
        <f>CFS!CF11</f>
        <v>46.573</v>
      </c>
      <c r="CG78" s="663">
        <f>CFS!CG11</f>
        <v>59.787999999999997</v>
      </c>
      <c r="CH78" s="663">
        <f>CFS!CH11</f>
        <v>69.545000000000002</v>
      </c>
      <c r="CI78" s="664">
        <f>CFS!CI11</f>
        <v>74.3</v>
      </c>
      <c r="CJ78" s="663">
        <f>CFS!CJ11</f>
        <v>96.8</v>
      </c>
      <c r="CK78" s="663">
        <f>CFS!CK11</f>
        <v>162.30000000000001</v>
      </c>
      <c r="CL78" s="663">
        <f>CFS!CL11</f>
        <v>214.4</v>
      </c>
      <c r="CM78" s="663">
        <f>CFS!CM11</f>
        <v>227.2</v>
      </c>
      <c r="CN78" s="663">
        <f>CFS!CN11</f>
        <v>261.4666426975125</v>
      </c>
      <c r="CO78" s="663">
        <f>CFS!CO11</f>
        <v>300.6100872633354</v>
      </c>
      <c r="CP78" s="663">
        <f>CFS!CP11</f>
        <v>337.93607031640744</v>
      </c>
      <c r="CQ78" s="509"/>
      <c r="CR78" s="105"/>
      <c r="CS78" s="105"/>
      <c r="CT78" s="105"/>
      <c r="CU78" s="641"/>
      <c r="CV78" s="641"/>
      <c r="CW78" s="641"/>
      <c r="CX78" s="641"/>
      <c r="CY78" s="641"/>
      <c r="CZ78" s="641"/>
      <c r="DA78" s="641"/>
      <c r="DB78" s="641"/>
      <c r="DC78" s="641"/>
      <c r="DD78" s="641"/>
      <c r="DE78" s="641"/>
      <c r="DF78" s="641"/>
    </row>
    <row r="79" spans="2:113" ht="15">
      <c r="B79" s="649" t="s">
        <v>398</v>
      </c>
      <c r="C79" s="644"/>
      <c r="D79" s="641"/>
      <c r="E79" s="641"/>
      <c r="F79" s="641"/>
      <c r="G79" s="767"/>
      <c r="H79" s="641"/>
      <c r="I79" s="641"/>
      <c r="J79" s="641"/>
      <c r="K79" s="767"/>
      <c r="L79" s="641"/>
      <c r="M79" s="641"/>
      <c r="N79" s="641"/>
      <c r="O79" s="767"/>
      <c r="P79" s="641"/>
      <c r="Q79" s="641"/>
      <c r="R79" s="641"/>
      <c r="S79" s="767"/>
      <c r="T79" s="641"/>
      <c r="U79" s="641"/>
      <c r="V79" s="641"/>
      <c r="W79" s="767"/>
      <c r="X79" s="641"/>
      <c r="Y79" s="641"/>
      <c r="Z79" s="641"/>
      <c r="AA79" s="767"/>
      <c r="AB79" s="641"/>
      <c r="AC79" s="641"/>
      <c r="AD79" s="641"/>
      <c r="AE79" s="641"/>
      <c r="AF79" s="642"/>
      <c r="AG79" s="642"/>
      <c r="AH79" s="642"/>
      <c r="AI79" s="642"/>
      <c r="AJ79" s="642"/>
      <c r="AK79" s="642"/>
      <c r="AL79" s="642"/>
      <c r="AM79" s="642"/>
      <c r="AN79" s="642"/>
      <c r="AO79" s="642"/>
      <c r="AP79" s="642"/>
      <c r="AQ79" s="642"/>
      <c r="AU79" s="15"/>
      <c r="AV79" s="661">
        <f>+AV73-AV76-AV78</f>
        <v>262.39999999999998</v>
      </c>
      <c r="AW79" s="661">
        <f t="shared" ref="AW79:BO79" si="236">+AW73-AW76-AW78</f>
        <v>247.00000000000003</v>
      </c>
      <c r="AX79" s="661">
        <f t="shared" si="236"/>
        <v>298.7</v>
      </c>
      <c r="AY79" s="662">
        <f t="shared" si="236"/>
        <v>363.9</v>
      </c>
      <c r="AZ79" s="661">
        <f t="shared" ref="AZ79:BE79" si="237">+AZ73-AZ76-AZ78</f>
        <v>396.8</v>
      </c>
      <c r="BA79" s="661">
        <f t="shared" si="237"/>
        <v>371.09999999999997</v>
      </c>
      <c r="BB79" s="661">
        <f t="shared" si="237"/>
        <v>375</v>
      </c>
      <c r="BC79" s="662">
        <f t="shared" si="237"/>
        <v>398.70000000000005</v>
      </c>
      <c r="BD79" s="661">
        <f t="shared" si="237"/>
        <v>403.2</v>
      </c>
      <c r="BE79" s="661">
        <f t="shared" si="237"/>
        <v>331.2</v>
      </c>
      <c r="BF79" s="661">
        <f t="shared" ref="BF79:BK79" si="238">+BF73-BF76-BF78</f>
        <v>318.79999999999995</v>
      </c>
      <c r="BG79" s="662">
        <f t="shared" si="238"/>
        <v>356.2</v>
      </c>
      <c r="BH79" s="661">
        <f t="shared" si="238"/>
        <v>395.09999999999997</v>
      </c>
      <c r="BI79" s="661">
        <f t="shared" si="238"/>
        <v>370.4</v>
      </c>
      <c r="BJ79" s="661">
        <f t="shared" si="238"/>
        <v>391.59999999999997</v>
      </c>
      <c r="BK79" s="662">
        <f t="shared" si="238"/>
        <v>425.3</v>
      </c>
      <c r="BL79" s="661">
        <f t="shared" si="236"/>
        <v>451.5</v>
      </c>
      <c r="BM79" s="661">
        <f t="shared" si="236"/>
        <v>381.25951298500001</v>
      </c>
      <c r="BN79" s="661">
        <f t="shared" si="236"/>
        <v>360.17661368540007</v>
      </c>
      <c r="BO79" s="662">
        <f t="shared" si="236"/>
        <v>437.52511414297021</v>
      </c>
      <c r="BP79" s="661">
        <f t="shared" ref="BP79:BW79" si="239">+BP73-BP76-BP78</f>
        <v>455.12629516154414</v>
      </c>
      <c r="BQ79" s="661">
        <f t="shared" si="239"/>
        <v>406.77846633580941</v>
      </c>
      <c r="BR79" s="661">
        <f t="shared" si="239"/>
        <v>404.19817846032629</v>
      </c>
      <c r="BS79" s="662">
        <f t="shared" si="239"/>
        <v>437.0939109296931</v>
      </c>
      <c r="BT79" s="661">
        <f t="shared" si="239"/>
        <v>456.79078779246026</v>
      </c>
      <c r="BU79" s="661">
        <f t="shared" si="239"/>
        <v>424.99632657437854</v>
      </c>
      <c r="BV79" s="661">
        <f t="shared" si="239"/>
        <v>428.79003191585196</v>
      </c>
      <c r="BW79" s="662">
        <f t="shared" si="239"/>
        <v>468.54390576639236</v>
      </c>
      <c r="BX79" s="104"/>
      <c r="BY79" s="661">
        <f>+BY73-BY76-BY78</f>
        <v>580.84799999999996</v>
      </c>
      <c r="BZ79" s="661">
        <f>+BZ73-BZ76-BZ78</f>
        <v>748.19399999999996</v>
      </c>
      <c r="CA79" s="661">
        <f>+CA73-CA76-CA78</f>
        <v>755.09399999999994</v>
      </c>
      <c r="CB79" s="661">
        <f>+CB73-CB76-CB78</f>
        <v>735.53300000000002</v>
      </c>
      <c r="CC79" s="661">
        <f>+CC73-CC76-CC78</f>
        <v>702.50699999999995</v>
      </c>
      <c r="CD79" s="661">
        <f t="shared" ref="CD79:CN79" si="240">+CD73-CD76-CD78</f>
        <v>815.30500000000006</v>
      </c>
      <c r="CE79" s="661">
        <f t="shared" si="240"/>
        <v>758.16399999999999</v>
      </c>
      <c r="CF79" s="661">
        <f t="shared" si="240"/>
        <v>1025.2759999999998</v>
      </c>
      <c r="CG79" s="661">
        <f t="shared" si="240"/>
        <v>1359.134</v>
      </c>
      <c r="CH79" s="661">
        <f t="shared" si="240"/>
        <v>1499.0360000000001</v>
      </c>
      <c r="CI79" s="662">
        <f t="shared" si="240"/>
        <v>1717.7230000000002</v>
      </c>
      <c r="CJ79" s="661">
        <f t="shared" si="240"/>
        <v>1172</v>
      </c>
      <c r="CK79" s="661">
        <f t="shared" si="240"/>
        <v>1541.6000000000001</v>
      </c>
      <c r="CL79" s="661">
        <f t="shared" si="240"/>
        <v>1409.3999999999996</v>
      </c>
      <c r="CM79" s="661">
        <f t="shared" si="240"/>
        <v>1582.3999999999996</v>
      </c>
      <c r="CN79" s="661">
        <f t="shared" si="240"/>
        <v>1630.4612408133696</v>
      </c>
      <c r="CO79" s="661">
        <f>+CO73-CO76-CO78</f>
        <v>1703.1968508873731</v>
      </c>
      <c r="CP79" s="661">
        <f>+CP73-CP76-CP78</f>
        <v>1779.1210520490831</v>
      </c>
      <c r="CQ79" s="509"/>
      <c r="CR79" s="105"/>
      <c r="CS79" s="105"/>
      <c r="CT79" s="105"/>
      <c r="CU79" s="641"/>
      <c r="CV79" s="641"/>
      <c r="CW79" s="641"/>
      <c r="CX79" s="641"/>
      <c r="CY79" s="641"/>
      <c r="CZ79" s="641"/>
      <c r="DA79" s="641"/>
      <c r="DB79" s="641"/>
      <c r="DC79" s="641"/>
      <c r="DD79" s="641"/>
      <c r="DE79" s="641"/>
      <c r="DF79" s="641"/>
    </row>
    <row r="80" spans="2:113" ht="15">
      <c r="B80" s="650"/>
      <c r="C80" s="644"/>
      <c r="D80" s="641"/>
      <c r="E80" s="641"/>
      <c r="F80" s="641"/>
      <c r="G80" s="767"/>
      <c r="H80" s="641"/>
      <c r="I80" s="641"/>
      <c r="J80" s="641"/>
      <c r="K80" s="767"/>
      <c r="L80" s="641"/>
      <c r="M80" s="641"/>
      <c r="N80" s="641"/>
      <c r="O80" s="767"/>
      <c r="P80" s="641"/>
      <c r="Q80" s="641"/>
      <c r="R80" s="641"/>
      <c r="S80" s="767"/>
      <c r="T80" s="641"/>
      <c r="U80" s="641"/>
      <c r="V80" s="641"/>
      <c r="W80" s="767"/>
      <c r="X80" s="641"/>
      <c r="Y80" s="641"/>
      <c r="Z80" s="641"/>
      <c r="AA80" s="767"/>
      <c r="AB80" s="641"/>
      <c r="AC80" s="641"/>
      <c r="AD80" s="641"/>
      <c r="AE80" s="641"/>
      <c r="AF80" s="642"/>
      <c r="AG80" s="642"/>
      <c r="AH80" s="642"/>
      <c r="AI80" s="642"/>
      <c r="AJ80" s="642"/>
      <c r="AK80" s="642"/>
      <c r="AL80" s="642"/>
      <c r="AM80" s="642"/>
      <c r="AN80" s="642"/>
      <c r="AO80" s="642"/>
      <c r="AP80" s="642"/>
      <c r="AQ80" s="642"/>
      <c r="AU80" s="15"/>
      <c r="AV80" s="658"/>
      <c r="AW80" s="658"/>
      <c r="AX80" s="658"/>
      <c r="AY80" s="651"/>
      <c r="AZ80" s="658"/>
      <c r="BA80" s="658"/>
      <c r="BB80" s="310"/>
      <c r="BC80" s="311"/>
      <c r="BD80" s="658"/>
      <c r="BE80" s="658"/>
      <c r="BF80" s="310"/>
      <c r="BG80" s="311"/>
      <c r="BH80" s="658"/>
      <c r="BI80" s="658"/>
      <c r="BJ80" s="310"/>
      <c r="BK80" s="311"/>
      <c r="BL80" s="310"/>
      <c r="BM80" s="310"/>
      <c r="BN80" s="310"/>
      <c r="BO80" s="311"/>
      <c r="BP80" s="310"/>
      <c r="BQ80" s="310"/>
      <c r="BR80" s="310"/>
      <c r="BS80" s="311"/>
      <c r="BT80" s="310"/>
      <c r="BU80" s="310"/>
      <c r="BV80" s="310"/>
      <c r="BW80" s="311"/>
      <c r="BX80" s="104"/>
      <c r="BY80" s="310"/>
      <c r="BZ80" s="310"/>
      <c r="CA80" s="310"/>
      <c r="CB80" s="310"/>
      <c r="CC80" s="310"/>
      <c r="CD80" s="310"/>
      <c r="CE80" s="310"/>
      <c r="CF80" s="310"/>
      <c r="CG80" s="310"/>
      <c r="CH80" s="310"/>
      <c r="CI80" s="311"/>
      <c r="CJ80" s="310"/>
      <c r="CK80" s="310"/>
      <c r="CL80" s="310"/>
      <c r="CM80" s="310"/>
      <c r="CN80" s="310"/>
      <c r="CO80" s="310"/>
      <c r="CP80" s="310"/>
      <c r="CQ80" s="509"/>
      <c r="CR80" s="105"/>
      <c r="CS80" s="105"/>
      <c r="CT80" s="105"/>
      <c r="CU80" s="641"/>
      <c r="CV80" s="641"/>
      <c r="CW80" s="641"/>
      <c r="CX80" s="641"/>
      <c r="CY80" s="641"/>
      <c r="CZ80" s="641"/>
      <c r="DA80" s="641"/>
      <c r="DB80" s="641"/>
      <c r="DC80" s="641"/>
      <c r="DD80" s="641"/>
      <c r="DE80" s="641"/>
      <c r="DF80" s="641"/>
    </row>
    <row r="81" spans="1:110" ht="15">
      <c r="B81" s="645" t="s">
        <v>399</v>
      </c>
      <c r="C81" s="646"/>
      <c r="D81" s="641"/>
      <c r="E81" s="641"/>
      <c r="F81" s="641"/>
      <c r="G81" s="767"/>
      <c r="H81" s="641"/>
      <c r="I81" s="641"/>
      <c r="J81" s="641"/>
      <c r="K81" s="767"/>
      <c r="L81" s="641"/>
      <c r="M81" s="641"/>
      <c r="N81" s="641"/>
      <c r="O81" s="767"/>
      <c r="P81" s="641"/>
      <c r="Q81" s="641"/>
      <c r="R81" s="641"/>
      <c r="S81" s="767"/>
      <c r="T81" s="641"/>
      <c r="U81" s="641"/>
      <c r="V81" s="641"/>
      <c r="W81" s="767"/>
      <c r="X81" s="641"/>
      <c r="Y81" s="641"/>
      <c r="Z81" s="641"/>
      <c r="AA81" s="767"/>
      <c r="AB81" s="641"/>
      <c r="AC81" s="641"/>
      <c r="AD81" s="641"/>
      <c r="AE81" s="641"/>
      <c r="AF81" s="642"/>
      <c r="AG81" s="642"/>
      <c r="AH81" s="642"/>
      <c r="AI81" s="642"/>
      <c r="AJ81" s="642"/>
      <c r="AK81" s="642"/>
      <c r="AL81" s="642"/>
      <c r="AM81" s="642"/>
      <c r="AN81" s="642"/>
      <c r="AO81" s="642"/>
      <c r="AP81" s="642"/>
      <c r="AQ81" s="642"/>
      <c r="AU81" s="15"/>
      <c r="AV81" s="667">
        <f t="shared" ref="AV81:BS81" si="241">AV38+AV48+AV58</f>
        <v>222</v>
      </c>
      <c r="AW81" s="665">
        <f t="shared" si="241"/>
        <v>212.39999999999998</v>
      </c>
      <c r="AX81" s="665">
        <f t="shared" si="241"/>
        <v>264.2</v>
      </c>
      <c r="AY81" s="666">
        <f t="shared" si="241"/>
        <v>324.00000000000011</v>
      </c>
      <c r="AZ81" s="667">
        <f t="shared" si="241"/>
        <v>373</v>
      </c>
      <c r="BA81" s="665">
        <f t="shared" si="241"/>
        <v>352.20000000000005</v>
      </c>
      <c r="BB81" s="667">
        <f t="shared" si="241"/>
        <v>393.1</v>
      </c>
      <c r="BC81" s="668">
        <f t="shared" si="241"/>
        <v>436.19999999999993</v>
      </c>
      <c r="BD81" s="667">
        <f t="shared" si="241"/>
        <v>472.1</v>
      </c>
      <c r="BE81" s="665">
        <f t="shared" si="241"/>
        <v>390.40000000000009</v>
      </c>
      <c r="BF81" s="667">
        <f t="shared" si="241"/>
        <v>378.30000000000007</v>
      </c>
      <c r="BG81" s="668">
        <f t="shared" si="241"/>
        <v>424.4</v>
      </c>
      <c r="BH81" s="667">
        <f>BH38+BH48+BH58</f>
        <v>463.9</v>
      </c>
      <c r="BI81" s="665">
        <f>BI38+BI48+BI58</f>
        <v>425.40000000000009</v>
      </c>
      <c r="BJ81" s="667">
        <f t="shared" ref="BJ81:BK81" si="242">BJ38+BJ48+BJ58</f>
        <v>453.59999999999991</v>
      </c>
      <c r="BK81" s="668">
        <f t="shared" si="242"/>
        <v>498.90000000000009</v>
      </c>
      <c r="BL81" s="669">
        <f t="shared" si="241"/>
        <v>536.80000000000007</v>
      </c>
      <c r="BM81" s="667">
        <f t="shared" si="241"/>
        <v>458.17276951500008</v>
      </c>
      <c r="BN81" s="667">
        <f t="shared" si="241"/>
        <v>441.95224430460007</v>
      </c>
      <c r="BO81" s="668">
        <f t="shared" si="241"/>
        <v>525.50962871826755</v>
      </c>
      <c r="BP81" s="669">
        <f t="shared" si="241"/>
        <v>547.29617461205362</v>
      </c>
      <c r="BQ81" s="667">
        <f t="shared" si="241"/>
        <v>497.13448413302626</v>
      </c>
      <c r="BR81" s="667">
        <f t="shared" si="241"/>
        <v>497.80447704570258</v>
      </c>
      <c r="BS81" s="668">
        <f t="shared" si="241"/>
        <v>536.70433891925995</v>
      </c>
      <c r="BT81" s="669">
        <f t="shared" ref="BT81:BW81" si="243">BT38+BT48+BT58</f>
        <v>559.04129554502299</v>
      </c>
      <c r="BU81" s="667">
        <f t="shared" si="243"/>
        <v>528.79513264450122</v>
      </c>
      <c r="BV81" s="667">
        <f t="shared" si="243"/>
        <v>536.16430720485164</v>
      </c>
      <c r="BW81" s="668">
        <f t="shared" si="243"/>
        <v>579.52678708576877</v>
      </c>
      <c r="BX81" s="104"/>
      <c r="BY81" s="667">
        <f t="shared" ref="BY81:CO81" si="244">BY38+BY48+BY58</f>
        <v>0</v>
      </c>
      <c r="BZ81" s="667">
        <f t="shared" si="244"/>
        <v>0</v>
      </c>
      <c r="CA81" s="667">
        <f t="shared" si="244"/>
        <v>0</v>
      </c>
      <c r="CB81" s="667">
        <f t="shared" si="244"/>
        <v>0</v>
      </c>
      <c r="CC81" s="667">
        <f t="shared" si="244"/>
        <v>0</v>
      </c>
      <c r="CD81" s="667">
        <f t="shared" si="244"/>
        <v>0</v>
      </c>
      <c r="CE81" s="667">
        <f t="shared" si="244"/>
        <v>0</v>
      </c>
      <c r="CF81" s="667">
        <f t="shared" si="244"/>
        <v>0</v>
      </c>
      <c r="CG81" s="667">
        <f t="shared" si="244"/>
        <v>0</v>
      </c>
      <c r="CH81" s="667">
        <f t="shared" si="244"/>
        <v>0</v>
      </c>
      <c r="CI81" s="668">
        <f t="shared" si="244"/>
        <v>0</v>
      </c>
      <c r="CJ81" s="667">
        <f t="shared" si="244"/>
        <v>1022.6000000000001</v>
      </c>
      <c r="CK81" s="667">
        <f t="shared" si="244"/>
        <v>1554.5</v>
      </c>
      <c r="CL81" s="667">
        <f t="shared" si="244"/>
        <v>1665.2000000000003</v>
      </c>
      <c r="CM81" s="667">
        <f t="shared" si="244"/>
        <v>1841.8</v>
      </c>
      <c r="CN81" s="667">
        <f t="shared" si="244"/>
        <v>1962.4346425378681</v>
      </c>
      <c r="CO81" s="667">
        <f t="shared" si="244"/>
        <v>2078.9394747100423</v>
      </c>
      <c r="CP81" s="667">
        <f t="shared" ref="CP81" si="245">CP38+CP48+CP58</f>
        <v>2203.5275224801444</v>
      </c>
      <c r="CQ81" s="509"/>
      <c r="CR81" s="105"/>
      <c r="CS81" s="105"/>
      <c r="CT81" s="105"/>
      <c r="CU81" s="641"/>
      <c r="CV81" s="641"/>
      <c r="CW81" s="641"/>
      <c r="CX81" s="641"/>
      <c r="CY81" s="641"/>
      <c r="CZ81" s="641"/>
      <c r="DA81" s="641"/>
      <c r="DB81" s="641"/>
      <c r="DC81" s="641"/>
      <c r="DD81" s="641"/>
      <c r="DE81" s="641"/>
      <c r="DF81" s="641"/>
    </row>
    <row r="82" spans="1:110" ht="15">
      <c r="B82" s="637" t="s">
        <v>400</v>
      </c>
      <c r="C82" s="652"/>
      <c r="D82" s="641"/>
      <c r="E82" s="641"/>
      <c r="F82" s="641"/>
      <c r="G82" s="767"/>
      <c r="H82" s="641"/>
      <c r="I82" s="641"/>
      <c r="J82" s="641"/>
      <c r="K82" s="767"/>
      <c r="L82" s="641"/>
      <c r="M82" s="641"/>
      <c r="N82" s="641"/>
      <c r="O82" s="767"/>
      <c r="P82" s="641"/>
      <c r="Q82" s="641"/>
      <c r="R82" s="641"/>
      <c r="S82" s="767"/>
      <c r="T82" s="641"/>
      <c r="U82" s="641"/>
      <c r="V82" s="641"/>
      <c r="W82" s="767"/>
      <c r="X82" s="641"/>
      <c r="Y82" s="641"/>
      <c r="Z82" s="641"/>
      <c r="AA82" s="767"/>
      <c r="AB82" s="641"/>
      <c r="AC82" s="641"/>
      <c r="AD82" s="641"/>
      <c r="AE82" s="641"/>
      <c r="AF82" s="642"/>
      <c r="AG82" s="642"/>
      <c r="AH82" s="642"/>
      <c r="AI82" s="642"/>
      <c r="AJ82" s="642"/>
      <c r="AK82" s="642"/>
      <c r="AL82" s="642"/>
      <c r="AM82" s="642"/>
      <c r="AN82" s="642"/>
      <c r="AO82" s="642"/>
      <c r="AP82" s="642"/>
      <c r="AQ82" s="642"/>
      <c r="AU82" s="15"/>
      <c r="AV82" s="310">
        <f t="shared" ref="AV82:BO82" si="246">AV81/AV67</f>
        <v>0.43942992874109266</v>
      </c>
      <c r="AW82" s="310">
        <f t="shared" si="246"/>
        <v>0.44158004158004155</v>
      </c>
      <c r="AX82" s="310">
        <f t="shared" si="246"/>
        <v>0.45008517887563881</v>
      </c>
      <c r="AY82" s="311">
        <f t="shared" si="246"/>
        <v>0.45112781954887232</v>
      </c>
      <c r="AZ82" s="310">
        <f t="shared" ref="AZ82:BE82" si="247">AZ81/AZ67</f>
        <v>0.46306641837368095</v>
      </c>
      <c r="BA82" s="310">
        <f t="shared" si="247"/>
        <v>0.46214407558063253</v>
      </c>
      <c r="BB82" s="310">
        <f t="shared" si="247"/>
        <v>0.48530864197530865</v>
      </c>
      <c r="BC82" s="311">
        <f t="shared" si="247"/>
        <v>0.49523160762942775</v>
      </c>
      <c r="BD82" s="310">
        <f t="shared" si="247"/>
        <v>0.50938713854121709</v>
      </c>
      <c r="BE82" s="310">
        <f t="shared" si="247"/>
        <v>0.50367694491033421</v>
      </c>
      <c r="BF82" s="310">
        <f t="shared" ref="BF82:BK82" si="248">BF81/BF67</f>
        <v>0.50325927896767331</v>
      </c>
      <c r="BG82" s="311">
        <f t="shared" si="248"/>
        <v>0.5080201101268853</v>
      </c>
      <c r="BH82" s="310">
        <f t="shared" si="248"/>
        <v>0.50738269714535711</v>
      </c>
      <c r="BI82" s="310">
        <f t="shared" si="248"/>
        <v>0.49947164494540341</v>
      </c>
      <c r="BJ82" s="310">
        <f t="shared" si="248"/>
        <v>0.50355239786856121</v>
      </c>
      <c r="BK82" s="311">
        <f t="shared" si="248"/>
        <v>0.50670322973796478</v>
      </c>
      <c r="BL82" s="310">
        <f t="shared" si="246"/>
        <v>0.51031466869474285</v>
      </c>
      <c r="BM82" s="310">
        <f t="shared" si="246"/>
        <v>0.50755015002767501</v>
      </c>
      <c r="BN82" s="310">
        <f t="shared" si="246"/>
        <v>0.50909177644797043</v>
      </c>
      <c r="BO82" s="311">
        <f t="shared" si="246"/>
        <v>0.50939776322854391</v>
      </c>
      <c r="BP82" s="310">
        <f t="shared" ref="BP82:BW82" si="249">BP81/BP67</f>
        <v>0.50953368670692201</v>
      </c>
      <c r="BQ82" s="310">
        <f t="shared" si="249"/>
        <v>0.50830754670881795</v>
      </c>
      <c r="BR82" s="310">
        <f t="shared" si="249"/>
        <v>0.50884158808946323</v>
      </c>
      <c r="BS82" s="311">
        <f t="shared" si="249"/>
        <v>0.51002681121385396</v>
      </c>
      <c r="BT82" s="310">
        <f t="shared" si="249"/>
        <v>0.50974504953018429</v>
      </c>
      <c r="BU82" s="310">
        <f t="shared" si="249"/>
        <v>0.509861616074752</v>
      </c>
      <c r="BV82" s="310">
        <f t="shared" si="249"/>
        <v>0.51032596702319932</v>
      </c>
      <c r="BW82" s="311">
        <f t="shared" si="249"/>
        <v>0.51009683155200658</v>
      </c>
      <c r="BX82" s="104"/>
      <c r="BY82" s="310">
        <f>BY81/BY67</f>
        <v>0</v>
      </c>
      <c r="BZ82" s="310">
        <f>BZ81/BZ67</f>
        <v>0</v>
      </c>
      <c r="CA82" s="310">
        <f>CA81/CA67</f>
        <v>0</v>
      </c>
      <c r="CB82" s="310">
        <f>CB81/CB67</f>
        <v>0</v>
      </c>
      <c r="CC82" s="310">
        <f>CC81/CC67</f>
        <v>0</v>
      </c>
      <c r="CD82" s="310">
        <f t="shared" ref="CD82:CN82" si="250">CD81/CD67</f>
        <v>0</v>
      </c>
      <c r="CE82" s="310">
        <f t="shared" si="250"/>
        <v>0</v>
      </c>
      <c r="CF82" s="310">
        <f t="shared" si="250"/>
        <v>0</v>
      </c>
      <c r="CG82" s="310">
        <f t="shared" si="250"/>
        <v>0</v>
      </c>
      <c r="CH82" s="310">
        <f t="shared" si="250"/>
        <v>0</v>
      </c>
      <c r="CI82" s="311">
        <f t="shared" si="250"/>
        <v>0</v>
      </c>
      <c r="CJ82" s="310">
        <f t="shared" si="250"/>
        <v>0.44627738500480058</v>
      </c>
      <c r="CK82" s="310">
        <f t="shared" si="250"/>
        <v>0.477074637859072</v>
      </c>
      <c r="CL82" s="310">
        <f t="shared" si="250"/>
        <v>0.50629370629370629</v>
      </c>
      <c r="CM82" s="310">
        <f t="shared" si="250"/>
        <v>0.50440926767815086</v>
      </c>
      <c r="CN82" s="310">
        <f t="shared" si="250"/>
        <v>0.50914635799700769</v>
      </c>
      <c r="CO82" s="310">
        <f>CO81/CO67</f>
        <v>0.50920122497966869</v>
      </c>
      <c r="CP82" s="310">
        <f>CP81/CP67</f>
        <v>0.51000679389741965</v>
      </c>
      <c r="CQ82" s="509"/>
      <c r="CR82" s="105"/>
      <c r="CS82" s="105"/>
      <c r="CT82" s="105"/>
      <c r="CU82" s="641"/>
      <c r="CV82" s="641"/>
      <c r="CW82" s="641"/>
      <c r="CX82" s="641"/>
      <c r="CY82" s="641"/>
      <c r="CZ82" s="641"/>
      <c r="DA82" s="641"/>
      <c r="DB82" s="641"/>
      <c r="DC82" s="641"/>
      <c r="DD82" s="641"/>
      <c r="DE82" s="641"/>
      <c r="DF82" s="641"/>
    </row>
    <row r="83" spans="1:110" ht="15">
      <c r="B83" s="653"/>
      <c r="C83" s="652"/>
      <c r="D83" s="641"/>
      <c r="E83" s="641"/>
      <c r="F83" s="641"/>
      <c r="G83" s="767"/>
      <c r="H83" s="641"/>
      <c r="I83" s="641"/>
      <c r="J83" s="641"/>
      <c r="K83" s="767"/>
      <c r="L83" s="641"/>
      <c r="M83" s="641"/>
      <c r="N83" s="641"/>
      <c r="O83" s="767"/>
      <c r="P83" s="641"/>
      <c r="Q83" s="641"/>
      <c r="R83" s="641"/>
      <c r="S83" s="767"/>
      <c r="T83" s="641"/>
      <c r="U83" s="641"/>
      <c r="V83" s="641"/>
      <c r="W83" s="767"/>
      <c r="X83" s="641"/>
      <c r="Y83" s="641"/>
      <c r="Z83" s="641"/>
      <c r="AA83" s="767"/>
      <c r="AB83" s="641"/>
      <c r="AC83" s="641"/>
      <c r="AD83" s="641"/>
      <c r="AE83" s="641"/>
      <c r="AF83" s="642"/>
      <c r="AG83" s="642"/>
      <c r="AH83" s="642"/>
      <c r="AI83" s="642"/>
      <c r="AJ83" s="642"/>
      <c r="AK83" s="642"/>
      <c r="AL83" s="642"/>
      <c r="AM83" s="642"/>
      <c r="AN83" s="642"/>
      <c r="AO83" s="642"/>
      <c r="AP83" s="642"/>
      <c r="AQ83" s="642"/>
      <c r="AU83" s="15"/>
      <c r="AV83" s="665"/>
      <c r="AW83" s="665"/>
      <c r="AX83" s="665"/>
      <c r="AY83" s="666"/>
      <c r="AZ83" s="665"/>
      <c r="BA83" s="665"/>
      <c r="BB83" s="665"/>
      <c r="BC83" s="666"/>
      <c r="BD83" s="665"/>
      <c r="BE83" s="665"/>
      <c r="BF83" s="665"/>
      <c r="BG83" s="666"/>
      <c r="BH83" s="665"/>
      <c r="BI83" s="665"/>
      <c r="BJ83" s="665"/>
      <c r="BK83" s="666"/>
      <c r="BL83" s="665"/>
      <c r="BM83" s="665"/>
      <c r="BN83" s="665"/>
      <c r="BO83" s="666"/>
      <c r="BP83" s="665"/>
      <c r="BQ83" s="665"/>
      <c r="BR83" s="665"/>
      <c r="BS83" s="666"/>
      <c r="BT83" s="665"/>
      <c r="BU83" s="665"/>
      <c r="BV83" s="665"/>
      <c r="BW83" s="666"/>
      <c r="BX83" s="104"/>
      <c r="BY83" s="665"/>
      <c r="BZ83" s="665"/>
      <c r="CA83" s="665"/>
      <c r="CB83" s="665"/>
      <c r="CC83" s="665"/>
      <c r="CD83" s="665"/>
      <c r="CE83" s="665"/>
      <c r="CF83" s="665"/>
      <c r="CG83" s="665"/>
      <c r="CH83" s="665"/>
      <c r="CI83" s="666"/>
      <c r="CJ83" s="665"/>
      <c r="CK83" s="665"/>
      <c r="CL83" s="665"/>
      <c r="CM83" s="665"/>
      <c r="CN83" s="665"/>
      <c r="CO83" s="665"/>
      <c r="CP83" s="665"/>
      <c r="CQ83" s="509"/>
      <c r="CR83" s="105"/>
      <c r="CS83" s="105"/>
      <c r="CT83" s="105"/>
      <c r="CU83" s="641"/>
      <c r="CV83" s="641"/>
      <c r="CW83" s="641"/>
      <c r="CX83" s="641"/>
      <c r="CY83" s="641"/>
      <c r="CZ83" s="641"/>
      <c r="DA83" s="641"/>
      <c r="DB83" s="641"/>
      <c r="DC83" s="641"/>
      <c r="DD83" s="641"/>
      <c r="DE83" s="641"/>
      <c r="DF83" s="641"/>
    </row>
    <row r="84" spans="1:110" ht="15">
      <c r="B84" s="653" t="s">
        <v>401</v>
      </c>
      <c r="C84" s="652"/>
      <c r="D84" s="641"/>
      <c r="E84" s="641"/>
      <c r="F84" s="641"/>
      <c r="G84" s="767"/>
      <c r="H84" s="641"/>
      <c r="I84" s="641"/>
      <c r="J84" s="641"/>
      <c r="K84" s="767"/>
      <c r="L84" s="641"/>
      <c r="M84" s="641"/>
      <c r="N84" s="641"/>
      <c r="O84" s="767"/>
      <c r="P84" s="641"/>
      <c r="Q84" s="641"/>
      <c r="R84" s="641"/>
      <c r="S84" s="767"/>
      <c r="T84" s="641"/>
      <c r="U84" s="641"/>
      <c r="V84" s="641"/>
      <c r="W84" s="767"/>
      <c r="X84" s="641"/>
      <c r="Y84" s="641"/>
      <c r="Z84" s="641"/>
      <c r="AA84" s="767"/>
      <c r="AB84" s="641"/>
      <c r="AC84" s="641"/>
      <c r="AD84" s="641"/>
      <c r="AE84" s="641"/>
      <c r="AF84" s="642"/>
      <c r="AG84" s="642"/>
      <c r="AH84" s="642"/>
      <c r="AI84" s="642"/>
      <c r="AJ84" s="642"/>
      <c r="AK84" s="642"/>
      <c r="AL84" s="642"/>
      <c r="AM84" s="642"/>
      <c r="AN84" s="642"/>
      <c r="AO84" s="642"/>
      <c r="AP84" s="642"/>
      <c r="AQ84" s="642"/>
      <c r="AU84" s="15"/>
      <c r="AV84" s="670">
        <f>IS!AV24</f>
        <v>222</v>
      </c>
      <c r="AW84" s="670">
        <f>IS!AW24</f>
        <v>212.39999999999998</v>
      </c>
      <c r="AX84" s="670">
        <f>IS!AX24</f>
        <v>264.2</v>
      </c>
      <c r="AY84" s="671">
        <f>IS!AY24</f>
        <v>324.00000000000006</v>
      </c>
      <c r="AZ84" s="670">
        <f>IS!AZ24</f>
        <v>373</v>
      </c>
      <c r="BA84" s="670">
        <f>IS!BA24</f>
        <v>352.20000000000005</v>
      </c>
      <c r="BB84" s="670">
        <f>IS!BB24</f>
        <v>393.1</v>
      </c>
      <c r="BC84" s="671">
        <f>IS!BC24</f>
        <v>436.19999999999993</v>
      </c>
      <c r="BD84" s="670">
        <f>IS!BD24</f>
        <v>472.09999999999997</v>
      </c>
      <c r="BE84" s="670">
        <f>IS!BE24</f>
        <v>390.40000000000003</v>
      </c>
      <c r="BF84" s="670">
        <f>IS!BF24</f>
        <v>378.30000000000007</v>
      </c>
      <c r="BG84" s="671">
        <f>IS!BG24</f>
        <v>424.4</v>
      </c>
      <c r="BH84" s="670">
        <f>IS!BH24</f>
        <v>463.9</v>
      </c>
      <c r="BI84" s="670">
        <f>IS!BI24</f>
        <v>425.40000000000003</v>
      </c>
      <c r="BJ84" s="670">
        <f>IS!BJ24</f>
        <v>453.59999999999997</v>
      </c>
      <c r="BK84" s="671">
        <f>IS!BK24</f>
        <v>498.90000000000003</v>
      </c>
      <c r="BL84" s="670">
        <f>IS!BL24</f>
        <v>536.80000000000007</v>
      </c>
      <c r="BM84" s="670">
        <f>IS!BM24</f>
        <v>454.17276951500008</v>
      </c>
      <c r="BN84" s="670">
        <f>IS!BN24</f>
        <v>437.95224430460007</v>
      </c>
      <c r="BO84" s="671">
        <f>IS!BO24</f>
        <v>521.50962871826755</v>
      </c>
      <c r="BP84" s="670">
        <f>IS!BP24</f>
        <v>543.29617461205362</v>
      </c>
      <c r="BQ84" s="670">
        <f>IS!BQ24</f>
        <v>493.13448413302626</v>
      </c>
      <c r="BR84" s="670">
        <f>IS!BR24</f>
        <v>493.80447704570258</v>
      </c>
      <c r="BS84" s="671">
        <f>IS!BS24</f>
        <v>532.70433891925995</v>
      </c>
      <c r="BT84" s="670">
        <f>IS!BT24</f>
        <v>555.04129554502299</v>
      </c>
      <c r="BU84" s="670">
        <f>IS!BU24</f>
        <v>524.79513264450122</v>
      </c>
      <c r="BV84" s="670">
        <f>IS!BV24</f>
        <v>532.16430720485164</v>
      </c>
      <c r="BW84" s="671">
        <f>IS!BW24</f>
        <v>575.52678708576877</v>
      </c>
      <c r="BX84" s="104"/>
      <c r="BY84" s="670">
        <f>IS!BY24</f>
        <v>246.84899999999999</v>
      </c>
      <c r="BZ84" s="670">
        <f>IS!BZ24</f>
        <v>313.21599999999989</v>
      </c>
      <c r="CA84" s="670">
        <f>IS!CA24</f>
        <v>307.77200000000005</v>
      </c>
      <c r="CB84" s="670">
        <f>IS!CB24</f>
        <v>262.67899999999997</v>
      </c>
      <c r="CC84" s="670">
        <f>IS!CC24</f>
        <v>287.38499999999993</v>
      </c>
      <c r="CD84" s="670">
        <f>IS!CD24</f>
        <v>342.96300000000008</v>
      </c>
      <c r="CE84" s="670">
        <f>IS!CE24</f>
        <v>318.21999999999991</v>
      </c>
      <c r="CF84" s="670">
        <f>IS!CF24</f>
        <v>456.83299999999997</v>
      </c>
      <c r="CG84" s="670">
        <f>IS!CG24</f>
        <v>620.30400000000009</v>
      </c>
      <c r="CH84" s="670">
        <f>IS!CH24</f>
        <v>667.09700000000021</v>
      </c>
      <c r="CI84" s="671">
        <f>IS!CI24</f>
        <v>766.56500000000005</v>
      </c>
      <c r="CJ84" s="670">
        <f>IS!CJ24</f>
        <v>1022.6000000000001</v>
      </c>
      <c r="CK84" s="670">
        <f>IS!CK24</f>
        <v>1554.4999999999995</v>
      </c>
      <c r="CL84" s="670">
        <f>IS!CL24</f>
        <v>1665.2000000000005</v>
      </c>
      <c r="CM84" s="670">
        <f>IS!CM24</f>
        <v>1841.8</v>
      </c>
      <c r="CN84" s="670">
        <f>IS!CN24</f>
        <v>1950.4346425378678</v>
      </c>
      <c r="CO84" s="670">
        <f>IS!CO24</f>
        <v>2062.9394747100423</v>
      </c>
      <c r="CP84" s="670">
        <f>IS!CP24</f>
        <v>2187.5275224801453</v>
      </c>
      <c r="CQ84" s="509"/>
      <c r="CR84" s="105"/>
      <c r="CS84" s="105"/>
      <c r="CT84" s="105"/>
      <c r="CU84" s="641"/>
      <c r="CV84" s="641"/>
      <c r="CW84" s="641"/>
      <c r="CX84" s="641"/>
      <c r="CY84" s="641"/>
      <c r="CZ84" s="641"/>
      <c r="DA84" s="641"/>
      <c r="DB84" s="641"/>
      <c r="DC84" s="641"/>
      <c r="DD84" s="641"/>
      <c r="DE84" s="641"/>
      <c r="DF84" s="641"/>
    </row>
    <row r="85" spans="1:110" ht="15">
      <c r="B85" s="674" t="s">
        <v>402</v>
      </c>
      <c r="C85" s="675"/>
      <c r="D85" s="673"/>
      <c r="E85" s="673"/>
      <c r="F85" s="673"/>
      <c r="G85" s="766"/>
      <c r="H85" s="673"/>
      <c r="I85" s="673"/>
      <c r="J85" s="673"/>
      <c r="K85" s="766"/>
      <c r="L85" s="673"/>
      <c r="M85" s="673"/>
      <c r="N85" s="673"/>
      <c r="O85" s="766"/>
      <c r="P85" s="673"/>
      <c r="Q85" s="673"/>
      <c r="R85" s="673"/>
      <c r="S85" s="766"/>
      <c r="T85" s="673"/>
      <c r="U85" s="673"/>
      <c r="V85" s="673"/>
      <c r="W85" s="766"/>
      <c r="X85" s="673"/>
      <c r="Y85" s="673"/>
      <c r="Z85" s="673"/>
      <c r="AA85" s="766"/>
      <c r="AB85" s="673"/>
      <c r="AC85" s="673"/>
      <c r="AD85" s="673"/>
      <c r="AE85" s="673"/>
      <c r="AF85" s="672"/>
      <c r="AG85" s="672"/>
      <c r="AH85" s="672"/>
      <c r="AI85" s="672"/>
      <c r="AJ85" s="672"/>
      <c r="AK85" s="672"/>
      <c r="AL85" s="672"/>
      <c r="AM85" s="672"/>
      <c r="AN85" s="672"/>
      <c r="AO85" s="672"/>
      <c r="AP85" s="672"/>
      <c r="AQ85" s="672"/>
      <c r="AR85" s="23"/>
      <c r="AS85" s="23"/>
      <c r="AT85" s="23"/>
      <c r="AU85" s="10"/>
      <c r="AV85" s="676">
        <f>IS!AV66</f>
        <v>116</v>
      </c>
      <c r="AW85" s="676">
        <f>IS!AW66</f>
        <v>102.59999999999998</v>
      </c>
      <c r="AX85" s="676">
        <f>IS!AX66</f>
        <v>148.5</v>
      </c>
      <c r="AY85" s="677">
        <f>IS!AY66</f>
        <v>198.10000000000005</v>
      </c>
      <c r="AZ85" s="676">
        <f>IS!AZ66</f>
        <v>246.8</v>
      </c>
      <c r="BA85" s="676">
        <f>IS!BA66</f>
        <v>219.90000000000003</v>
      </c>
      <c r="BB85" s="676">
        <f>IS!BB66</f>
        <v>258.8</v>
      </c>
      <c r="BC85" s="677">
        <f>IS!BC66</f>
        <v>297.59999999999991</v>
      </c>
      <c r="BD85" s="676">
        <f>IS!BD66</f>
        <v>330.5</v>
      </c>
      <c r="BE85" s="676">
        <f>IS!BE66</f>
        <v>257.70000000000005</v>
      </c>
      <c r="BF85" s="676">
        <f>IS!BF66</f>
        <v>238.60000000000005</v>
      </c>
      <c r="BG85" s="677">
        <f>IS!BG66</f>
        <v>291.89999999999998</v>
      </c>
      <c r="BH85" s="676">
        <f>IS!BH66</f>
        <v>321.89999999999998</v>
      </c>
      <c r="BI85" s="676">
        <f>IS!BI66</f>
        <v>281.20000000000005</v>
      </c>
      <c r="BJ85" s="676">
        <f>IS!BJ66</f>
        <v>304.79999999999995</v>
      </c>
      <c r="BK85" s="677">
        <f>IS!BK66</f>
        <v>345.90000000000003</v>
      </c>
      <c r="BL85" s="676">
        <f>IS!BL66</f>
        <v>383.50000000000006</v>
      </c>
      <c r="BM85" s="676">
        <f>IS!BM66</f>
        <v>301.41862164000008</v>
      </c>
      <c r="BN85" s="676">
        <f>IS!BN66</f>
        <v>288.12514260206979</v>
      </c>
      <c r="BO85" s="677">
        <f>IS!BO66</f>
        <v>362.09591293334381</v>
      </c>
      <c r="BP85" s="676">
        <f>IS!BP66</f>
        <v>380.60012096013537</v>
      </c>
      <c r="BQ85" s="676">
        <f>IS!BQ66</f>
        <v>337.71603102624186</v>
      </c>
      <c r="BR85" s="676">
        <f>IS!BR66</f>
        <v>338.36296207133626</v>
      </c>
      <c r="BS85" s="677">
        <f>IS!BS66</f>
        <v>369.6206474993005</v>
      </c>
      <c r="BT85" s="676">
        <f>IS!BT66</f>
        <v>388.51698738607223</v>
      </c>
      <c r="BU85" s="676">
        <f>IS!BU66</f>
        <v>362.79361500308221</v>
      </c>
      <c r="BV85" s="676">
        <f>IS!BV66</f>
        <v>368.82851396975445</v>
      </c>
      <c r="BW85" s="677">
        <f>IS!BW66</f>
        <v>403.78005236213482</v>
      </c>
      <c r="BX85" s="104"/>
      <c r="BY85" s="676">
        <f>IS!BY66</f>
        <v>-33.539000000000044</v>
      </c>
      <c r="BZ85" s="676">
        <f>IS!BZ66</f>
        <v>42.651999999999873</v>
      </c>
      <c r="CA85" s="676">
        <f>IS!CA66</f>
        <v>50.133000000000095</v>
      </c>
      <c r="CB85" s="676">
        <f>IS!CB66</f>
        <v>-66.32729999999998</v>
      </c>
      <c r="CC85" s="676">
        <f>IS!CC66</f>
        <v>58.485999999999905</v>
      </c>
      <c r="CD85" s="676">
        <f>IS!CD66</f>
        <v>90.371000000000066</v>
      </c>
      <c r="CE85" s="676">
        <f>IS!CE66</f>
        <v>71.702999999999946</v>
      </c>
      <c r="CF85" s="676">
        <f>IS!CF66</f>
        <v>199.74400000000003</v>
      </c>
      <c r="CG85" s="676">
        <f>IS!CG66</f>
        <v>295.32400000000007</v>
      </c>
      <c r="CH85" s="676">
        <f>IS!CH66</f>
        <v>255.63400000000024</v>
      </c>
      <c r="CI85" s="677">
        <f>IS!CI66</f>
        <v>345.08300000000003</v>
      </c>
      <c r="CJ85" s="676">
        <f>IS!CJ66</f>
        <v>565.20000000000016</v>
      </c>
      <c r="CK85" s="676">
        <f>IS!CK66</f>
        <v>1023.0999999999995</v>
      </c>
      <c r="CL85" s="676">
        <f>IS!CL66</f>
        <v>1118.7000000000005</v>
      </c>
      <c r="CM85" s="676">
        <f>IS!CM66</f>
        <v>1253.8</v>
      </c>
      <c r="CN85" s="676">
        <f>IS!CN66</f>
        <v>1335.1396771754139</v>
      </c>
      <c r="CO85" s="676">
        <f>IS!CO66</f>
        <v>1426.2997615570139</v>
      </c>
      <c r="CP85" s="676">
        <f>IS!CP66</f>
        <v>1523.9191687210446</v>
      </c>
      <c r="CQ85" s="509"/>
      <c r="CR85" s="105"/>
      <c r="CS85" s="105"/>
      <c r="CT85" s="105"/>
      <c r="CU85" s="641"/>
      <c r="CV85" s="641"/>
      <c r="CW85" s="641"/>
      <c r="CX85" s="641"/>
      <c r="CY85" s="641"/>
      <c r="CZ85" s="641"/>
      <c r="DA85" s="641"/>
      <c r="DB85" s="641"/>
      <c r="DC85" s="641"/>
      <c r="DD85" s="641"/>
      <c r="DE85" s="641"/>
      <c r="DF85" s="641"/>
    </row>
    <row r="86" spans="1:110" ht="15">
      <c r="A86" s="105"/>
      <c r="B86" s="685"/>
      <c r="C86" s="652"/>
      <c r="D86" s="641"/>
      <c r="E86" s="641"/>
      <c r="F86" s="641"/>
      <c r="G86" s="641"/>
      <c r="H86" s="641"/>
      <c r="I86" s="641"/>
      <c r="J86" s="641"/>
      <c r="K86" s="641"/>
      <c r="L86" s="641"/>
      <c r="M86" s="641"/>
      <c r="N86" s="641"/>
      <c r="O86" s="641"/>
      <c r="P86" s="641"/>
      <c r="Q86" s="641"/>
      <c r="R86" s="641"/>
      <c r="S86" s="641"/>
      <c r="T86" s="641"/>
      <c r="U86" s="641"/>
      <c r="V86" s="641"/>
      <c r="W86" s="641"/>
      <c r="X86" s="641"/>
      <c r="Y86" s="641"/>
      <c r="Z86" s="641"/>
      <c r="AA86" s="641"/>
      <c r="AB86" s="641"/>
      <c r="AC86" s="641"/>
      <c r="AD86" s="641"/>
      <c r="AE86" s="641"/>
      <c r="AF86" s="642"/>
      <c r="AG86" s="642"/>
      <c r="AH86" s="642"/>
      <c r="AI86" s="642"/>
      <c r="AJ86" s="642"/>
      <c r="AK86" s="642"/>
      <c r="AL86" s="642"/>
      <c r="AM86" s="642"/>
      <c r="AN86" s="642"/>
      <c r="AO86" s="642"/>
      <c r="AP86" s="642"/>
      <c r="AQ86" s="642"/>
      <c r="AR86" s="105"/>
      <c r="AS86" s="105"/>
      <c r="AT86" s="105"/>
      <c r="AU86" s="105"/>
      <c r="AV86" s="670"/>
      <c r="AW86" s="670"/>
      <c r="AX86" s="670"/>
      <c r="AY86" s="670"/>
      <c r="AZ86" s="670"/>
      <c r="BA86" s="670"/>
      <c r="BB86" s="670"/>
      <c r="BC86" s="670"/>
      <c r="BD86" s="670"/>
      <c r="BE86" s="670"/>
      <c r="BF86" s="670"/>
      <c r="BG86" s="670"/>
      <c r="BH86" s="670"/>
      <c r="BI86" s="670"/>
      <c r="BJ86" s="670"/>
      <c r="BK86" s="670"/>
      <c r="BL86" s="670"/>
      <c r="BM86" s="670"/>
      <c r="BN86" s="670"/>
      <c r="BO86" s="670"/>
      <c r="BP86" s="670"/>
      <c r="BQ86" s="670"/>
      <c r="BR86" s="670"/>
      <c r="BS86" s="670"/>
      <c r="BT86" s="670"/>
      <c r="BU86" s="670"/>
      <c r="BV86" s="670"/>
      <c r="BW86" s="670"/>
      <c r="BX86" s="105"/>
      <c r="BY86" s="643"/>
      <c r="BZ86" s="643"/>
      <c r="CA86" s="643"/>
      <c r="CB86" s="643"/>
      <c r="CC86" s="643"/>
      <c r="CD86" s="643"/>
      <c r="CE86" s="643"/>
      <c r="CF86" s="643"/>
      <c r="CG86" s="643"/>
      <c r="CH86" s="643"/>
      <c r="CI86" s="641"/>
      <c r="CJ86" s="641"/>
      <c r="CK86" s="641"/>
      <c r="CL86" s="641"/>
      <c r="CM86" s="641"/>
      <c r="CN86" s="641"/>
      <c r="CO86" s="641"/>
      <c r="CP86" s="641"/>
      <c r="CQ86" s="105"/>
      <c r="CR86" s="105"/>
      <c r="CS86" s="105"/>
      <c r="CT86" s="105"/>
      <c r="CU86" s="641"/>
      <c r="CV86" s="641"/>
      <c r="CW86" s="641"/>
      <c r="CX86" s="641"/>
      <c r="CY86" s="641"/>
      <c r="CZ86" s="641"/>
      <c r="DA86" s="641"/>
      <c r="DB86" s="641"/>
      <c r="DC86" s="641"/>
      <c r="DD86" s="641"/>
      <c r="DE86" s="641"/>
      <c r="DF86" s="641"/>
    </row>
    <row r="87" spans="1:110" s="118" customFormat="1" ht="15">
      <c r="B87" s="546" t="s">
        <v>333</v>
      </c>
      <c r="C87" s="547"/>
      <c r="D87" s="570" t="str">
        <f t="shared" ref="D87:X87" si="251">+D$8</f>
        <v>F1Q03A</v>
      </c>
      <c r="E87" s="570" t="str">
        <f t="shared" si="251"/>
        <v>F2Q03A</v>
      </c>
      <c r="F87" s="570" t="str">
        <f t="shared" si="251"/>
        <v>F3Q03A</v>
      </c>
      <c r="G87" s="570" t="str">
        <f t="shared" si="251"/>
        <v>F4Q03A</v>
      </c>
      <c r="H87" s="570" t="str">
        <f t="shared" si="251"/>
        <v>F1Q04A</v>
      </c>
      <c r="I87" s="570" t="str">
        <f t="shared" si="251"/>
        <v>F2Q04A</v>
      </c>
      <c r="J87" s="570" t="str">
        <f t="shared" si="251"/>
        <v>F3Q04A</v>
      </c>
      <c r="K87" s="570" t="str">
        <f t="shared" si="251"/>
        <v>F4Q04A</v>
      </c>
      <c r="L87" s="570" t="str">
        <f t="shared" si="251"/>
        <v>F1Q05A</v>
      </c>
      <c r="M87" s="570" t="str">
        <f t="shared" si="251"/>
        <v>F2Q05A</v>
      </c>
      <c r="N87" s="570" t="str">
        <f t="shared" si="251"/>
        <v>F3Q05A</v>
      </c>
      <c r="O87" s="570" t="str">
        <f t="shared" si="251"/>
        <v>F4Q05A</v>
      </c>
      <c r="P87" s="570" t="str">
        <f t="shared" si="251"/>
        <v>F1Q06A</v>
      </c>
      <c r="Q87" s="570" t="str">
        <f t="shared" si="251"/>
        <v>F2Q06A</v>
      </c>
      <c r="R87" s="570" t="str">
        <f t="shared" si="251"/>
        <v>F3Q06A</v>
      </c>
      <c r="S87" s="570" t="str">
        <f t="shared" si="251"/>
        <v>F4Q06A</v>
      </c>
      <c r="T87" s="570" t="str">
        <f t="shared" si="251"/>
        <v>F1Q07A</v>
      </c>
      <c r="U87" s="570" t="str">
        <f t="shared" si="251"/>
        <v>F2Q07A</v>
      </c>
      <c r="V87" s="570" t="str">
        <f t="shared" si="251"/>
        <v>F3Q07A</v>
      </c>
      <c r="W87" s="570" t="str">
        <f t="shared" si="251"/>
        <v>F4Q07A</v>
      </c>
      <c r="X87" s="570" t="str">
        <f t="shared" si="251"/>
        <v>F1Q08A</v>
      </c>
      <c r="Y87" s="570" t="str">
        <f t="shared" ref="Y87:AQ87" si="252">+Y$8</f>
        <v>F2Q08A</v>
      </c>
      <c r="Z87" s="570" t="str">
        <f t="shared" si="252"/>
        <v>F3Q08A</v>
      </c>
      <c r="AA87" s="570" t="str">
        <f t="shared" si="252"/>
        <v>F4Q08A</v>
      </c>
      <c r="AB87" s="573" t="str">
        <f t="shared" si="252"/>
        <v>F1Q09A</v>
      </c>
      <c r="AC87" s="570" t="str">
        <f t="shared" si="252"/>
        <v>F2Q09A</v>
      </c>
      <c r="AD87" s="570" t="str">
        <f t="shared" si="252"/>
        <v>F3Q09A</v>
      </c>
      <c r="AE87" s="571" t="str">
        <f t="shared" si="252"/>
        <v>F4Q09A</v>
      </c>
      <c r="AF87" s="570" t="str">
        <f t="shared" si="252"/>
        <v>F1Q10A</v>
      </c>
      <c r="AG87" s="570" t="str">
        <f t="shared" si="252"/>
        <v>F2Q10A</v>
      </c>
      <c r="AH87" s="570" t="str">
        <f t="shared" si="252"/>
        <v>F3Q10A</v>
      </c>
      <c r="AI87" s="570" t="str">
        <f t="shared" si="252"/>
        <v>F4Q10A</v>
      </c>
      <c r="AJ87" s="573" t="str">
        <f t="shared" si="252"/>
        <v>F1Q11A</v>
      </c>
      <c r="AK87" s="570" t="str">
        <f t="shared" si="252"/>
        <v>F2Q11A</v>
      </c>
      <c r="AL87" s="570" t="str">
        <f t="shared" si="252"/>
        <v>F3Q11A</v>
      </c>
      <c r="AM87" s="571" t="str">
        <f t="shared" si="252"/>
        <v>F4Q11A</v>
      </c>
      <c r="AN87" s="570" t="str">
        <f t="shared" si="252"/>
        <v>F1Q12A</v>
      </c>
      <c r="AO87" s="570" t="str">
        <f t="shared" si="252"/>
        <v>F2Q12A</v>
      </c>
      <c r="AP87" s="570" t="str">
        <f t="shared" si="252"/>
        <v>F3Q12A</v>
      </c>
      <c r="AQ87" s="571" t="str">
        <f t="shared" si="252"/>
        <v>F4Q12A</v>
      </c>
      <c r="AR87" s="573" t="str">
        <f>+AR$8</f>
        <v>F1Q13A</v>
      </c>
      <c r="AS87" s="570" t="str">
        <f t="shared" ref="AS87:BW87" si="253">+AS$8</f>
        <v>F2Q13A</v>
      </c>
      <c r="AT87" s="570" t="str">
        <f t="shared" si="253"/>
        <v>F3Q13A</v>
      </c>
      <c r="AU87" s="571" t="str">
        <f t="shared" si="253"/>
        <v>F4Q13A</v>
      </c>
      <c r="AV87" s="570" t="str">
        <f t="shared" si="253"/>
        <v>F1Q14A</v>
      </c>
      <c r="AW87" s="570" t="str">
        <f t="shared" si="253"/>
        <v>F2Q14A</v>
      </c>
      <c r="AX87" s="570" t="str">
        <f t="shared" si="253"/>
        <v>F3Q14A</v>
      </c>
      <c r="AY87" s="571" t="str">
        <f t="shared" si="253"/>
        <v>F4Q14A</v>
      </c>
      <c r="AZ87" s="570" t="str">
        <f t="shared" si="253"/>
        <v>F1Q15A</v>
      </c>
      <c r="BA87" s="570" t="str">
        <f t="shared" si="253"/>
        <v>F2Q15A</v>
      </c>
      <c r="BB87" s="570" t="str">
        <f t="shared" si="253"/>
        <v>F3Q15A</v>
      </c>
      <c r="BC87" s="571" t="str">
        <f t="shared" si="253"/>
        <v>F4Q15A</v>
      </c>
      <c r="BD87" s="570" t="str">
        <f t="shared" si="253"/>
        <v>F1Q16A</v>
      </c>
      <c r="BE87" s="570" t="str">
        <f t="shared" si="253"/>
        <v>F2Q16A</v>
      </c>
      <c r="BF87" s="570" t="str">
        <f t="shared" si="253"/>
        <v>F3Q16A</v>
      </c>
      <c r="BG87" s="571" t="str">
        <f t="shared" si="253"/>
        <v>F4Q16A</v>
      </c>
      <c r="BH87" s="570" t="str">
        <f t="shared" si="253"/>
        <v>F1Q17A</v>
      </c>
      <c r="BI87" s="570" t="str">
        <f t="shared" si="253"/>
        <v>F2Q17A</v>
      </c>
      <c r="BJ87" s="570" t="str">
        <f t="shared" si="253"/>
        <v>F3Q17A</v>
      </c>
      <c r="BK87" s="571" t="str">
        <f t="shared" si="253"/>
        <v>F4Q17A</v>
      </c>
      <c r="BL87" s="570" t="str">
        <f t="shared" si="253"/>
        <v>F1Q18A</v>
      </c>
      <c r="BM87" s="570" t="str">
        <f>+BM$8</f>
        <v>F2Q18E</v>
      </c>
      <c r="BN87" s="570" t="str">
        <f>+BN$8</f>
        <v>F3Q18E</v>
      </c>
      <c r="BO87" s="571" t="str">
        <f>+BO$8</f>
        <v>F4Q18E</v>
      </c>
      <c r="BP87" s="570" t="str">
        <f>+BP$8</f>
        <v>F1Q19E</v>
      </c>
      <c r="BQ87" s="570" t="str">
        <f>+BQ$8</f>
        <v>F2Q19E</v>
      </c>
      <c r="BR87" s="570" t="str">
        <f>+BR$8</f>
        <v>F3Q19E</v>
      </c>
      <c r="BS87" s="571" t="str">
        <f>+BS$8</f>
        <v>F4Q19E</v>
      </c>
      <c r="BT87" s="570" t="str">
        <f t="shared" si="253"/>
        <v>F1Q20E</v>
      </c>
      <c r="BU87" s="570" t="str">
        <f t="shared" si="253"/>
        <v>F2Q20E</v>
      </c>
      <c r="BV87" s="570" t="str">
        <f t="shared" si="253"/>
        <v>F3Q20E</v>
      </c>
      <c r="BW87" s="571" t="str">
        <f t="shared" si="253"/>
        <v>F4Q20E</v>
      </c>
      <c r="BX87" s="458"/>
      <c r="BY87" s="739" t="e">
        <f t="shared" ref="BY87:CD87" si="254">+BY$8</f>
        <v>#NAME?</v>
      </c>
      <c r="BZ87" s="739" t="e">
        <f t="shared" si="254"/>
        <v>#NAME?</v>
      </c>
      <c r="CA87" s="739" t="e">
        <f t="shared" si="254"/>
        <v>#NAME?</v>
      </c>
      <c r="CB87" s="739" t="e">
        <f t="shared" si="254"/>
        <v>#NAME?</v>
      </c>
      <c r="CC87" s="739" t="e">
        <f t="shared" si="254"/>
        <v>#NAME?</v>
      </c>
      <c r="CD87" s="739" t="e">
        <f t="shared" si="254"/>
        <v>#NAME?</v>
      </c>
      <c r="CE87" s="535" t="e">
        <f t="shared" ref="CE87:CP87" si="255">+CE$8</f>
        <v>#NAME?</v>
      </c>
      <c r="CF87" s="535" t="e">
        <f t="shared" si="255"/>
        <v>#NAME?</v>
      </c>
      <c r="CG87" s="535" t="e">
        <f t="shared" si="255"/>
        <v>#NAME?</v>
      </c>
      <c r="CH87" s="535" t="e">
        <f t="shared" si="255"/>
        <v>#NAME?</v>
      </c>
      <c r="CI87" s="535" t="str">
        <f t="shared" si="255"/>
        <v>FY2013A</v>
      </c>
      <c r="CJ87" s="572" t="str">
        <f t="shared" si="255"/>
        <v>FY2014A</v>
      </c>
      <c r="CK87" s="535" t="str">
        <f t="shared" si="255"/>
        <v>FY2015A</v>
      </c>
      <c r="CL87" s="535" t="str">
        <f t="shared" si="255"/>
        <v>FY2016A</v>
      </c>
      <c r="CM87" s="535" t="str">
        <f t="shared" si="255"/>
        <v>FY2017A</v>
      </c>
      <c r="CN87" s="535" t="str">
        <f t="shared" si="255"/>
        <v>FY2018E</v>
      </c>
      <c r="CO87" s="535" t="str">
        <f t="shared" si="255"/>
        <v>FY2019E</v>
      </c>
      <c r="CP87" s="536" t="str">
        <f t="shared" si="255"/>
        <v>FY2020E</v>
      </c>
      <c r="CQ87" s="305"/>
    </row>
    <row r="88" spans="1:110" s="545" customFormat="1" ht="14.25">
      <c r="B88" s="561" t="s">
        <v>329</v>
      </c>
      <c r="C88" s="543"/>
      <c r="D88" s="544"/>
      <c r="E88" s="543"/>
      <c r="F88" s="543"/>
      <c r="G88" s="768"/>
      <c r="H88" s="544"/>
      <c r="I88" s="543"/>
      <c r="J88" s="543"/>
      <c r="K88" s="768"/>
      <c r="L88" s="544"/>
      <c r="M88" s="543"/>
      <c r="N88" s="543"/>
      <c r="O88" s="768"/>
      <c r="P88" s="544"/>
      <c r="Q88" s="543"/>
      <c r="R88" s="543"/>
      <c r="S88" s="768"/>
      <c r="T88" s="544"/>
      <c r="U88" s="543"/>
      <c r="V88" s="543"/>
      <c r="W88" s="768"/>
      <c r="X88" s="544"/>
      <c r="Y88" s="543"/>
      <c r="Z88" s="543"/>
      <c r="AA88" s="543"/>
      <c r="AB88" s="574"/>
      <c r="AC88" s="543"/>
      <c r="AD88" s="543"/>
      <c r="AE88" s="562"/>
      <c r="AF88" s="543"/>
      <c r="AG88" s="543"/>
      <c r="AH88" s="543"/>
      <c r="AI88" s="543"/>
      <c r="AJ88" s="574"/>
      <c r="AK88" s="543"/>
      <c r="AL88" s="543"/>
      <c r="AM88" s="562"/>
      <c r="AN88" s="543"/>
      <c r="AO88" s="543"/>
      <c r="AP88" s="543"/>
      <c r="AQ88" s="562"/>
      <c r="AR88" s="574"/>
      <c r="AS88" s="543"/>
      <c r="AT88" s="543"/>
      <c r="AU88" s="562"/>
      <c r="AV88" s="543"/>
      <c r="AW88" s="543"/>
      <c r="AX88" s="543"/>
      <c r="AY88" s="562"/>
      <c r="AZ88" s="543"/>
      <c r="BA88" s="543"/>
      <c r="BB88" s="543"/>
      <c r="BC88" s="562"/>
      <c r="BD88" s="543"/>
      <c r="BE88" s="543"/>
      <c r="BF88" s="543"/>
      <c r="BG88" s="562"/>
      <c r="BH88" s="543"/>
      <c r="BI88" s="543"/>
      <c r="BJ88" s="543"/>
      <c r="BK88" s="562"/>
      <c r="BL88" s="543"/>
      <c r="BM88" s="543"/>
      <c r="BN88" s="543"/>
      <c r="BO88" s="562"/>
      <c r="BP88" s="543"/>
      <c r="BQ88" s="543"/>
      <c r="BR88" s="543"/>
      <c r="BS88" s="562"/>
      <c r="BT88" s="543"/>
      <c r="BU88" s="543"/>
      <c r="BV88" s="543"/>
      <c r="BW88" s="562"/>
      <c r="BX88" s="814"/>
      <c r="BY88" s="549">
        <f>+IS!BY8</f>
        <v>617.78899999999999</v>
      </c>
      <c r="BZ88" s="549">
        <f>+IS!BZ8</f>
        <v>784.02299999999991</v>
      </c>
      <c r="CA88" s="549">
        <f>+IS!CA8</f>
        <v>792.37099999999998</v>
      </c>
      <c r="CB88" s="549">
        <f>+IS!CB8</f>
        <v>773.75</v>
      </c>
      <c r="CC88" s="549">
        <f>+IS!CC8</f>
        <v>741.74399999999991</v>
      </c>
      <c r="CD88" s="549">
        <f>+IS!CD8</f>
        <v>860.01700000000005</v>
      </c>
      <c r="CE88" s="549">
        <f>+IS!CE8</f>
        <v>802.577</v>
      </c>
      <c r="CF88" s="549">
        <f>+IS!CF8</f>
        <v>1071.8489999999999</v>
      </c>
      <c r="CG88" s="549">
        <f>+IS!CG8</f>
        <v>1418.922</v>
      </c>
      <c r="CH88" s="549">
        <f>+IS!CH8</f>
        <v>1568.5810000000001</v>
      </c>
      <c r="CI88" s="549">
        <f>+IS!CI8</f>
        <v>1792.0230000000001</v>
      </c>
      <c r="CJ88" s="548">
        <f>+IS!CJ8</f>
        <v>2291.4</v>
      </c>
      <c r="CK88" s="549">
        <f>+IS!CK8</f>
        <v>3258.3999999999996</v>
      </c>
      <c r="CL88" s="549">
        <f>+IS!CL8</f>
        <v>3289.0000000000005</v>
      </c>
      <c r="CM88" s="549">
        <f>+IS!CM8</f>
        <v>3651.4</v>
      </c>
      <c r="CN88" s="549">
        <f>+IS!CN8</f>
        <v>3854.3625260487506</v>
      </c>
      <c r="CO88" s="549">
        <f>+IS!CO8</f>
        <v>4082.7464128607508</v>
      </c>
      <c r="CP88" s="550">
        <f>+IS!CP8</f>
        <v>4320.5846448456359</v>
      </c>
      <c r="CQ88" s="574"/>
    </row>
    <row r="89" spans="1:110" s="100" customFormat="1" ht="15">
      <c r="B89" s="255"/>
      <c r="C89" s="110"/>
      <c r="D89" s="537"/>
      <c r="E89" s="110"/>
      <c r="F89" s="110"/>
      <c r="G89" s="563"/>
      <c r="H89" s="537"/>
      <c r="I89" s="110"/>
      <c r="J89" s="110"/>
      <c r="K89" s="563"/>
      <c r="L89" s="537"/>
      <c r="M89" s="110"/>
      <c r="N89" s="110"/>
      <c r="O89" s="563"/>
      <c r="P89" s="537"/>
      <c r="Q89" s="110"/>
      <c r="R89" s="110"/>
      <c r="S89" s="563"/>
      <c r="T89" s="537"/>
      <c r="U89" s="110"/>
      <c r="V89" s="110"/>
      <c r="W89" s="563"/>
      <c r="X89" s="537"/>
      <c r="Y89" s="110"/>
      <c r="Z89" s="110"/>
      <c r="AA89" s="110"/>
      <c r="AB89" s="259"/>
      <c r="AC89" s="110"/>
      <c r="AD89" s="110"/>
      <c r="AE89" s="563"/>
      <c r="AF89" s="110"/>
      <c r="AG89" s="110"/>
      <c r="AH89" s="110"/>
      <c r="AI89" s="110"/>
      <c r="AJ89" s="259"/>
      <c r="AK89" s="110"/>
      <c r="AL89" s="110"/>
      <c r="AM89" s="563"/>
      <c r="AN89" s="110"/>
      <c r="AO89" s="110"/>
      <c r="AP89" s="110"/>
      <c r="AQ89" s="563"/>
      <c r="AR89" s="259"/>
      <c r="AS89" s="110"/>
      <c r="AT89" s="110"/>
      <c r="AU89" s="563"/>
      <c r="AV89" s="110"/>
      <c r="AW89" s="110"/>
      <c r="AX89" s="110"/>
      <c r="AY89" s="563"/>
      <c r="AZ89" s="110"/>
      <c r="BA89" s="110"/>
      <c r="BB89" s="110"/>
      <c r="BC89" s="563"/>
      <c r="BD89" s="110"/>
      <c r="BE89" s="110"/>
      <c r="BF89" s="110"/>
      <c r="BG89" s="563"/>
      <c r="BH89" s="110"/>
      <c r="BI89" s="110"/>
      <c r="BJ89" s="110"/>
      <c r="BK89" s="563"/>
      <c r="BL89" s="110"/>
      <c r="BM89" s="110"/>
      <c r="BN89" s="110"/>
      <c r="BO89" s="563"/>
      <c r="BP89" s="110"/>
      <c r="BQ89" s="110"/>
      <c r="BR89" s="110"/>
      <c r="BS89" s="563"/>
      <c r="BT89" s="110"/>
      <c r="BU89" s="110"/>
      <c r="BV89" s="110"/>
      <c r="BW89" s="563"/>
      <c r="BX89" s="215"/>
      <c r="BY89" s="809"/>
      <c r="BZ89" s="809"/>
      <c r="CA89" s="809"/>
      <c r="CB89" s="809"/>
      <c r="CC89" s="809"/>
      <c r="CD89" s="809"/>
      <c r="CE89" s="254"/>
      <c r="CF89" s="254"/>
      <c r="CG89" s="254"/>
      <c r="CH89" s="254"/>
      <c r="CI89" s="254"/>
      <c r="CJ89" s="253"/>
      <c r="CK89" s="254"/>
      <c r="CL89" s="254"/>
      <c r="CM89" s="254"/>
      <c r="CN89" s="254"/>
      <c r="CO89" s="254"/>
      <c r="CP89" s="551"/>
      <c r="CQ89" s="259"/>
    </row>
    <row r="90" spans="1:110" s="118" customFormat="1" ht="15">
      <c r="B90" s="255" t="s">
        <v>332</v>
      </c>
      <c r="C90" s="110"/>
      <c r="D90" s="537"/>
      <c r="E90" s="110"/>
      <c r="F90" s="110"/>
      <c r="G90" s="563"/>
      <c r="H90" s="537"/>
      <c r="I90" s="110"/>
      <c r="J90" s="110"/>
      <c r="K90" s="563"/>
      <c r="L90" s="537"/>
      <c r="M90" s="110"/>
      <c r="N90" s="110"/>
      <c r="O90" s="563"/>
      <c r="P90" s="537"/>
      <c r="Q90" s="110"/>
      <c r="R90" s="110"/>
      <c r="S90" s="563"/>
      <c r="T90" s="537"/>
      <c r="U90" s="110"/>
      <c r="V90" s="110"/>
      <c r="W90" s="563"/>
      <c r="X90" s="537"/>
      <c r="Y90" s="110"/>
      <c r="Z90" s="110"/>
      <c r="AA90" s="110"/>
      <c r="AB90" s="259"/>
      <c r="AC90" s="110"/>
      <c r="AD90" s="110"/>
      <c r="AE90" s="563"/>
      <c r="AF90" s="110"/>
      <c r="AG90" s="110"/>
      <c r="AH90" s="110"/>
      <c r="AI90" s="110"/>
      <c r="AJ90" s="259"/>
      <c r="AK90" s="110"/>
      <c r="AL90" s="110"/>
      <c r="AM90" s="563"/>
      <c r="AN90" s="110"/>
      <c r="AO90" s="110"/>
      <c r="AP90" s="110"/>
      <c r="AQ90" s="563"/>
      <c r="AR90" s="259"/>
      <c r="AS90" s="110"/>
      <c r="AT90" s="110"/>
      <c r="AU90" s="563"/>
      <c r="AV90" s="110"/>
      <c r="AW90" s="110"/>
      <c r="AX90" s="110"/>
      <c r="AY90" s="563"/>
      <c r="AZ90" s="110"/>
      <c r="BA90" s="110"/>
      <c r="BB90" s="110"/>
      <c r="BC90" s="563"/>
      <c r="BD90" s="110"/>
      <c r="BE90" s="110"/>
      <c r="BF90" s="110"/>
      <c r="BG90" s="563"/>
      <c r="BH90" s="110"/>
      <c r="BI90" s="110"/>
      <c r="BJ90" s="110"/>
      <c r="BK90" s="563"/>
      <c r="BL90" s="110"/>
      <c r="BM90" s="110"/>
      <c r="BN90" s="110"/>
      <c r="BO90" s="563"/>
      <c r="BP90" s="110"/>
      <c r="BQ90" s="110"/>
      <c r="BR90" s="110"/>
      <c r="BS90" s="563"/>
      <c r="BT90" s="110"/>
      <c r="BU90" s="110"/>
      <c r="BV90" s="110"/>
      <c r="BW90" s="563"/>
      <c r="BX90" s="458"/>
      <c r="BY90" s="809"/>
      <c r="BZ90" s="809"/>
      <c r="CA90" s="809"/>
      <c r="CB90" s="809"/>
      <c r="CC90" s="809"/>
      <c r="CD90" s="809"/>
      <c r="CE90" s="254"/>
      <c r="CF90" s="254"/>
      <c r="CG90" s="254"/>
      <c r="CH90" s="254"/>
      <c r="CI90" s="254"/>
      <c r="CJ90" s="253"/>
      <c r="CK90" s="254"/>
      <c r="CL90" s="254"/>
      <c r="CM90" s="254"/>
      <c r="CN90" s="254"/>
      <c r="CO90" s="254"/>
      <c r="CP90" s="551"/>
      <c r="CQ90" s="305"/>
    </row>
    <row r="91" spans="1:110" s="539" customFormat="1" ht="14.25">
      <c r="B91" s="564" t="s">
        <v>325</v>
      </c>
      <c r="C91" s="565"/>
      <c r="D91" s="565"/>
      <c r="E91" s="565"/>
      <c r="F91" s="565"/>
      <c r="G91" s="566"/>
      <c r="H91" s="565"/>
      <c r="I91" s="565"/>
      <c r="J91" s="565"/>
      <c r="K91" s="566"/>
      <c r="L91" s="565"/>
      <c r="M91" s="565"/>
      <c r="N91" s="565"/>
      <c r="O91" s="566"/>
      <c r="P91" s="565"/>
      <c r="Q91" s="565"/>
      <c r="R91" s="565"/>
      <c r="S91" s="566"/>
      <c r="T91" s="565"/>
      <c r="U91" s="565"/>
      <c r="V91" s="565"/>
      <c r="W91" s="566"/>
      <c r="X91" s="565"/>
      <c r="Y91" s="565"/>
      <c r="Z91" s="565"/>
      <c r="AA91" s="565"/>
      <c r="AB91" s="564"/>
      <c r="AC91" s="565"/>
      <c r="AD91" s="565"/>
      <c r="AE91" s="566"/>
      <c r="AF91" s="565"/>
      <c r="AG91" s="565"/>
      <c r="AH91" s="565"/>
      <c r="AI91" s="565"/>
      <c r="AJ91" s="564"/>
      <c r="AK91" s="565"/>
      <c r="AL91" s="565"/>
      <c r="AM91" s="566"/>
      <c r="AN91" s="565"/>
      <c r="AO91" s="565"/>
      <c r="AP91" s="565"/>
      <c r="AQ91" s="566"/>
      <c r="AR91" s="564"/>
      <c r="AS91" s="565"/>
      <c r="AT91" s="565"/>
      <c r="AU91" s="566"/>
      <c r="AV91" s="565"/>
      <c r="AW91" s="565"/>
      <c r="AX91" s="565"/>
      <c r="AY91" s="566"/>
      <c r="AZ91" s="565"/>
      <c r="BA91" s="565"/>
      <c r="BB91" s="565"/>
      <c r="BC91" s="566"/>
      <c r="BD91" s="565"/>
      <c r="BE91" s="565"/>
      <c r="BF91" s="565"/>
      <c r="BG91" s="566"/>
      <c r="BH91" s="565"/>
      <c r="BI91" s="565"/>
      <c r="BJ91" s="565"/>
      <c r="BK91" s="566"/>
      <c r="BL91" s="565"/>
      <c r="BM91" s="565"/>
      <c r="BN91" s="565"/>
      <c r="BO91" s="566"/>
      <c r="BP91" s="565"/>
      <c r="BQ91" s="565"/>
      <c r="BR91" s="565"/>
      <c r="BS91" s="566"/>
      <c r="BT91" s="565"/>
      <c r="BU91" s="565"/>
      <c r="BV91" s="565"/>
      <c r="BW91" s="566"/>
      <c r="BX91" s="815"/>
      <c r="BY91" s="553"/>
      <c r="BZ91" s="553"/>
      <c r="CA91" s="553"/>
      <c r="CB91" s="553"/>
      <c r="CC91" s="553"/>
      <c r="CD91" s="553"/>
      <c r="CE91" s="553"/>
      <c r="CF91" s="553">
        <v>0.13</v>
      </c>
      <c r="CG91" s="553">
        <v>0.27</v>
      </c>
      <c r="CH91" s="553">
        <v>0.28999999999999998</v>
      </c>
      <c r="CI91" s="553">
        <v>0.36</v>
      </c>
      <c r="CJ91" s="552">
        <v>0.34</v>
      </c>
      <c r="CK91" s="553">
        <v>0.44</v>
      </c>
      <c r="CL91" s="553"/>
      <c r="CM91" s="553"/>
      <c r="CN91" s="553"/>
      <c r="CO91" s="553"/>
      <c r="CP91" s="554"/>
      <c r="CQ91" s="564"/>
    </row>
    <row r="92" spans="1:110" s="539" customFormat="1" ht="14.25">
      <c r="B92" s="564" t="s">
        <v>273</v>
      </c>
      <c r="C92" s="565"/>
      <c r="D92" s="565"/>
      <c r="E92" s="565"/>
      <c r="F92" s="565"/>
      <c r="G92" s="566"/>
      <c r="H92" s="565"/>
      <c r="I92" s="565"/>
      <c r="J92" s="565"/>
      <c r="K92" s="566"/>
      <c r="L92" s="565"/>
      <c r="M92" s="565"/>
      <c r="N92" s="565"/>
      <c r="O92" s="566"/>
      <c r="P92" s="565"/>
      <c r="Q92" s="565"/>
      <c r="R92" s="565"/>
      <c r="S92" s="566"/>
      <c r="T92" s="565"/>
      <c r="U92" s="565"/>
      <c r="V92" s="565"/>
      <c r="W92" s="566"/>
      <c r="X92" s="565"/>
      <c r="Y92" s="565"/>
      <c r="Z92" s="565"/>
      <c r="AA92" s="565"/>
      <c r="AB92" s="564"/>
      <c r="AC92" s="565"/>
      <c r="AD92" s="565"/>
      <c r="AE92" s="566"/>
      <c r="AF92" s="565"/>
      <c r="AG92" s="565"/>
      <c r="AH92" s="565"/>
      <c r="AI92" s="565"/>
      <c r="AJ92" s="564"/>
      <c r="AK92" s="565"/>
      <c r="AL92" s="565"/>
      <c r="AM92" s="566"/>
      <c r="AN92" s="565"/>
      <c r="AO92" s="565"/>
      <c r="AP92" s="565"/>
      <c r="AQ92" s="566"/>
      <c r="AR92" s="564"/>
      <c r="AS92" s="565"/>
      <c r="AT92" s="565"/>
      <c r="AU92" s="566"/>
      <c r="AV92" s="565"/>
      <c r="AW92" s="565"/>
      <c r="AX92" s="565"/>
      <c r="AY92" s="566"/>
      <c r="AZ92" s="565"/>
      <c r="BA92" s="565"/>
      <c r="BB92" s="565"/>
      <c r="BC92" s="566"/>
      <c r="BD92" s="565"/>
      <c r="BE92" s="565"/>
      <c r="BF92" s="565"/>
      <c r="BG92" s="566"/>
      <c r="BH92" s="565"/>
      <c r="BI92" s="565"/>
      <c r="BJ92" s="565"/>
      <c r="BK92" s="566"/>
      <c r="BL92" s="565"/>
      <c r="BM92" s="565"/>
      <c r="BN92" s="565"/>
      <c r="BO92" s="566"/>
      <c r="BP92" s="565"/>
      <c r="BQ92" s="565"/>
      <c r="BR92" s="565"/>
      <c r="BS92" s="566"/>
      <c r="BT92" s="565"/>
      <c r="BU92" s="565"/>
      <c r="BV92" s="565"/>
      <c r="BW92" s="566"/>
      <c r="BX92" s="815"/>
      <c r="BY92" s="553"/>
      <c r="BZ92" s="553"/>
      <c r="CA92" s="553"/>
      <c r="CB92" s="553"/>
      <c r="CC92" s="553"/>
      <c r="CD92" s="553"/>
      <c r="CE92" s="553"/>
      <c r="CF92" s="553">
        <v>0.12</v>
      </c>
      <c r="CG92" s="553">
        <v>0.13</v>
      </c>
      <c r="CH92" s="553"/>
      <c r="CI92" s="553"/>
      <c r="CJ92" s="552"/>
      <c r="CK92" s="553"/>
      <c r="CL92" s="553"/>
      <c r="CM92" s="553"/>
      <c r="CN92" s="553"/>
      <c r="CO92" s="553"/>
      <c r="CP92" s="554"/>
      <c r="CQ92" s="564"/>
    </row>
    <row r="93" spans="1:110" s="539" customFormat="1" ht="14.25">
      <c r="B93" s="564" t="s">
        <v>272</v>
      </c>
      <c r="C93" s="565"/>
      <c r="D93" s="565"/>
      <c r="E93" s="565"/>
      <c r="F93" s="565"/>
      <c r="G93" s="566"/>
      <c r="H93" s="565"/>
      <c r="I93" s="565"/>
      <c r="J93" s="565"/>
      <c r="K93" s="566"/>
      <c r="L93" s="565"/>
      <c r="M93" s="565"/>
      <c r="N93" s="565"/>
      <c r="O93" s="566"/>
      <c r="P93" s="565"/>
      <c r="Q93" s="565"/>
      <c r="R93" s="565"/>
      <c r="S93" s="566"/>
      <c r="T93" s="565"/>
      <c r="U93" s="565"/>
      <c r="V93" s="565"/>
      <c r="W93" s="566"/>
      <c r="X93" s="565"/>
      <c r="Y93" s="565"/>
      <c r="Z93" s="565"/>
      <c r="AA93" s="565"/>
      <c r="AB93" s="564"/>
      <c r="AC93" s="565"/>
      <c r="AD93" s="565"/>
      <c r="AE93" s="566"/>
      <c r="AF93" s="565"/>
      <c r="AG93" s="565"/>
      <c r="AH93" s="565"/>
      <c r="AI93" s="565"/>
      <c r="AJ93" s="564"/>
      <c r="AK93" s="565"/>
      <c r="AL93" s="565"/>
      <c r="AM93" s="566"/>
      <c r="AN93" s="565"/>
      <c r="AO93" s="565"/>
      <c r="AP93" s="565"/>
      <c r="AQ93" s="566"/>
      <c r="AR93" s="564"/>
      <c r="AS93" s="565"/>
      <c r="AT93" s="565"/>
      <c r="AU93" s="566"/>
      <c r="AV93" s="565"/>
      <c r="AW93" s="565"/>
      <c r="AX93" s="565"/>
      <c r="AY93" s="566"/>
      <c r="AZ93" s="565"/>
      <c r="BA93" s="565"/>
      <c r="BB93" s="565"/>
      <c r="BC93" s="566"/>
      <c r="BD93" s="565"/>
      <c r="BE93" s="565"/>
      <c r="BF93" s="565"/>
      <c r="BG93" s="566"/>
      <c r="BH93" s="565"/>
      <c r="BI93" s="565"/>
      <c r="BJ93" s="565"/>
      <c r="BK93" s="566"/>
      <c r="BL93" s="565"/>
      <c r="BM93" s="565"/>
      <c r="BN93" s="565"/>
      <c r="BO93" s="566"/>
      <c r="BP93" s="565"/>
      <c r="BQ93" s="565"/>
      <c r="BR93" s="565"/>
      <c r="BS93" s="566"/>
      <c r="BT93" s="565"/>
      <c r="BU93" s="565"/>
      <c r="BV93" s="565"/>
      <c r="BW93" s="566"/>
      <c r="BX93" s="815"/>
      <c r="BY93" s="553">
        <v>0.15</v>
      </c>
      <c r="BZ93" s="553">
        <v>0.12</v>
      </c>
      <c r="CA93" s="553">
        <v>7.0000000000000007E-2</v>
      </c>
      <c r="CB93" s="553"/>
      <c r="CC93" s="553">
        <v>0.11</v>
      </c>
      <c r="CD93" s="553">
        <v>0.14000000000000001</v>
      </c>
      <c r="CE93" s="553">
        <v>0.15</v>
      </c>
      <c r="CF93" s="553">
        <v>0.13</v>
      </c>
      <c r="CG93" s="553">
        <v>0.11</v>
      </c>
      <c r="CH93" s="553">
        <v>0.17</v>
      </c>
      <c r="CI93" s="553">
        <v>0.15</v>
      </c>
      <c r="CJ93" s="552">
        <v>0.1</v>
      </c>
      <c r="CK93" s="553"/>
      <c r="CL93" s="553"/>
      <c r="CM93" s="553"/>
      <c r="CN93" s="553"/>
      <c r="CO93" s="553"/>
      <c r="CP93" s="554"/>
      <c r="CQ93" s="564"/>
    </row>
    <row r="94" spans="1:110" s="539" customFormat="1" ht="14.25">
      <c r="B94" s="564" t="s">
        <v>326</v>
      </c>
      <c r="C94" s="565"/>
      <c r="D94" s="565"/>
      <c r="E94" s="565"/>
      <c r="F94" s="565"/>
      <c r="G94" s="566"/>
      <c r="H94" s="565"/>
      <c r="I94" s="565"/>
      <c r="J94" s="565"/>
      <c r="K94" s="566"/>
      <c r="L94" s="565"/>
      <c r="M94" s="565"/>
      <c r="N94" s="565"/>
      <c r="O94" s="566"/>
      <c r="P94" s="565"/>
      <c r="Q94" s="565"/>
      <c r="R94" s="565"/>
      <c r="S94" s="566"/>
      <c r="T94" s="565"/>
      <c r="U94" s="565"/>
      <c r="V94" s="565"/>
      <c r="W94" s="566"/>
      <c r="X94" s="565"/>
      <c r="Y94" s="565"/>
      <c r="Z94" s="565"/>
      <c r="AA94" s="565"/>
      <c r="AB94" s="564"/>
      <c r="AC94" s="565"/>
      <c r="AD94" s="565"/>
      <c r="AE94" s="566"/>
      <c r="AF94" s="565"/>
      <c r="AG94" s="565"/>
      <c r="AH94" s="565"/>
      <c r="AI94" s="565"/>
      <c r="AJ94" s="564"/>
      <c r="AK94" s="565"/>
      <c r="AL94" s="565"/>
      <c r="AM94" s="566"/>
      <c r="AN94" s="565"/>
      <c r="AO94" s="565"/>
      <c r="AP94" s="565"/>
      <c r="AQ94" s="566"/>
      <c r="AR94" s="564"/>
      <c r="AS94" s="565"/>
      <c r="AT94" s="565"/>
      <c r="AU94" s="566"/>
      <c r="AV94" s="565"/>
      <c r="AW94" s="565"/>
      <c r="AX94" s="565"/>
      <c r="AY94" s="566"/>
      <c r="AZ94" s="565"/>
      <c r="BA94" s="565"/>
      <c r="BB94" s="565"/>
      <c r="BC94" s="566"/>
      <c r="BD94" s="565"/>
      <c r="BE94" s="565"/>
      <c r="BF94" s="565"/>
      <c r="BG94" s="566"/>
      <c r="BH94" s="565"/>
      <c r="BI94" s="565"/>
      <c r="BJ94" s="565"/>
      <c r="BK94" s="566"/>
      <c r="BL94" s="565"/>
      <c r="BM94" s="565"/>
      <c r="BN94" s="565"/>
      <c r="BO94" s="566"/>
      <c r="BP94" s="565"/>
      <c r="BQ94" s="565"/>
      <c r="BR94" s="565"/>
      <c r="BS94" s="566"/>
      <c r="BT94" s="565"/>
      <c r="BU94" s="565"/>
      <c r="BV94" s="565"/>
      <c r="BW94" s="566"/>
      <c r="BX94" s="815"/>
      <c r="BY94" s="553"/>
      <c r="BZ94" s="553"/>
      <c r="CA94" s="553"/>
      <c r="CB94" s="553">
        <v>0.11</v>
      </c>
      <c r="CC94" s="553">
        <v>0.11</v>
      </c>
      <c r="CD94" s="553">
        <v>0.11</v>
      </c>
      <c r="CE94" s="553">
        <v>0.11</v>
      </c>
      <c r="CF94" s="553"/>
      <c r="CG94" s="553"/>
      <c r="CH94" s="553"/>
      <c r="CI94" s="553"/>
      <c r="CJ94" s="552"/>
      <c r="CK94" s="553"/>
      <c r="CL94" s="553"/>
      <c r="CM94" s="553"/>
      <c r="CN94" s="553"/>
      <c r="CO94" s="553"/>
      <c r="CP94" s="554"/>
      <c r="CQ94" s="564"/>
    </row>
    <row r="95" spans="1:110" s="539" customFormat="1" ht="14.25">
      <c r="B95" s="564" t="s">
        <v>327</v>
      </c>
      <c r="C95" s="565"/>
      <c r="D95" s="565"/>
      <c r="E95" s="565"/>
      <c r="F95" s="565"/>
      <c r="G95" s="566"/>
      <c r="H95" s="565"/>
      <c r="I95" s="565"/>
      <c r="J95" s="565"/>
      <c r="K95" s="566"/>
      <c r="L95" s="565"/>
      <c r="M95" s="565"/>
      <c r="N95" s="565"/>
      <c r="O95" s="566"/>
      <c r="P95" s="565"/>
      <c r="Q95" s="565"/>
      <c r="R95" s="565"/>
      <c r="S95" s="566"/>
      <c r="T95" s="565"/>
      <c r="U95" s="565"/>
      <c r="V95" s="565"/>
      <c r="W95" s="566"/>
      <c r="X95" s="565"/>
      <c r="Y95" s="565"/>
      <c r="Z95" s="565"/>
      <c r="AA95" s="565"/>
      <c r="AB95" s="564"/>
      <c r="AC95" s="565"/>
      <c r="AD95" s="565"/>
      <c r="AE95" s="566"/>
      <c r="AF95" s="565"/>
      <c r="AG95" s="565"/>
      <c r="AH95" s="565"/>
      <c r="AI95" s="565"/>
      <c r="AJ95" s="564"/>
      <c r="AK95" s="565"/>
      <c r="AL95" s="565"/>
      <c r="AM95" s="566"/>
      <c r="AN95" s="565"/>
      <c r="AO95" s="565"/>
      <c r="AP95" s="565"/>
      <c r="AQ95" s="566"/>
      <c r="AR95" s="564"/>
      <c r="AS95" s="565"/>
      <c r="AT95" s="565"/>
      <c r="AU95" s="566"/>
      <c r="AV95" s="565"/>
      <c r="AW95" s="565"/>
      <c r="AX95" s="565"/>
      <c r="AY95" s="566"/>
      <c r="AZ95" s="565"/>
      <c r="BA95" s="565"/>
      <c r="BB95" s="565"/>
      <c r="BC95" s="566"/>
      <c r="BD95" s="565"/>
      <c r="BE95" s="565"/>
      <c r="BF95" s="565"/>
      <c r="BG95" s="566"/>
      <c r="BH95" s="565"/>
      <c r="BI95" s="565"/>
      <c r="BJ95" s="565"/>
      <c r="BK95" s="566"/>
      <c r="BL95" s="565"/>
      <c r="BM95" s="565"/>
      <c r="BN95" s="565"/>
      <c r="BO95" s="566"/>
      <c r="BP95" s="565"/>
      <c r="BQ95" s="565"/>
      <c r="BR95" s="565"/>
      <c r="BS95" s="566"/>
      <c r="BT95" s="565"/>
      <c r="BU95" s="565"/>
      <c r="BV95" s="565"/>
      <c r="BW95" s="566"/>
      <c r="BX95" s="815"/>
      <c r="BY95" s="553">
        <v>7.0000000000000007E-2</v>
      </c>
      <c r="BZ95" s="553">
        <v>0.08</v>
      </c>
      <c r="CA95" s="553">
        <v>0.1</v>
      </c>
      <c r="CB95" s="553">
        <v>0.16</v>
      </c>
      <c r="CC95" s="553">
        <v>0.22</v>
      </c>
      <c r="CD95" s="553">
        <v>0.18</v>
      </c>
      <c r="CE95" s="553">
        <v>0.12</v>
      </c>
      <c r="CF95" s="553"/>
      <c r="CG95" s="553"/>
      <c r="CH95" s="553"/>
      <c r="CI95" s="553"/>
      <c r="CJ95" s="552"/>
      <c r="CK95" s="553"/>
      <c r="CL95" s="553"/>
      <c r="CM95" s="553"/>
      <c r="CN95" s="553"/>
      <c r="CO95" s="553"/>
      <c r="CP95" s="554"/>
      <c r="CQ95" s="564"/>
    </row>
    <row r="96" spans="1:110" s="539" customFormat="1" ht="14.25">
      <c r="B96" s="819" t="s">
        <v>496</v>
      </c>
      <c r="C96" s="565"/>
      <c r="D96" s="565"/>
      <c r="E96" s="565"/>
      <c r="F96" s="565"/>
      <c r="G96" s="566"/>
      <c r="H96" s="565"/>
      <c r="I96" s="565"/>
      <c r="J96" s="565"/>
      <c r="K96" s="566"/>
      <c r="L96" s="565"/>
      <c r="M96" s="565"/>
      <c r="N96" s="565"/>
      <c r="O96" s="566"/>
      <c r="P96" s="565"/>
      <c r="Q96" s="565"/>
      <c r="R96" s="565"/>
      <c r="S96" s="566"/>
      <c r="T96" s="565"/>
      <c r="U96" s="565"/>
      <c r="V96" s="565"/>
      <c r="W96" s="566"/>
      <c r="X96" s="565"/>
      <c r="Y96" s="565"/>
      <c r="Z96" s="565"/>
      <c r="AA96" s="565"/>
      <c r="AB96" s="564"/>
      <c r="AC96" s="565"/>
      <c r="AD96" s="565"/>
      <c r="AE96" s="566"/>
      <c r="AF96" s="565"/>
      <c r="AG96" s="565"/>
      <c r="AH96" s="565"/>
      <c r="AI96" s="565"/>
      <c r="AJ96" s="564"/>
      <c r="AK96" s="565"/>
      <c r="AL96" s="565"/>
      <c r="AM96" s="566"/>
      <c r="AN96" s="565"/>
      <c r="AO96" s="565"/>
      <c r="AP96" s="565"/>
      <c r="AQ96" s="566"/>
      <c r="AR96" s="564"/>
      <c r="AS96" s="565"/>
      <c r="AT96" s="565"/>
      <c r="AU96" s="566"/>
      <c r="AV96" s="565"/>
      <c r="AW96" s="565"/>
      <c r="AX96" s="565"/>
      <c r="AY96" s="566"/>
      <c r="AZ96" s="565"/>
      <c r="BA96" s="565"/>
      <c r="BB96" s="565"/>
      <c r="BC96" s="566"/>
      <c r="BD96" s="565"/>
      <c r="BE96" s="565"/>
      <c r="BF96" s="565"/>
      <c r="BG96" s="566"/>
      <c r="BH96" s="565"/>
      <c r="BI96" s="565"/>
      <c r="BJ96" s="565"/>
      <c r="BK96" s="566"/>
      <c r="BL96" s="565"/>
      <c r="BM96" s="565"/>
      <c r="BN96" s="565"/>
      <c r="BO96" s="566"/>
      <c r="BP96" s="565"/>
      <c r="BQ96" s="565"/>
      <c r="BR96" s="565"/>
      <c r="BS96" s="566"/>
      <c r="BT96" s="565"/>
      <c r="BU96" s="565"/>
      <c r="BV96" s="565"/>
      <c r="BW96" s="566"/>
      <c r="BX96" s="815"/>
      <c r="BY96" s="553">
        <v>0.11</v>
      </c>
      <c r="BZ96" s="553">
        <v>0.14000000000000001</v>
      </c>
      <c r="CA96" s="553">
        <v>0.21</v>
      </c>
      <c r="CB96" s="553">
        <v>0.23</v>
      </c>
      <c r="CC96" s="553">
        <v>0.16</v>
      </c>
      <c r="CD96" s="553"/>
      <c r="CE96" s="553"/>
      <c r="CF96" s="553"/>
      <c r="CG96" s="553"/>
      <c r="CH96" s="553"/>
      <c r="CI96" s="553"/>
      <c r="CJ96" s="552"/>
      <c r="CK96" s="553"/>
      <c r="CL96" s="553"/>
      <c r="CM96" s="553"/>
      <c r="CN96" s="553"/>
      <c r="CO96" s="553"/>
      <c r="CP96" s="554"/>
      <c r="CQ96" s="564"/>
    </row>
    <row r="97" spans="2:95" s="539" customFormat="1" ht="14.25">
      <c r="B97" s="564"/>
      <c r="C97" s="565"/>
      <c r="D97" s="565"/>
      <c r="E97" s="565"/>
      <c r="F97" s="565"/>
      <c r="G97" s="566"/>
      <c r="H97" s="565"/>
      <c r="I97" s="565"/>
      <c r="J97" s="565"/>
      <c r="K97" s="566"/>
      <c r="L97" s="565"/>
      <c r="M97" s="565"/>
      <c r="N97" s="565"/>
      <c r="O97" s="566"/>
      <c r="P97" s="565"/>
      <c r="Q97" s="565"/>
      <c r="R97" s="565"/>
      <c r="S97" s="566"/>
      <c r="T97" s="565"/>
      <c r="U97" s="565"/>
      <c r="V97" s="565"/>
      <c r="W97" s="566"/>
      <c r="X97" s="565"/>
      <c r="Y97" s="565"/>
      <c r="Z97" s="565"/>
      <c r="AA97" s="565"/>
      <c r="AB97" s="564"/>
      <c r="AC97" s="565"/>
      <c r="AD97" s="565"/>
      <c r="AE97" s="566"/>
      <c r="AF97" s="565"/>
      <c r="AG97" s="565"/>
      <c r="AH97" s="565"/>
      <c r="AI97" s="565"/>
      <c r="AJ97" s="564"/>
      <c r="AK97" s="565"/>
      <c r="AL97" s="565"/>
      <c r="AM97" s="566"/>
      <c r="AN97" s="565"/>
      <c r="AO97" s="565"/>
      <c r="AP97" s="565"/>
      <c r="AQ97" s="566"/>
      <c r="AR97" s="564"/>
      <c r="AS97" s="565"/>
      <c r="AT97" s="565"/>
      <c r="AU97" s="566"/>
      <c r="AV97" s="565"/>
      <c r="AW97" s="565"/>
      <c r="AX97" s="565"/>
      <c r="AY97" s="566"/>
      <c r="AZ97" s="565"/>
      <c r="BA97" s="565"/>
      <c r="BB97" s="565"/>
      <c r="BC97" s="566"/>
      <c r="BD97" s="565"/>
      <c r="BE97" s="565"/>
      <c r="BF97" s="565"/>
      <c r="BG97" s="566"/>
      <c r="BH97" s="565"/>
      <c r="BI97" s="565"/>
      <c r="BJ97" s="565"/>
      <c r="BK97" s="566"/>
      <c r="BL97" s="565"/>
      <c r="BM97" s="565"/>
      <c r="BN97" s="565"/>
      <c r="BO97" s="566"/>
      <c r="BP97" s="565"/>
      <c r="BQ97" s="565"/>
      <c r="BR97" s="565"/>
      <c r="BS97" s="566"/>
      <c r="BT97" s="565"/>
      <c r="BU97" s="565"/>
      <c r="BV97" s="565"/>
      <c r="BW97" s="566"/>
      <c r="BX97" s="815"/>
      <c r="BY97" s="553"/>
      <c r="BZ97" s="553"/>
      <c r="CA97" s="553"/>
      <c r="CB97" s="553"/>
      <c r="CC97" s="553"/>
      <c r="CD97" s="553"/>
      <c r="CE97" s="553"/>
      <c r="CF97" s="553"/>
      <c r="CG97" s="553"/>
      <c r="CH97" s="553"/>
      <c r="CI97" s="553"/>
      <c r="CJ97" s="552"/>
      <c r="CK97" s="553"/>
      <c r="CL97" s="553"/>
      <c r="CM97" s="553"/>
      <c r="CN97" s="553"/>
      <c r="CO97" s="553"/>
      <c r="CP97" s="554"/>
      <c r="CQ97" s="564"/>
    </row>
    <row r="98" spans="2:95" s="118" customFormat="1" ht="15">
      <c r="B98" s="567" t="s">
        <v>328</v>
      </c>
      <c r="C98" s="301"/>
      <c r="D98" s="301"/>
      <c r="E98" s="301"/>
      <c r="F98" s="301"/>
      <c r="G98" s="306"/>
      <c r="H98" s="301"/>
      <c r="I98" s="301"/>
      <c r="J98" s="301"/>
      <c r="K98" s="306"/>
      <c r="L98" s="301"/>
      <c r="M98" s="301"/>
      <c r="N98" s="301"/>
      <c r="O98" s="306"/>
      <c r="P98" s="301"/>
      <c r="Q98" s="301"/>
      <c r="R98" s="301"/>
      <c r="S98" s="306"/>
      <c r="T98" s="301"/>
      <c r="U98" s="301"/>
      <c r="V98" s="301"/>
      <c r="W98" s="306"/>
      <c r="X98" s="301"/>
      <c r="Y98" s="301"/>
      <c r="Z98" s="301"/>
      <c r="AA98" s="301"/>
      <c r="AB98" s="305"/>
      <c r="AC98" s="301"/>
      <c r="AD98" s="301"/>
      <c r="AE98" s="306"/>
      <c r="AF98" s="301"/>
      <c r="AG98" s="301"/>
      <c r="AH98" s="301"/>
      <c r="AI98" s="301"/>
      <c r="AJ98" s="305"/>
      <c r="AK98" s="301"/>
      <c r="AL98" s="301"/>
      <c r="AM98" s="306"/>
      <c r="AN98" s="301"/>
      <c r="AO98" s="301"/>
      <c r="AP98" s="301"/>
      <c r="AQ98" s="306"/>
      <c r="AR98" s="305"/>
      <c r="AS98" s="301"/>
      <c r="AT98" s="301"/>
      <c r="AU98" s="306"/>
      <c r="AV98" s="301"/>
      <c r="AW98" s="301"/>
      <c r="AX98" s="301"/>
      <c r="AY98" s="306"/>
      <c r="AZ98" s="301"/>
      <c r="BA98" s="301"/>
      <c r="BB98" s="301"/>
      <c r="BC98" s="306"/>
      <c r="BD98" s="301"/>
      <c r="BE98" s="301"/>
      <c r="BF98" s="301"/>
      <c r="BG98" s="306"/>
      <c r="BH98" s="301"/>
      <c r="BI98" s="301"/>
      <c r="BJ98" s="301"/>
      <c r="BK98" s="306"/>
      <c r="BL98" s="301"/>
      <c r="BM98" s="301"/>
      <c r="BN98" s="301"/>
      <c r="BO98" s="306"/>
      <c r="BP98" s="301"/>
      <c r="BQ98" s="301"/>
      <c r="BR98" s="301"/>
      <c r="BS98" s="306"/>
      <c r="BT98" s="301"/>
      <c r="BU98" s="301"/>
      <c r="BV98" s="301"/>
      <c r="BW98" s="306"/>
      <c r="BX98" s="458"/>
      <c r="BY98" s="301"/>
      <c r="BZ98" s="301"/>
      <c r="CA98" s="301"/>
      <c r="CB98" s="301"/>
      <c r="CC98" s="301"/>
      <c r="CD98" s="301"/>
      <c r="CE98" s="301"/>
      <c r="CF98" s="301"/>
      <c r="CG98" s="301"/>
      <c r="CH98" s="301"/>
      <c r="CI98" s="301"/>
      <c r="CJ98" s="305"/>
      <c r="CK98" s="301"/>
      <c r="CL98" s="301"/>
      <c r="CM98" s="301"/>
      <c r="CN98" s="301"/>
      <c r="CO98" s="301"/>
      <c r="CP98" s="306"/>
      <c r="CQ98" s="305"/>
    </row>
    <row r="99" spans="2:95" s="118" customFormat="1" ht="14.25">
      <c r="B99" s="564" t="s">
        <v>325</v>
      </c>
      <c r="C99" s="301"/>
      <c r="D99" s="301"/>
      <c r="E99" s="301"/>
      <c r="F99" s="301"/>
      <c r="G99" s="306"/>
      <c r="H99" s="301"/>
      <c r="I99" s="301"/>
      <c r="J99" s="301"/>
      <c r="K99" s="306"/>
      <c r="L99" s="301"/>
      <c r="M99" s="301"/>
      <c r="N99" s="301"/>
      <c r="O99" s="306"/>
      <c r="P99" s="301"/>
      <c r="Q99" s="301"/>
      <c r="R99" s="301"/>
      <c r="S99" s="306"/>
      <c r="T99" s="301"/>
      <c r="U99" s="301"/>
      <c r="V99" s="301"/>
      <c r="W99" s="306"/>
      <c r="X99" s="301"/>
      <c r="Y99" s="301"/>
      <c r="Z99" s="301"/>
      <c r="AA99" s="301"/>
      <c r="AB99" s="305"/>
      <c r="AC99" s="301"/>
      <c r="AD99" s="301"/>
      <c r="AE99" s="306"/>
      <c r="AF99" s="301"/>
      <c r="AG99" s="301"/>
      <c r="AH99" s="301"/>
      <c r="AI99" s="301"/>
      <c r="AJ99" s="305"/>
      <c r="AK99" s="301"/>
      <c r="AL99" s="301"/>
      <c r="AM99" s="306"/>
      <c r="AN99" s="301"/>
      <c r="AO99" s="301"/>
      <c r="AP99" s="301"/>
      <c r="AQ99" s="306"/>
      <c r="AR99" s="305"/>
      <c r="AS99" s="301"/>
      <c r="AT99" s="301"/>
      <c r="AU99" s="306"/>
      <c r="AV99" s="301"/>
      <c r="AW99" s="301"/>
      <c r="AX99" s="301"/>
      <c r="AY99" s="306"/>
      <c r="AZ99" s="301"/>
      <c r="BA99" s="301"/>
      <c r="BB99" s="301"/>
      <c r="BC99" s="306"/>
      <c r="BD99" s="301"/>
      <c r="BE99" s="301"/>
      <c r="BF99" s="301"/>
      <c r="BG99" s="306"/>
      <c r="BH99" s="301"/>
      <c r="BI99" s="301"/>
      <c r="BJ99" s="301"/>
      <c r="BK99" s="306"/>
      <c r="BL99" s="301"/>
      <c r="BM99" s="301"/>
      <c r="BN99" s="301"/>
      <c r="BO99" s="306"/>
      <c r="BP99" s="301"/>
      <c r="BQ99" s="301"/>
      <c r="BR99" s="301"/>
      <c r="BS99" s="306"/>
      <c r="BT99" s="301"/>
      <c r="BU99" s="301"/>
      <c r="BV99" s="301"/>
      <c r="BW99" s="306"/>
      <c r="BX99" s="458"/>
      <c r="BY99" s="810">
        <f t="shared" ref="BY99:CK99" si="256">+BY91*BY$88</f>
        <v>0</v>
      </c>
      <c r="BZ99" s="810">
        <f t="shared" si="256"/>
        <v>0</v>
      </c>
      <c r="CA99" s="810">
        <f t="shared" si="256"/>
        <v>0</v>
      </c>
      <c r="CB99" s="810">
        <f t="shared" si="256"/>
        <v>0</v>
      </c>
      <c r="CC99" s="810">
        <f t="shared" si="256"/>
        <v>0</v>
      </c>
      <c r="CD99" s="810">
        <f t="shared" si="256"/>
        <v>0</v>
      </c>
      <c r="CE99" s="485">
        <f t="shared" si="256"/>
        <v>0</v>
      </c>
      <c r="CF99" s="485">
        <f t="shared" si="256"/>
        <v>139.34037000000001</v>
      </c>
      <c r="CG99" s="485">
        <f t="shared" si="256"/>
        <v>383.10894000000002</v>
      </c>
      <c r="CH99" s="485">
        <f t="shared" si="256"/>
        <v>454.88848999999999</v>
      </c>
      <c r="CI99" s="485">
        <f t="shared" si="256"/>
        <v>645.12828000000002</v>
      </c>
      <c r="CJ99" s="756">
        <f t="shared" si="256"/>
        <v>779.07600000000014</v>
      </c>
      <c r="CK99" s="485">
        <f t="shared" si="256"/>
        <v>1433.6959999999999</v>
      </c>
      <c r="CL99" s="301"/>
      <c r="CM99" s="301"/>
      <c r="CN99" s="301"/>
      <c r="CO99" s="301"/>
      <c r="CP99" s="306"/>
      <c r="CQ99" s="305"/>
    </row>
    <row r="100" spans="2:95" s="118" customFormat="1" ht="14.25">
      <c r="B100" s="564" t="s">
        <v>273</v>
      </c>
      <c r="C100" s="301"/>
      <c r="D100" s="301"/>
      <c r="E100" s="301"/>
      <c r="F100" s="301"/>
      <c r="G100" s="306"/>
      <c r="H100" s="301"/>
      <c r="I100" s="301"/>
      <c r="J100" s="301"/>
      <c r="K100" s="306"/>
      <c r="L100" s="301"/>
      <c r="M100" s="301"/>
      <c r="N100" s="301"/>
      <c r="O100" s="306"/>
      <c r="P100" s="301"/>
      <c r="Q100" s="301"/>
      <c r="R100" s="301"/>
      <c r="S100" s="306"/>
      <c r="T100" s="301"/>
      <c r="U100" s="301"/>
      <c r="V100" s="301"/>
      <c r="W100" s="306"/>
      <c r="X100" s="301"/>
      <c r="Y100" s="301"/>
      <c r="Z100" s="301"/>
      <c r="AA100" s="301"/>
      <c r="AB100" s="305"/>
      <c r="AC100" s="301"/>
      <c r="AD100" s="301"/>
      <c r="AE100" s="306"/>
      <c r="AF100" s="301"/>
      <c r="AG100" s="301"/>
      <c r="AH100" s="301"/>
      <c r="AI100" s="301"/>
      <c r="AJ100" s="305"/>
      <c r="AK100" s="301"/>
      <c r="AL100" s="301"/>
      <c r="AM100" s="306"/>
      <c r="AN100" s="301"/>
      <c r="AO100" s="301"/>
      <c r="AP100" s="301"/>
      <c r="AQ100" s="306"/>
      <c r="AR100" s="305"/>
      <c r="AS100" s="301"/>
      <c r="AT100" s="301"/>
      <c r="AU100" s="306"/>
      <c r="AV100" s="301"/>
      <c r="AW100" s="301"/>
      <c r="AX100" s="301"/>
      <c r="AY100" s="306"/>
      <c r="AZ100" s="301"/>
      <c r="BA100" s="301"/>
      <c r="BB100" s="301"/>
      <c r="BC100" s="306"/>
      <c r="BD100" s="301"/>
      <c r="BE100" s="301"/>
      <c r="BF100" s="301"/>
      <c r="BG100" s="306"/>
      <c r="BH100" s="301"/>
      <c r="BI100" s="301"/>
      <c r="BJ100" s="301"/>
      <c r="BK100" s="306"/>
      <c r="BL100" s="301"/>
      <c r="BM100" s="301"/>
      <c r="BN100" s="301"/>
      <c r="BO100" s="306"/>
      <c r="BP100" s="301"/>
      <c r="BQ100" s="301"/>
      <c r="BR100" s="301"/>
      <c r="BS100" s="306"/>
      <c r="BT100" s="301"/>
      <c r="BU100" s="301"/>
      <c r="BV100" s="301"/>
      <c r="BW100" s="306"/>
      <c r="BX100" s="458"/>
      <c r="BY100" s="810">
        <f t="shared" ref="BY100:CK100" si="257">+BY92*BY$88</f>
        <v>0</v>
      </c>
      <c r="BZ100" s="810">
        <f t="shared" si="257"/>
        <v>0</v>
      </c>
      <c r="CA100" s="810">
        <f t="shared" si="257"/>
        <v>0</v>
      </c>
      <c r="CB100" s="810">
        <f t="shared" si="257"/>
        <v>0</v>
      </c>
      <c r="CC100" s="810">
        <f t="shared" si="257"/>
        <v>0</v>
      </c>
      <c r="CD100" s="810">
        <f t="shared" si="257"/>
        <v>0</v>
      </c>
      <c r="CE100" s="485">
        <f t="shared" si="257"/>
        <v>0</v>
      </c>
      <c r="CF100" s="485">
        <f t="shared" si="257"/>
        <v>128.62187999999998</v>
      </c>
      <c r="CG100" s="485">
        <f t="shared" si="257"/>
        <v>184.45986000000002</v>
      </c>
      <c r="CH100" s="485">
        <f t="shared" si="257"/>
        <v>0</v>
      </c>
      <c r="CI100" s="485">
        <f t="shared" si="257"/>
        <v>0</v>
      </c>
      <c r="CJ100" s="756">
        <f t="shared" si="257"/>
        <v>0</v>
      </c>
      <c r="CK100" s="485">
        <f t="shared" si="257"/>
        <v>0</v>
      </c>
      <c r="CL100" s="301"/>
      <c r="CM100" s="301"/>
      <c r="CN100" s="301"/>
      <c r="CO100" s="301"/>
      <c r="CP100" s="306"/>
      <c r="CQ100" s="305"/>
    </row>
    <row r="101" spans="2:95" s="118" customFormat="1" ht="14.25">
      <c r="B101" s="564" t="s">
        <v>272</v>
      </c>
      <c r="C101" s="301"/>
      <c r="D101" s="301"/>
      <c r="E101" s="301"/>
      <c r="F101" s="301"/>
      <c r="G101" s="306"/>
      <c r="H101" s="301"/>
      <c r="I101" s="301"/>
      <c r="J101" s="301"/>
      <c r="K101" s="306"/>
      <c r="L101" s="301"/>
      <c r="M101" s="301"/>
      <c r="N101" s="301"/>
      <c r="O101" s="306"/>
      <c r="P101" s="301"/>
      <c r="Q101" s="301"/>
      <c r="R101" s="301"/>
      <c r="S101" s="306"/>
      <c r="T101" s="301"/>
      <c r="U101" s="301"/>
      <c r="V101" s="301"/>
      <c r="W101" s="306"/>
      <c r="X101" s="301"/>
      <c r="Y101" s="301"/>
      <c r="Z101" s="301"/>
      <c r="AA101" s="301"/>
      <c r="AB101" s="305"/>
      <c r="AC101" s="301"/>
      <c r="AD101" s="301"/>
      <c r="AE101" s="306"/>
      <c r="AF101" s="301"/>
      <c r="AG101" s="301"/>
      <c r="AH101" s="301"/>
      <c r="AI101" s="301"/>
      <c r="AJ101" s="305"/>
      <c r="AK101" s="301"/>
      <c r="AL101" s="301"/>
      <c r="AM101" s="306"/>
      <c r="AN101" s="301"/>
      <c r="AO101" s="301"/>
      <c r="AP101" s="301"/>
      <c r="AQ101" s="306"/>
      <c r="AR101" s="305"/>
      <c r="AS101" s="301"/>
      <c r="AT101" s="301"/>
      <c r="AU101" s="306"/>
      <c r="AV101" s="301"/>
      <c r="AW101" s="301"/>
      <c r="AX101" s="301"/>
      <c r="AY101" s="306"/>
      <c r="AZ101" s="301"/>
      <c r="BA101" s="301"/>
      <c r="BB101" s="301"/>
      <c r="BC101" s="306"/>
      <c r="BD101" s="301"/>
      <c r="BE101" s="301"/>
      <c r="BF101" s="301"/>
      <c r="BG101" s="306"/>
      <c r="BH101" s="301"/>
      <c r="BI101" s="301"/>
      <c r="BJ101" s="301"/>
      <c r="BK101" s="306"/>
      <c r="BL101" s="301"/>
      <c r="BM101" s="301"/>
      <c r="BN101" s="301"/>
      <c r="BO101" s="306"/>
      <c r="BP101" s="301"/>
      <c r="BQ101" s="301"/>
      <c r="BR101" s="301"/>
      <c r="BS101" s="306"/>
      <c r="BT101" s="301"/>
      <c r="BU101" s="301"/>
      <c r="BV101" s="301"/>
      <c r="BW101" s="306"/>
      <c r="BX101" s="458"/>
      <c r="BY101" s="810">
        <f t="shared" ref="BY101:CK101" si="258">+BY93*BY$88</f>
        <v>92.66834999999999</v>
      </c>
      <c r="BZ101" s="810">
        <f t="shared" si="258"/>
        <v>94.082759999999979</v>
      </c>
      <c r="CA101" s="810">
        <f t="shared" si="258"/>
        <v>55.465970000000006</v>
      </c>
      <c r="CB101" s="810">
        <f t="shared" si="258"/>
        <v>0</v>
      </c>
      <c r="CC101" s="810">
        <f t="shared" si="258"/>
        <v>81.591839999999991</v>
      </c>
      <c r="CD101" s="810">
        <f t="shared" si="258"/>
        <v>120.40238000000002</v>
      </c>
      <c r="CE101" s="485">
        <f t="shared" si="258"/>
        <v>120.38655</v>
      </c>
      <c r="CF101" s="485">
        <f t="shared" si="258"/>
        <v>139.34037000000001</v>
      </c>
      <c r="CG101" s="485">
        <f t="shared" si="258"/>
        <v>156.08142000000001</v>
      </c>
      <c r="CH101" s="485">
        <f t="shared" si="258"/>
        <v>266.65877000000006</v>
      </c>
      <c r="CI101" s="485">
        <f t="shared" si="258"/>
        <v>268.80345</v>
      </c>
      <c r="CJ101" s="756">
        <f t="shared" si="258"/>
        <v>229.14000000000001</v>
      </c>
      <c r="CK101" s="485">
        <f t="shared" si="258"/>
        <v>0</v>
      </c>
      <c r="CL101" s="301"/>
      <c r="CM101" s="301"/>
      <c r="CN101" s="301"/>
      <c r="CO101" s="301"/>
      <c r="CP101" s="306"/>
      <c r="CQ101" s="305"/>
    </row>
    <row r="102" spans="2:95" s="118" customFormat="1" ht="14.25">
      <c r="B102" s="564" t="s">
        <v>326</v>
      </c>
      <c r="C102" s="301"/>
      <c r="D102" s="301"/>
      <c r="E102" s="301"/>
      <c r="F102" s="301"/>
      <c r="G102" s="306"/>
      <c r="H102" s="301"/>
      <c r="I102" s="301"/>
      <c r="J102" s="301"/>
      <c r="K102" s="306"/>
      <c r="L102" s="301"/>
      <c r="M102" s="301"/>
      <c r="N102" s="301"/>
      <c r="O102" s="306"/>
      <c r="P102" s="301"/>
      <c r="Q102" s="301"/>
      <c r="R102" s="301"/>
      <c r="S102" s="306"/>
      <c r="T102" s="301"/>
      <c r="U102" s="301"/>
      <c r="V102" s="301"/>
      <c r="W102" s="306"/>
      <c r="X102" s="301"/>
      <c r="Y102" s="301"/>
      <c r="Z102" s="301"/>
      <c r="AA102" s="301"/>
      <c r="AB102" s="305"/>
      <c r="AC102" s="301"/>
      <c r="AD102" s="301"/>
      <c r="AE102" s="306"/>
      <c r="AF102" s="301"/>
      <c r="AG102" s="301"/>
      <c r="AH102" s="301"/>
      <c r="AI102" s="301"/>
      <c r="AJ102" s="305"/>
      <c r="AK102" s="301"/>
      <c r="AL102" s="301"/>
      <c r="AM102" s="306"/>
      <c r="AN102" s="301"/>
      <c r="AO102" s="301"/>
      <c r="AP102" s="301"/>
      <c r="AQ102" s="306"/>
      <c r="AR102" s="305"/>
      <c r="AS102" s="301"/>
      <c r="AT102" s="301"/>
      <c r="AU102" s="306"/>
      <c r="AV102" s="301"/>
      <c r="AW102" s="301"/>
      <c r="AX102" s="301"/>
      <c r="AY102" s="306"/>
      <c r="AZ102" s="301"/>
      <c r="BA102" s="301"/>
      <c r="BB102" s="301"/>
      <c r="BC102" s="306"/>
      <c r="BD102" s="301"/>
      <c r="BE102" s="301"/>
      <c r="BF102" s="301"/>
      <c r="BG102" s="306"/>
      <c r="BH102" s="301"/>
      <c r="BI102" s="301"/>
      <c r="BJ102" s="301"/>
      <c r="BK102" s="306"/>
      <c r="BL102" s="301"/>
      <c r="BM102" s="301"/>
      <c r="BN102" s="301"/>
      <c r="BO102" s="306"/>
      <c r="BP102" s="301"/>
      <c r="BQ102" s="301"/>
      <c r="BR102" s="301"/>
      <c r="BS102" s="306"/>
      <c r="BT102" s="301"/>
      <c r="BU102" s="301"/>
      <c r="BV102" s="301"/>
      <c r="BW102" s="306"/>
      <c r="BX102" s="458"/>
      <c r="BY102" s="810">
        <f t="shared" ref="BY102:CK102" si="259">+BY94*BY$88</f>
        <v>0</v>
      </c>
      <c r="BZ102" s="810">
        <f t="shared" si="259"/>
        <v>0</v>
      </c>
      <c r="CA102" s="810">
        <f t="shared" si="259"/>
        <v>0</v>
      </c>
      <c r="CB102" s="810">
        <f t="shared" si="259"/>
        <v>85.112499999999997</v>
      </c>
      <c r="CC102" s="810">
        <f t="shared" si="259"/>
        <v>81.591839999999991</v>
      </c>
      <c r="CD102" s="810">
        <f t="shared" si="259"/>
        <v>94.601870000000005</v>
      </c>
      <c r="CE102" s="485">
        <f t="shared" si="259"/>
        <v>88.283469999999994</v>
      </c>
      <c r="CF102" s="485">
        <f t="shared" si="259"/>
        <v>0</v>
      </c>
      <c r="CG102" s="485">
        <f t="shared" si="259"/>
        <v>0</v>
      </c>
      <c r="CH102" s="485">
        <f t="shared" si="259"/>
        <v>0</v>
      </c>
      <c r="CI102" s="485">
        <f t="shared" si="259"/>
        <v>0</v>
      </c>
      <c r="CJ102" s="756">
        <f t="shared" si="259"/>
        <v>0</v>
      </c>
      <c r="CK102" s="485">
        <f t="shared" si="259"/>
        <v>0</v>
      </c>
      <c r="CL102" s="301"/>
      <c r="CM102" s="301"/>
      <c r="CN102" s="301"/>
      <c r="CO102" s="301"/>
      <c r="CP102" s="306"/>
      <c r="CQ102" s="305"/>
    </row>
    <row r="103" spans="2:95" s="540" customFormat="1" ht="14.25">
      <c r="B103" s="568" t="s">
        <v>327</v>
      </c>
      <c r="C103" s="555"/>
      <c r="D103" s="555"/>
      <c r="E103" s="555"/>
      <c r="F103" s="555"/>
      <c r="G103" s="556"/>
      <c r="H103" s="555"/>
      <c r="I103" s="555"/>
      <c r="J103" s="555"/>
      <c r="K103" s="556"/>
      <c r="L103" s="555"/>
      <c r="M103" s="555"/>
      <c r="N103" s="555"/>
      <c r="O103" s="556"/>
      <c r="P103" s="555"/>
      <c r="Q103" s="555"/>
      <c r="R103" s="555"/>
      <c r="S103" s="556"/>
      <c r="T103" s="555"/>
      <c r="U103" s="555"/>
      <c r="V103" s="555"/>
      <c r="W103" s="556"/>
      <c r="X103" s="555"/>
      <c r="Y103" s="555"/>
      <c r="Z103" s="555"/>
      <c r="AA103" s="555"/>
      <c r="AB103" s="575"/>
      <c r="AC103" s="555"/>
      <c r="AD103" s="555"/>
      <c r="AE103" s="556"/>
      <c r="AF103" s="555"/>
      <c r="AG103" s="555"/>
      <c r="AH103" s="555"/>
      <c r="AI103" s="555"/>
      <c r="AJ103" s="575"/>
      <c r="AK103" s="555"/>
      <c r="AL103" s="555"/>
      <c r="AM103" s="556"/>
      <c r="AN103" s="555"/>
      <c r="AO103" s="555"/>
      <c r="AP103" s="555"/>
      <c r="AQ103" s="556"/>
      <c r="AR103" s="575"/>
      <c r="AS103" s="555"/>
      <c r="AT103" s="555"/>
      <c r="AU103" s="556"/>
      <c r="AV103" s="555"/>
      <c r="AW103" s="555"/>
      <c r="AX103" s="555"/>
      <c r="AY103" s="556"/>
      <c r="AZ103" s="555"/>
      <c r="BA103" s="555"/>
      <c r="BB103" s="555"/>
      <c r="BC103" s="556"/>
      <c r="BD103" s="555"/>
      <c r="BE103" s="555"/>
      <c r="BF103" s="555"/>
      <c r="BG103" s="556"/>
      <c r="BH103" s="555"/>
      <c r="BI103" s="555"/>
      <c r="BJ103" s="555"/>
      <c r="BK103" s="556"/>
      <c r="BL103" s="555"/>
      <c r="BM103" s="555"/>
      <c r="BN103" s="555"/>
      <c r="BO103" s="556"/>
      <c r="BP103" s="555"/>
      <c r="BQ103" s="555"/>
      <c r="BR103" s="555"/>
      <c r="BS103" s="556"/>
      <c r="BT103" s="555"/>
      <c r="BU103" s="555"/>
      <c r="BV103" s="555"/>
      <c r="BW103" s="556"/>
      <c r="BX103" s="816"/>
      <c r="BY103" s="810">
        <f t="shared" ref="BY103:CC104" si="260">+BY95*BY$88</f>
        <v>43.245230000000006</v>
      </c>
      <c r="BZ103" s="810">
        <f t="shared" si="260"/>
        <v>62.721839999999993</v>
      </c>
      <c r="CA103" s="810">
        <f t="shared" si="260"/>
        <v>79.237099999999998</v>
      </c>
      <c r="CB103" s="810">
        <f t="shared" si="260"/>
        <v>123.8</v>
      </c>
      <c r="CC103" s="810">
        <f t="shared" si="260"/>
        <v>163.18367999999998</v>
      </c>
      <c r="CD103" s="810">
        <f t="shared" ref="CD103:CK104" si="261">+CD95*CD$88</f>
        <v>154.80306000000002</v>
      </c>
      <c r="CE103" s="485">
        <f t="shared" si="261"/>
        <v>96.309240000000003</v>
      </c>
      <c r="CF103" s="485">
        <f t="shared" si="261"/>
        <v>0</v>
      </c>
      <c r="CG103" s="485">
        <f t="shared" si="261"/>
        <v>0</v>
      </c>
      <c r="CH103" s="485">
        <f t="shared" si="261"/>
        <v>0</v>
      </c>
      <c r="CI103" s="485">
        <f t="shared" si="261"/>
        <v>0</v>
      </c>
      <c r="CJ103" s="756">
        <f t="shared" si="261"/>
        <v>0</v>
      </c>
      <c r="CK103" s="485">
        <f t="shared" si="261"/>
        <v>0</v>
      </c>
      <c r="CL103" s="555"/>
      <c r="CM103" s="555"/>
      <c r="CN103" s="555"/>
      <c r="CO103" s="555"/>
      <c r="CP103" s="556"/>
      <c r="CQ103" s="575"/>
    </row>
    <row r="104" spans="2:95" s="540" customFormat="1" ht="14.25">
      <c r="B104" s="568" t="s">
        <v>496</v>
      </c>
      <c r="C104" s="555"/>
      <c r="D104" s="555"/>
      <c r="E104" s="555"/>
      <c r="F104" s="555"/>
      <c r="G104" s="556"/>
      <c r="H104" s="555"/>
      <c r="I104" s="555"/>
      <c r="J104" s="555"/>
      <c r="K104" s="556"/>
      <c r="L104" s="555"/>
      <c r="M104" s="555"/>
      <c r="N104" s="555"/>
      <c r="O104" s="556"/>
      <c r="P104" s="555"/>
      <c r="Q104" s="555"/>
      <c r="R104" s="555"/>
      <c r="S104" s="556"/>
      <c r="T104" s="555"/>
      <c r="U104" s="555"/>
      <c r="V104" s="555"/>
      <c r="W104" s="556"/>
      <c r="X104" s="555"/>
      <c r="Y104" s="555"/>
      <c r="Z104" s="555"/>
      <c r="AA104" s="555"/>
      <c r="AB104" s="575"/>
      <c r="AC104" s="555"/>
      <c r="AD104" s="555"/>
      <c r="AE104" s="556"/>
      <c r="AF104" s="555"/>
      <c r="AG104" s="555"/>
      <c r="AH104" s="555"/>
      <c r="AI104" s="555"/>
      <c r="AJ104" s="575"/>
      <c r="AK104" s="555"/>
      <c r="AL104" s="555"/>
      <c r="AM104" s="556"/>
      <c r="AN104" s="555"/>
      <c r="AO104" s="555"/>
      <c r="AP104" s="555"/>
      <c r="AQ104" s="556"/>
      <c r="AR104" s="575"/>
      <c r="AS104" s="555"/>
      <c r="AT104" s="555"/>
      <c r="AU104" s="556"/>
      <c r="AV104" s="555"/>
      <c r="AW104" s="555"/>
      <c r="AX104" s="555"/>
      <c r="AY104" s="556"/>
      <c r="AZ104" s="555"/>
      <c r="BA104" s="555"/>
      <c r="BB104" s="555"/>
      <c r="BC104" s="556"/>
      <c r="BD104" s="555"/>
      <c r="BE104" s="555"/>
      <c r="BF104" s="555"/>
      <c r="BG104" s="556"/>
      <c r="BH104" s="555"/>
      <c r="BI104" s="555"/>
      <c r="BJ104" s="555"/>
      <c r="BK104" s="556"/>
      <c r="BL104" s="555"/>
      <c r="BM104" s="555"/>
      <c r="BN104" s="555"/>
      <c r="BO104" s="556"/>
      <c r="BP104" s="555"/>
      <c r="BQ104" s="555"/>
      <c r="BR104" s="555"/>
      <c r="BS104" s="556"/>
      <c r="BT104" s="555"/>
      <c r="BU104" s="555"/>
      <c r="BV104" s="555"/>
      <c r="BW104" s="556"/>
      <c r="BX104" s="816"/>
      <c r="BY104" s="811">
        <f t="shared" si="260"/>
        <v>67.956789999999998</v>
      </c>
      <c r="BZ104" s="811">
        <f t="shared" si="260"/>
        <v>109.76322</v>
      </c>
      <c r="CA104" s="811">
        <f t="shared" si="260"/>
        <v>166.39791</v>
      </c>
      <c r="CB104" s="811">
        <f t="shared" si="260"/>
        <v>177.96250000000001</v>
      </c>
      <c r="CC104" s="811">
        <f t="shared" si="260"/>
        <v>118.67903999999999</v>
      </c>
      <c r="CD104" s="811">
        <f t="shared" si="261"/>
        <v>0</v>
      </c>
      <c r="CE104" s="757">
        <f t="shared" si="261"/>
        <v>0</v>
      </c>
      <c r="CF104" s="757">
        <f t="shared" si="261"/>
        <v>0</v>
      </c>
      <c r="CG104" s="757">
        <f t="shared" si="261"/>
        <v>0</v>
      </c>
      <c r="CH104" s="757">
        <f t="shared" si="261"/>
        <v>0</v>
      </c>
      <c r="CI104" s="757">
        <f t="shared" si="261"/>
        <v>0</v>
      </c>
      <c r="CJ104" s="758">
        <f t="shared" si="261"/>
        <v>0</v>
      </c>
      <c r="CK104" s="757">
        <f t="shared" si="261"/>
        <v>0</v>
      </c>
      <c r="CL104" s="555"/>
      <c r="CM104" s="555"/>
      <c r="CN104" s="555"/>
      <c r="CO104" s="555"/>
      <c r="CP104" s="556"/>
      <c r="CQ104" s="575"/>
    </row>
    <row r="105" spans="2:95" s="541" customFormat="1" ht="15">
      <c r="B105" s="567" t="s">
        <v>330</v>
      </c>
      <c r="C105" s="538"/>
      <c r="D105" s="538"/>
      <c r="E105" s="538"/>
      <c r="F105" s="538"/>
      <c r="G105" s="557"/>
      <c r="H105" s="538"/>
      <c r="I105" s="538"/>
      <c r="J105" s="538"/>
      <c r="K105" s="557"/>
      <c r="L105" s="538"/>
      <c r="M105" s="538"/>
      <c r="N105" s="538"/>
      <c r="O105" s="557"/>
      <c r="P105" s="538"/>
      <c r="Q105" s="538"/>
      <c r="R105" s="538"/>
      <c r="S105" s="557"/>
      <c r="T105" s="538"/>
      <c r="U105" s="538"/>
      <c r="V105" s="538"/>
      <c r="W105" s="557"/>
      <c r="X105" s="538"/>
      <c r="Y105" s="538"/>
      <c r="Z105" s="538"/>
      <c r="AA105" s="538"/>
      <c r="AB105" s="417"/>
      <c r="AC105" s="538"/>
      <c r="AD105" s="538"/>
      <c r="AE105" s="557"/>
      <c r="AF105" s="538"/>
      <c r="AG105" s="538"/>
      <c r="AH105" s="538"/>
      <c r="AI105" s="538"/>
      <c r="AJ105" s="417"/>
      <c r="AK105" s="538"/>
      <c r="AL105" s="538"/>
      <c r="AM105" s="557"/>
      <c r="AN105" s="538"/>
      <c r="AO105" s="538"/>
      <c r="AP105" s="538"/>
      <c r="AQ105" s="557"/>
      <c r="AR105" s="417"/>
      <c r="AS105" s="538"/>
      <c r="AT105" s="538"/>
      <c r="AU105" s="557"/>
      <c r="AV105" s="538"/>
      <c r="AW105" s="538"/>
      <c r="AX105" s="538"/>
      <c r="AY105" s="557"/>
      <c r="AZ105" s="538"/>
      <c r="BA105" s="538"/>
      <c r="BB105" s="538"/>
      <c r="BC105" s="557"/>
      <c r="BD105" s="538"/>
      <c r="BE105" s="538"/>
      <c r="BF105" s="538"/>
      <c r="BG105" s="557"/>
      <c r="BH105" s="538"/>
      <c r="BI105" s="538"/>
      <c r="BJ105" s="538"/>
      <c r="BK105" s="557"/>
      <c r="BL105" s="538"/>
      <c r="BM105" s="538"/>
      <c r="BN105" s="538"/>
      <c r="BO105" s="557"/>
      <c r="BP105" s="538"/>
      <c r="BQ105" s="538"/>
      <c r="BR105" s="538"/>
      <c r="BS105" s="557"/>
      <c r="BT105" s="538"/>
      <c r="BU105" s="538"/>
      <c r="BV105" s="538"/>
      <c r="BW105" s="557"/>
      <c r="BX105" s="817"/>
      <c r="BY105" s="812">
        <f>+SUM(BY99:BY103)</f>
        <v>135.91358</v>
      </c>
      <c r="BZ105" s="812">
        <f>+SUM(BZ99:BZ103)</f>
        <v>156.80459999999997</v>
      </c>
      <c r="CA105" s="812">
        <f>+SUM(CA99:CA103)</f>
        <v>134.70307</v>
      </c>
      <c r="CB105" s="812">
        <f>+SUM(CB99:CB103)</f>
        <v>208.91249999999999</v>
      </c>
      <c r="CC105" s="812">
        <f>+SUM(CC99:CC103)</f>
        <v>326.36735999999996</v>
      </c>
      <c r="CD105" s="812">
        <f t="shared" ref="CD105:CK105" si="262">+SUM(CD99:CD103)</f>
        <v>369.80731000000003</v>
      </c>
      <c r="CE105" s="759">
        <f t="shared" si="262"/>
        <v>304.97926000000001</v>
      </c>
      <c r="CF105" s="759">
        <f t="shared" si="262"/>
        <v>407.30261999999999</v>
      </c>
      <c r="CG105" s="759">
        <f t="shared" si="262"/>
        <v>723.65021999999999</v>
      </c>
      <c r="CH105" s="759">
        <f t="shared" si="262"/>
        <v>721.54726000000005</v>
      </c>
      <c r="CI105" s="759">
        <f t="shared" si="262"/>
        <v>913.93173000000002</v>
      </c>
      <c r="CJ105" s="760">
        <f t="shared" si="262"/>
        <v>1008.2160000000001</v>
      </c>
      <c r="CK105" s="759">
        <f t="shared" si="262"/>
        <v>1433.6959999999999</v>
      </c>
      <c r="CL105" s="538"/>
      <c r="CM105" s="538"/>
      <c r="CN105" s="538"/>
      <c r="CO105" s="538"/>
      <c r="CP105" s="557"/>
      <c r="CQ105" s="417"/>
    </row>
    <row r="106" spans="2:95" s="542" customFormat="1" ht="14.25">
      <c r="B106" s="569" t="s">
        <v>331</v>
      </c>
      <c r="C106" s="559"/>
      <c r="D106" s="559"/>
      <c r="E106" s="559"/>
      <c r="F106" s="559"/>
      <c r="G106" s="560"/>
      <c r="H106" s="559"/>
      <c r="I106" s="559"/>
      <c r="J106" s="559"/>
      <c r="K106" s="560"/>
      <c r="L106" s="559"/>
      <c r="M106" s="559"/>
      <c r="N106" s="559"/>
      <c r="O106" s="560"/>
      <c r="P106" s="559"/>
      <c r="Q106" s="559"/>
      <c r="R106" s="559"/>
      <c r="S106" s="560"/>
      <c r="T106" s="559"/>
      <c r="U106" s="559"/>
      <c r="V106" s="559"/>
      <c r="W106" s="560"/>
      <c r="X106" s="559"/>
      <c r="Y106" s="559"/>
      <c r="Z106" s="559"/>
      <c r="AA106" s="559"/>
      <c r="AB106" s="558"/>
      <c r="AC106" s="559"/>
      <c r="AD106" s="559"/>
      <c r="AE106" s="560"/>
      <c r="AF106" s="559"/>
      <c r="AG106" s="559"/>
      <c r="AH106" s="559"/>
      <c r="AI106" s="559"/>
      <c r="AJ106" s="558"/>
      <c r="AK106" s="559"/>
      <c r="AL106" s="559"/>
      <c r="AM106" s="560"/>
      <c r="AN106" s="559"/>
      <c r="AO106" s="559"/>
      <c r="AP106" s="559"/>
      <c r="AQ106" s="560"/>
      <c r="AR106" s="558"/>
      <c r="AS106" s="559"/>
      <c r="AT106" s="559"/>
      <c r="AU106" s="560"/>
      <c r="AV106" s="559"/>
      <c r="AW106" s="559"/>
      <c r="AX106" s="559"/>
      <c r="AY106" s="560"/>
      <c r="AZ106" s="559"/>
      <c r="BA106" s="559"/>
      <c r="BB106" s="559"/>
      <c r="BC106" s="560"/>
      <c r="BD106" s="559"/>
      <c r="BE106" s="559"/>
      <c r="BF106" s="559"/>
      <c r="BG106" s="560"/>
      <c r="BH106" s="559"/>
      <c r="BI106" s="559"/>
      <c r="BJ106" s="559"/>
      <c r="BK106" s="560"/>
      <c r="BL106" s="559"/>
      <c r="BM106" s="559"/>
      <c r="BN106" s="559"/>
      <c r="BO106" s="560"/>
      <c r="BP106" s="559"/>
      <c r="BQ106" s="559"/>
      <c r="BR106" s="559"/>
      <c r="BS106" s="560"/>
      <c r="BT106" s="559"/>
      <c r="BU106" s="559"/>
      <c r="BV106" s="559"/>
      <c r="BW106" s="560"/>
      <c r="BX106" s="818"/>
      <c r="BY106" s="761">
        <f>+BY105/BY88</f>
        <v>0.22</v>
      </c>
      <c r="BZ106" s="761">
        <f>+BZ105/BZ88</f>
        <v>0.19999999999999998</v>
      </c>
      <c r="CA106" s="761">
        <f>+CA105/CA88</f>
        <v>0.17</v>
      </c>
      <c r="CB106" s="761">
        <f>+CB105/CB88</f>
        <v>0.27</v>
      </c>
      <c r="CC106" s="761">
        <f>+CC105/CC88</f>
        <v>0.44</v>
      </c>
      <c r="CD106" s="761">
        <f t="shared" ref="CD106:CK106" si="263">+CD105/CD88</f>
        <v>0.43</v>
      </c>
      <c r="CE106" s="761">
        <f t="shared" si="263"/>
        <v>0.38</v>
      </c>
      <c r="CF106" s="761">
        <f t="shared" si="263"/>
        <v>0.38</v>
      </c>
      <c r="CG106" s="761">
        <f t="shared" si="263"/>
        <v>0.51</v>
      </c>
      <c r="CH106" s="761">
        <f t="shared" si="263"/>
        <v>0.46</v>
      </c>
      <c r="CI106" s="761">
        <f t="shared" si="263"/>
        <v>0.51</v>
      </c>
      <c r="CJ106" s="762">
        <f t="shared" si="263"/>
        <v>0.44000000000000006</v>
      </c>
      <c r="CK106" s="761">
        <f t="shared" si="263"/>
        <v>0.44</v>
      </c>
      <c r="CL106" s="559"/>
      <c r="CM106" s="559"/>
      <c r="CN106" s="559"/>
      <c r="CO106" s="559"/>
      <c r="CP106" s="560"/>
      <c r="CQ106" s="953"/>
    </row>
    <row r="107" spans="2:95">
      <c r="CF107" s="105"/>
      <c r="CN107" s="105"/>
      <c r="CO107" s="105"/>
      <c r="CP107" s="105"/>
    </row>
    <row r="108" spans="2:95">
      <c r="CP108" s="911"/>
    </row>
    <row r="109" spans="2:95" ht="15">
      <c r="B109" s="745" t="s">
        <v>460</v>
      </c>
      <c r="C109" s="547"/>
      <c r="D109" s="573" t="str">
        <f t="shared" ref="D109:X109" si="264">+D$8</f>
        <v>F1Q03A</v>
      </c>
      <c r="E109" s="570" t="str">
        <f t="shared" si="264"/>
        <v>F2Q03A</v>
      </c>
      <c r="F109" s="570" t="str">
        <f t="shared" si="264"/>
        <v>F3Q03A</v>
      </c>
      <c r="G109" s="571" t="str">
        <f t="shared" si="264"/>
        <v>F4Q03A</v>
      </c>
      <c r="H109" s="573" t="str">
        <f t="shared" si="264"/>
        <v>F1Q04A</v>
      </c>
      <c r="I109" s="570" t="str">
        <f t="shared" si="264"/>
        <v>F2Q04A</v>
      </c>
      <c r="J109" s="570" t="str">
        <f t="shared" si="264"/>
        <v>F3Q04A</v>
      </c>
      <c r="K109" s="571" t="str">
        <f t="shared" si="264"/>
        <v>F4Q04A</v>
      </c>
      <c r="L109" s="573" t="str">
        <f t="shared" si="264"/>
        <v>F1Q05A</v>
      </c>
      <c r="M109" s="570" t="str">
        <f t="shared" si="264"/>
        <v>F2Q05A</v>
      </c>
      <c r="N109" s="570" t="str">
        <f t="shared" si="264"/>
        <v>F3Q05A</v>
      </c>
      <c r="O109" s="571" t="str">
        <f t="shared" si="264"/>
        <v>F4Q05A</v>
      </c>
      <c r="P109" s="573" t="str">
        <f t="shared" si="264"/>
        <v>F1Q06A</v>
      </c>
      <c r="Q109" s="570" t="str">
        <f t="shared" si="264"/>
        <v>F2Q06A</v>
      </c>
      <c r="R109" s="570" t="str">
        <f t="shared" si="264"/>
        <v>F3Q06A</v>
      </c>
      <c r="S109" s="571" t="str">
        <f t="shared" si="264"/>
        <v>F4Q06A</v>
      </c>
      <c r="T109" s="573" t="str">
        <f t="shared" si="264"/>
        <v>F1Q07A</v>
      </c>
      <c r="U109" s="570" t="str">
        <f t="shared" si="264"/>
        <v>F2Q07A</v>
      </c>
      <c r="V109" s="570" t="str">
        <f t="shared" si="264"/>
        <v>F3Q07A</v>
      </c>
      <c r="W109" s="571" t="str">
        <f t="shared" si="264"/>
        <v>F4Q07A</v>
      </c>
      <c r="X109" s="573" t="str">
        <f t="shared" si="264"/>
        <v>F1Q08A</v>
      </c>
      <c r="Y109" s="570" t="str">
        <f t="shared" ref="Y109:AQ109" si="265">+Y$8</f>
        <v>F2Q08A</v>
      </c>
      <c r="Z109" s="570" t="str">
        <f t="shared" si="265"/>
        <v>F3Q08A</v>
      </c>
      <c r="AA109" s="571" t="str">
        <f t="shared" si="265"/>
        <v>F4Q08A</v>
      </c>
      <c r="AB109" s="570" t="str">
        <f t="shared" si="265"/>
        <v>F1Q09A</v>
      </c>
      <c r="AC109" s="570" t="str">
        <f t="shared" si="265"/>
        <v>F2Q09A</v>
      </c>
      <c r="AD109" s="570" t="str">
        <f t="shared" si="265"/>
        <v>F3Q09A</v>
      </c>
      <c r="AE109" s="570" t="str">
        <f t="shared" si="265"/>
        <v>F4Q09A</v>
      </c>
      <c r="AF109" s="573" t="str">
        <f t="shared" si="265"/>
        <v>F1Q10A</v>
      </c>
      <c r="AG109" s="570" t="str">
        <f t="shared" si="265"/>
        <v>F2Q10A</v>
      </c>
      <c r="AH109" s="570" t="str">
        <f t="shared" si="265"/>
        <v>F3Q10A</v>
      </c>
      <c r="AI109" s="571" t="str">
        <f t="shared" si="265"/>
        <v>F4Q10A</v>
      </c>
      <c r="AJ109" s="570" t="str">
        <f t="shared" si="265"/>
        <v>F1Q11A</v>
      </c>
      <c r="AK109" s="570" t="str">
        <f t="shared" si="265"/>
        <v>F2Q11A</v>
      </c>
      <c r="AL109" s="570" t="str">
        <f t="shared" si="265"/>
        <v>F3Q11A</v>
      </c>
      <c r="AM109" s="570" t="str">
        <f t="shared" si="265"/>
        <v>F4Q11A</v>
      </c>
      <c r="AN109" s="573" t="str">
        <f t="shared" si="265"/>
        <v>F1Q12A</v>
      </c>
      <c r="AO109" s="570" t="str">
        <f t="shared" si="265"/>
        <v>F2Q12A</v>
      </c>
      <c r="AP109" s="570" t="str">
        <f t="shared" si="265"/>
        <v>F3Q12A</v>
      </c>
      <c r="AQ109" s="571" t="str">
        <f t="shared" si="265"/>
        <v>F4Q12A</v>
      </c>
      <c r="AR109" s="570" t="str">
        <f>+AR$8</f>
        <v>F1Q13A</v>
      </c>
      <c r="AS109" s="570" t="str">
        <f t="shared" ref="AS109:BW109" si="266">+AS$8</f>
        <v>F2Q13A</v>
      </c>
      <c r="AT109" s="570" t="str">
        <f t="shared" si="266"/>
        <v>F3Q13A</v>
      </c>
      <c r="AU109" s="570" t="str">
        <f t="shared" si="266"/>
        <v>F4Q13A</v>
      </c>
      <c r="AV109" s="573" t="str">
        <f t="shared" si="266"/>
        <v>F1Q14A</v>
      </c>
      <c r="AW109" s="570" t="str">
        <f t="shared" si="266"/>
        <v>F2Q14A</v>
      </c>
      <c r="AX109" s="570" t="str">
        <f t="shared" si="266"/>
        <v>F3Q14A</v>
      </c>
      <c r="AY109" s="571" t="str">
        <f t="shared" si="266"/>
        <v>F4Q14A</v>
      </c>
      <c r="AZ109" s="573" t="str">
        <f t="shared" si="266"/>
        <v>F1Q15A</v>
      </c>
      <c r="BA109" s="570" t="str">
        <f t="shared" si="266"/>
        <v>F2Q15A</v>
      </c>
      <c r="BB109" s="570" t="str">
        <f t="shared" si="266"/>
        <v>F3Q15A</v>
      </c>
      <c r="BC109" s="571" t="str">
        <f t="shared" si="266"/>
        <v>F4Q15A</v>
      </c>
      <c r="BD109" s="573" t="str">
        <f t="shared" si="266"/>
        <v>F1Q16A</v>
      </c>
      <c r="BE109" s="570" t="str">
        <f t="shared" si="266"/>
        <v>F2Q16A</v>
      </c>
      <c r="BF109" s="570" t="str">
        <f t="shared" si="266"/>
        <v>F3Q16A</v>
      </c>
      <c r="BG109" s="571" t="str">
        <f t="shared" si="266"/>
        <v>F4Q16A</v>
      </c>
      <c r="BH109" s="573" t="str">
        <f t="shared" si="266"/>
        <v>F1Q17A</v>
      </c>
      <c r="BI109" s="570" t="str">
        <f t="shared" si="266"/>
        <v>F2Q17A</v>
      </c>
      <c r="BJ109" s="570" t="str">
        <f t="shared" si="266"/>
        <v>F3Q17A</v>
      </c>
      <c r="BK109" s="571" t="str">
        <f t="shared" si="266"/>
        <v>F4Q17A</v>
      </c>
      <c r="BL109" s="573" t="str">
        <f t="shared" si="266"/>
        <v>F1Q18A</v>
      </c>
      <c r="BM109" s="570" t="str">
        <f>+BM$8</f>
        <v>F2Q18E</v>
      </c>
      <c r="BN109" s="570" t="str">
        <f>+BN$8</f>
        <v>F3Q18E</v>
      </c>
      <c r="BO109" s="571" t="str">
        <f>+BO$8</f>
        <v>F4Q18E</v>
      </c>
      <c r="BP109" s="573" t="str">
        <f>+BP$8</f>
        <v>F1Q19E</v>
      </c>
      <c r="BQ109" s="570" t="str">
        <f>+BQ$8</f>
        <v>F2Q19E</v>
      </c>
      <c r="BR109" s="570" t="str">
        <f>+BR$8</f>
        <v>F3Q19E</v>
      </c>
      <c r="BS109" s="571" t="str">
        <f>+BS$8</f>
        <v>F4Q19E</v>
      </c>
      <c r="BT109" s="573" t="str">
        <f t="shared" si="266"/>
        <v>F1Q20E</v>
      </c>
      <c r="BU109" s="570" t="str">
        <f t="shared" si="266"/>
        <v>F2Q20E</v>
      </c>
      <c r="BV109" s="570" t="str">
        <f t="shared" si="266"/>
        <v>F3Q20E</v>
      </c>
      <c r="BW109" s="571" t="str">
        <f t="shared" si="266"/>
        <v>F4Q20E</v>
      </c>
      <c r="BX109" s="104"/>
      <c r="BY109" s="739" t="e">
        <f t="shared" ref="BY109:CD109" si="267">+BY$8</f>
        <v>#NAME?</v>
      </c>
      <c r="BZ109" s="739" t="e">
        <f t="shared" si="267"/>
        <v>#NAME?</v>
      </c>
      <c r="CA109" s="739" t="e">
        <f t="shared" si="267"/>
        <v>#NAME?</v>
      </c>
      <c r="CB109" s="739" t="e">
        <f t="shared" si="267"/>
        <v>#NAME?</v>
      </c>
      <c r="CC109" s="739" t="e">
        <f t="shared" si="267"/>
        <v>#NAME?</v>
      </c>
      <c r="CD109" s="739" t="e">
        <f t="shared" si="267"/>
        <v>#NAME?</v>
      </c>
      <c r="CE109" s="535" t="e">
        <f t="shared" ref="CE109:CP109" si="268">+CE$8</f>
        <v>#NAME?</v>
      </c>
      <c r="CF109" s="535" t="e">
        <f t="shared" si="268"/>
        <v>#NAME?</v>
      </c>
      <c r="CG109" s="535" t="e">
        <f t="shared" si="268"/>
        <v>#NAME?</v>
      </c>
      <c r="CH109" s="535" t="e">
        <f t="shared" si="268"/>
        <v>#NAME?</v>
      </c>
      <c r="CI109" s="535" t="str">
        <f t="shared" si="268"/>
        <v>FY2013A</v>
      </c>
      <c r="CJ109" s="535" t="str">
        <f t="shared" si="268"/>
        <v>FY2014A</v>
      </c>
      <c r="CK109" s="535" t="str">
        <f t="shared" si="268"/>
        <v>FY2015A</v>
      </c>
      <c r="CL109" s="535" t="str">
        <f t="shared" si="268"/>
        <v>FY2016A</v>
      </c>
      <c r="CM109" s="535" t="str">
        <f t="shared" si="268"/>
        <v>FY2017A</v>
      </c>
      <c r="CN109" s="535" t="str">
        <f t="shared" si="268"/>
        <v>FY2018E</v>
      </c>
      <c r="CO109" s="535" t="str">
        <f t="shared" si="268"/>
        <v>FY2019E</v>
      </c>
      <c r="CP109" s="535" t="str">
        <f t="shared" si="268"/>
        <v>FY2020E</v>
      </c>
      <c r="CQ109" s="509"/>
    </row>
    <row r="110" spans="2:95" s="584" customFormat="1" ht="14.25">
      <c r="B110" s="746" t="s">
        <v>461</v>
      </c>
      <c r="C110" s="328"/>
      <c r="D110" s="350"/>
      <c r="E110" s="328"/>
      <c r="F110" s="328"/>
      <c r="G110" s="329"/>
      <c r="H110" s="350"/>
      <c r="I110" s="328"/>
      <c r="J110" s="328"/>
      <c r="K110" s="329"/>
      <c r="L110" s="350"/>
      <c r="M110" s="328"/>
      <c r="N110" s="328"/>
      <c r="O110" s="329"/>
      <c r="P110" s="350"/>
      <c r="Q110" s="328"/>
      <c r="R110" s="328"/>
      <c r="S110" s="329"/>
      <c r="T110" s="350"/>
      <c r="U110" s="328"/>
      <c r="V110" s="328"/>
      <c r="W110" s="329"/>
      <c r="X110" s="350"/>
      <c r="Y110" s="328"/>
      <c r="Z110" s="328"/>
      <c r="AA110" s="329"/>
      <c r="AB110" s="328"/>
      <c r="AC110" s="328"/>
      <c r="AD110" s="328"/>
      <c r="AE110" s="328"/>
      <c r="AF110" s="350"/>
      <c r="AG110" s="328"/>
      <c r="AH110" s="328"/>
      <c r="AI110" s="329"/>
      <c r="AJ110" s="328"/>
      <c r="AK110" s="328"/>
      <c r="AL110" s="328"/>
      <c r="AM110" s="328"/>
      <c r="AN110" s="350"/>
      <c r="AO110" s="328"/>
      <c r="AP110" s="328"/>
      <c r="AQ110" s="329"/>
      <c r="AR110" s="328"/>
      <c r="AS110" s="328"/>
      <c r="AT110" s="328"/>
      <c r="AU110" s="328"/>
      <c r="AV110" s="350"/>
      <c r="AW110" s="328"/>
      <c r="AX110" s="328"/>
      <c r="AY110" s="329"/>
      <c r="AZ110" s="350"/>
      <c r="BA110" s="328"/>
      <c r="BB110" s="328"/>
      <c r="BC110" s="329"/>
      <c r="BD110" s="350"/>
      <c r="BE110" s="328"/>
      <c r="BF110" s="328"/>
      <c r="BG110" s="329"/>
      <c r="BH110" s="350"/>
      <c r="BI110" s="328"/>
      <c r="BJ110" s="328"/>
      <c r="BK110" s="329"/>
      <c r="BL110" s="350"/>
      <c r="BM110" s="328"/>
      <c r="BN110" s="328"/>
      <c r="BO110" s="329"/>
      <c r="BP110" s="350"/>
      <c r="BQ110" s="328"/>
      <c r="BR110" s="328"/>
      <c r="BS110" s="329"/>
      <c r="BT110" s="350"/>
      <c r="BU110" s="328"/>
      <c r="BV110" s="328"/>
      <c r="BW110" s="329"/>
      <c r="BX110" s="740"/>
      <c r="BY110" s="584">
        <v>87.691000000000003</v>
      </c>
      <c r="BZ110" s="584">
        <v>74.105000000000004</v>
      </c>
      <c r="CA110" s="584">
        <v>66.429000000000002</v>
      </c>
      <c r="CB110" s="584">
        <v>43.18</v>
      </c>
      <c r="CC110" s="584">
        <v>66.867999999999995</v>
      </c>
      <c r="CD110" s="584">
        <v>79.951999999999998</v>
      </c>
      <c r="CE110" s="584">
        <v>76.435000000000002</v>
      </c>
      <c r="CF110" s="328">
        <v>115.61</v>
      </c>
      <c r="CG110" s="584">
        <v>76.763999999999996</v>
      </c>
      <c r="CH110" s="747">
        <v>70.259</v>
      </c>
      <c r="CI110" s="351">
        <v>67.3</v>
      </c>
      <c r="CJ110" s="584">
        <v>47.5</v>
      </c>
      <c r="CK110" s="584">
        <v>66.8</v>
      </c>
      <c r="CQ110" s="350"/>
    </row>
    <row r="111" spans="2:95" s="584" customFormat="1" ht="14.25">
      <c r="B111" s="746" t="s">
        <v>462</v>
      </c>
      <c r="C111" s="328"/>
      <c r="D111" s="350"/>
      <c r="E111" s="328"/>
      <c r="F111" s="328"/>
      <c r="G111" s="329"/>
      <c r="H111" s="350"/>
      <c r="I111" s="328"/>
      <c r="J111" s="328"/>
      <c r="K111" s="329"/>
      <c r="L111" s="350"/>
      <c r="M111" s="328"/>
      <c r="N111" s="328"/>
      <c r="O111" s="329"/>
      <c r="P111" s="350"/>
      <c r="Q111" s="328"/>
      <c r="R111" s="328"/>
      <c r="S111" s="329"/>
      <c r="T111" s="350"/>
      <c r="U111" s="328"/>
      <c r="V111" s="328"/>
      <c r="W111" s="329"/>
      <c r="X111" s="350"/>
      <c r="Y111" s="328"/>
      <c r="Z111" s="328"/>
      <c r="AA111" s="329"/>
      <c r="AB111" s="328"/>
      <c r="AC111" s="328"/>
      <c r="AD111" s="328"/>
      <c r="AE111" s="328"/>
      <c r="AF111" s="350"/>
      <c r="AG111" s="328"/>
      <c r="AH111" s="328"/>
      <c r="AI111" s="329"/>
      <c r="AJ111" s="328"/>
      <c r="AK111" s="328"/>
      <c r="AL111" s="328"/>
      <c r="AM111" s="328"/>
      <c r="AN111" s="350"/>
      <c r="AO111" s="328"/>
      <c r="AP111" s="328"/>
      <c r="AQ111" s="329"/>
      <c r="AR111" s="328"/>
      <c r="AS111" s="328"/>
      <c r="AT111" s="328"/>
      <c r="AU111" s="328"/>
      <c r="AV111" s="350"/>
      <c r="AW111" s="328"/>
      <c r="AX111" s="328"/>
      <c r="AY111" s="329"/>
      <c r="AZ111" s="350"/>
      <c r="BA111" s="328"/>
      <c r="BB111" s="328"/>
      <c r="BC111" s="329"/>
      <c r="BD111" s="350"/>
      <c r="BE111" s="328"/>
      <c r="BF111" s="328"/>
      <c r="BG111" s="329"/>
      <c r="BH111" s="350"/>
      <c r="BI111" s="328"/>
      <c r="BJ111" s="328"/>
      <c r="BK111" s="329"/>
      <c r="BL111" s="350"/>
      <c r="BM111" s="328"/>
      <c r="BN111" s="328"/>
      <c r="BO111" s="329"/>
      <c r="BP111" s="350"/>
      <c r="BQ111" s="328"/>
      <c r="BR111" s="328"/>
      <c r="BS111" s="329"/>
      <c r="BT111" s="350"/>
      <c r="BU111" s="328"/>
      <c r="BV111" s="328"/>
      <c r="BW111" s="329"/>
      <c r="BX111" s="740"/>
      <c r="BY111" s="584">
        <v>69.558999999999997</v>
      </c>
      <c r="BZ111" s="584">
        <v>51.536999999999999</v>
      </c>
      <c r="CA111" s="584">
        <v>39.540999999999997</v>
      </c>
      <c r="CB111" s="584">
        <v>18.925000000000001</v>
      </c>
      <c r="CC111" s="584">
        <v>11.23</v>
      </c>
      <c r="CD111" s="584">
        <v>10.635999999999999</v>
      </c>
      <c r="CE111" s="584">
        <v>26.077999999999999</v>
      </c>
      <c r="CF111" s="584">
        <v>36.723999999999997</v>
      </c>
      <c r="CG111" s="584">
        <v>38.863</v>
      </c>
      <c r="CH111" s="747">
        <v>18.373000000000001</v>
      </c>
      <c r="CI111" s="329">
        <v>10.199999999999999</v>
      </c>
      <c r="CJ111" s="584">
        <v>25.5</v>
      </c>
      <c r="CK111" s="584">
        <v>33</v>
      </c>
      <c r="CQ111" s="350"/>
    </row>
    <row r="112" spans="2:95" s="584" customFormat="1" ht="15">
      <c r="B112" s="595" t="s">
        <v>463</v>
      </c>
      <c r="C112" s="328"/>
      <c r="D112" s="350"/>
      <c r="E112" s="328"/>
      <c r="F112" s="328"/>
      <c r="G112" s="329"/>
      <c r="H112" s="350"/>
      <c r="I112" s="328"/>
      <c r="J112" s="328"/>
      <c r="K112" s="329"/>
      <c r="L112" s="350"/>
      <c r="M112" s="328"/>
      <c r="N112" s="328"/>
      <c r="O112" s="329"/>
      <c r="P112" s="350"/>
      <c r="Q112" s="328"/>
      <c r="R112" s="328"/>
      <c r="S112" s="329"/>
      <c r="T112" s="350"/>
      <c r="U112" s="328"/>
      <c r="V112" s="328"/>
      <c r="W112" s="329"/>
      <c r="X112" s="350"/>
      <c r="Y112" s="328"/>
      <c r="Z112" s="328"/>
      <c r="AA112" s="329"/>
      <c r="AB112" s="328"/>
      <c r="AC112" s="328"/>
      <c r="AD112" s="328"/>
      <c r="AE112" s="328"/>
      <c r="AF112" s="350"/>
      <c r="AG112" s="328"/>
      <c r="AH112" s="328"/>
      <c r="AI112" s="329"/>
      <c r="AJ112" s="328"/>
      <c r="AK112" s="328"/>
      <c r="AL112" s="328"/>
      <c r="AM112" s="328"/>
      <c r="AN112" s="350"/>
      <c r="AO112" s="328"/>
      <c r="AP112" s="328"/>
      <c r="AQ112" s="329"/>
      <c r="AR112" s="328"/>
      <c r="AS112" s="328"/>
      <c r="AT112" s="328"/>
      <c r="AU112" s="328"/>
      <c r="AV112" s="350"/>
      <c r="AW112" s="328"/>
      <c r="AX112" s="328"/>
      <c r="AY112" s="329"/>
      <c r="AZ112" s="350"/>
      <c r="BA112" s="328"/>
      <c r="BB112" s="328"/>
      <c r="BC112" s="329"/>
      <c r="BD112" s="350"/>
      <c r="BE112" s="328"/>
      <c r="BF112" s="328"/>
      <c r="BG112" s="329"/>
      <c r="BH112" s="350"/>
      <c r="BI112" s="328"/>
      <c r="BJ112" s="328"/>
      <c r="BK112" s="329"/>
      <c r="BL112" s="350"/>
      <c r="BM112" s="328"/>
      <c r="BN112" s="328"/>
      <c r="BO112" s="329"/>
      <c r="BP112" s="350"/>
      <c r="BQ112" s="328"/>
      <c r="BR112" s="328"/>
      <c r="BS112" s="329"/>
      <c r="BT112" s="350"/>
      <c r="BU112" s="328"/>
      <c r="BV112" s="328"/>
      <c r="BW112" s="329"/>
      <c r="BX112" s="740"/>
      <c r="BY112" s="584">
        <f>+SUM(BY110:BY111)</f>
        <v>157.25</v>
      </c>
      <c r="BZ112" s="584">
        <f>+SUM(BZ110:BZ111)</f>
        <v>125.642</v>
      </c>
      <c r="CA112" s="584">
        <f>+SUM(CA110:CA111)</f>
        <v>105.97</v>
      </c>
      <c r="CB112" s="584">
        <f>+SUM(CB110:CB111)</f>
        <v>62.105000000000004</v>
      </c>
      <c r="CC112" s="584">
        <f>+SUM(CC110:CC111)</f>
        <v>78.097999999999999</v>
      </c>
      <c r="CD112" s="584">
        <f t="shared" ref="CD112:CK112" si="269">+SUM(CD110:CD111)</f>
        <v>90.587999999999994</v>
      </c>
      <c r="CE112" s="584">
        <f t="shared" si="269"/>
        <v>102.51300000000001</v>
      </c>
      <c r="CF112" s="584">
        <f t="shared" si="269"/>
        <v>152.334</v>
      </c>
      <c r="CG112" s="584">
        <f t="shared" si="269"/>
        <v>115.627</v>
      </c>
      <c r="CH112" s="747">
        <f t="shared" si="269"/>
        <v>88.632000000000005</v>
      </c>
      <c r="CI112" s="329">
        <f t="shared" si="269"/>
        <v>77.5</v>
      </c>
      <c r="CJ112" s="584">
        <f t="shared" si="269"/>
        <v>73</v>
      </c>
      <c r="CK112" s="584">
        <f t="shared" si="269"/>
        <v>99.8</v>
      </c>
      <c r="CQ112" s="350"/>
    </row>
    <row r="113" spans="1:95" s="584" customFormat="1" ht="14.25">
      <c r="B113" s="593"/>
      <c r="C113" s="328"/>
      <c r="D113" s="350"/>
      <c r="E113" s="328"/>
      <c r="F113" s="328"/>
      <c r="G113" s="329"/>
      <c r="H113" s="350"/>
      <c r="I113" s="328"/>
      <c r="J113" s="328"/>
      <c r="K113" s="329"/>
      <c r="L113" s="350"/>
      <c r="M113" s="328"/>
      <c r="N113" s="328"/>
      <c r="O113" s="329"/>
      <c r="P113" s="350"/>
      <c r="Q113" s="328"/>
      <c r="R113" s="328"/>
      <c r="S113" s="329"/>
      <c r="T113" s="350"/>
      <c r="U113" s="328"/>
      <c r="V113" s="328"/>
      <c r="W113" s="329"/>
      <c r="X113" s="350"/>
      <c r="Y113" s="328"/>
      <c r="Z113" s="328"/>
      <c r="AA113" s="329"/>
      <c r="AB113" s="328"/>
      <c r="AC113" s="328"/>
      <c r="AD113" s="328"/>
      <c r="AE113" s="328"/>
      <c r="AF113" s="350"/>
      <c r="AG113" s="328"/>
      <c r="AH113" s="328"/>
      <c r="AI113" s="329"/>
      <c r="AJ113" s="328"/>
      <c r="AK113" s="328"/>
      <c r="AL113" s="328"/>
      <c r="AM113" s="328"/>
      <c r="AN113" s="350"/>
      <c r="AO113" s="328"/>
      <c r="AP113" s="328"/>
      <c r="AQ113" s="329"/>
      <c r="AR113" s="328"/>
      <c r="AS113" s="328"/>
      <c r="AT113" s="328"/>
      <c r="AU113" s="328"/>
      <c r="AV113" s="350"/>
      <c r="AW113" s="328"/>
      <c r="AX113" s="328"/>
      <c r="AY113" s="329"/>
      <c r="AZ113" s="350"/>
      <c r="BA113" s="328"/>
      <c r="BB113" s="328"/>
      <c r="BC113" s="329"/>
      <c r="BD113" s="350"/>
      <c r="BE113" s="328"/>
      <c r="BF113" s="328"/>
      <c r="BG113" s="329"/>
      <c r="BH113" s="350"/>
      <c r="BI113" s="328"/>
      <c r="BJ113" s="328"/>
      <c r="BK113" s="329"/>
      <c r="BL113" s="350"/>
      <c r="BM113" s="328"/>
      <c r="BN113" s="328"/>
      <c r="BO113" s="329"/>
      <c r="BP113" s="350"/>
      <c r="BQ113" s="328"/>
      <c r="BR113" s="328"/>
      <c r="BS113" s="329"/>
      <c r="BT113" s="350"/>
      <c r="BU113" s="328"/>
      <c r="BV113" s="328"/>
      <c r="BW113" s="329"/>
      <c r="BX113" s="740"/>
      <c r="CH113" s="747"/>
      <c r="CI113" s="329"/>
      <c r="CQ113" s="350"/>
    </row>
    <row r="114" spans="1:95" s="584" customFormat="1" ht="14.25">
      <c r="B114" s="746" t="s">
        <v>464</v>
      </c>
      <c r="C114" s="328"/>
      <c r="D114" s="350"/>
      <c r="E114" s="328"/>
      <c r="F114" s="328"/>
      <c r="G114" s="329"/>
      <c r="H114" s="350"/>
      <c r="I114" s="328"/>
      <c r="J114" s="328"/>
      <c r="K114" s="329"/>
      <c r="L114" s="350"/>
      <c r="M114" s="328"/>
      <c r="N114" s="328"/>
      <c r="O114" s="329"/>
      <c r="P114" s="350"/>
      <c r="Q114" s="328"/>
      <c r="R114" s="328"/>
      <c r="S114" s="329"/>
      <c r="T114" s="350"/>
      <c r="U114" s="328"/>
      <c r="V114" s="328"/>
      <c r="W114" s="329"/>
      <c r="X114" s="350"/>
      <c r="Y114" s="328"/>
      <c r="Z114" s="328"/>
      <c r="AA114" s="329"/>
      <c r="AB114" s="328"/>
      <c r="AC114" s="328"/>
      <c r="AD114" s="328"/>
      <c r="AE114" s="328"/>
      <c r="AF114" s="350"/>
      <c r="AG114" s="328"/>
      <c r="AH114" s="328"/>
      <c r="AI114" s="329"/>
      <c r="AJ114" s="328"/>
      <c r="AK114" s="328"/>
      <c r="AL114" s="328"/>
      <c r="AM114" s="328"/>
      <c r="AN114" s="350"/>
      <c r="AO114" s="328"/>
      <c r="AP114" s="328"/>
      <c r="AQ114" s="329"/>
      <c r="AR114" s="328"/>
      <c r="AS114" s="328"/>
      <c r="AT114" s="328"/>
      <c r="AU114" s="328"/>
      <c r="AV114" s="350"/>
      <c r="AW114" s="328"/>
      <c r="AX114" s="328"/>
      <c r="AY114" s="329"/>
      <c r="AZ114" s="350"/>
      <c r="BA114" s="328"/>
      <c r="BB114" s="328"/>
      <c r="BC114" s="329"/>
      <c r="BD114" s="350"/>
      <c r="BE114" s="328"/>
      <c r="BF114" s="328"/>
      <c r="BG114" s="329"/>
      <c r="BH114" s="350"/>
      <c r="BI114" s="328"/>
      <c r="BJ114" s="328"/>
      <c r="BK114" s="329"/>
      <c r="BL114" s="350"/>
      <c r="BM114" s="328"/>
      <c r="BN114" s="328"/>
      <c r="BO114" s="329"/>
      <c r="BP114" s="350"/>
      <c r="BQ114" s="328"/>
      <c r="BR114" s="328"/>
      <c r="BS114" s="329"/>
      <c r="BT114" s="350"/>
      <c r="BU114" s="328"/>
      <c r="BV114" s="328"/>
      <c r="BW114" s="329"/>
      <c r="BX114" s="740"/>
      <c r="BY114" s="584">
        <v>119.38500000000001</v>
      </c>
      <c r="BZ114" s="584">
        <v>206.364</v>
      </c>
      <c r="CA114" s="584">
        <v>215.08199999999999</v>
      </c>
      <c r="CB114" s="584">
        <v>224.53899999999999</v>
      </c>
      <c r="CC114" s="584">
        <v>293.03500000000003</v>
      </c>
      <c r="CD114" s="584">
        <v>410.64499999999998</v>
      </c>
      <c r="CE114" s="584">
        <v>414.20800000000003</v>
      </c>
      <c r="CF114" s="584">
        <v>628.85799999999995</v>
      </c>
      <c r="CG114" s="584">
        <v>914.678</v>
      </c>
      <c r="CH114" s="747">
        <v>820.13400000000001</v>
      </c>
      <c r="CI114" s="329">
        <v>979.3</v>
      </c>
      <c r="CJ114" s="584">
        <v>1574.4</v>
      </c>
      <c r="CK114" s="584">
        <v>2249.1999999999998</v>
      </c>
      <c r="CQ114" s="350"/>
    </row>
    <row r="115" spans="1:95" s="584" customFormat="1" ht="14.25">
      <c r="B115" s="746" t="s">
        <v>465</v>
      </c>
      <c r="C115" s="328"/>
      <c r="D115" s="350"/>
      <c r="E115" s="328"/>
      <c r="F115" s="328"/>
      <c r="G115" s="329"/>
      <c r="H115" s="350"/>
      <c r="I115" s="328"/>
      <c r="J115" s="328"/>
      <c r="K115" s="329"/>
      <c r="L115" s="350"/>
      <c r="M115" s="328"/>
      <c r="N115" s="328"/>
      <c r="O115" s="329"/>
      <c r="P115" s="350"/>
      <c r="Q115" s="328"/>
      <c r="R115" s="328"/>
      <c r="S115" s="329"/>
      <c r="T115" s="350"/>
      <c r="U115" s="328"/>
      <c r="V115" s="328"/>
      <c r="W115" s="329"/>
      <c r="X115" s="350"/>
      <c r="Y115" s="328"/>
      <c r="Z115" s="328"/>
      <c r="AA115" s="329"/>
      <c r="AB115" s="328"/>
      <c r="AC115" s="328"/>
      <c r="AD115" s="328"/>
      <c r="AE115" s="328"/>
      <c r="AF115" s="350"/>
      <c r="AG115" s="328"/>
      <c r="AH115" s="328"/>
      <c r="AI115" s="329"/>
      <c r="AJ115" s="328"/>
      <c r="AK115" s="328"/>
      <c r="AL115" s="328"/>
      <c r="AM115" s="328"/>
      <c r="AN115" s="350"/>
      <c r="AO115" s="328"/>
      <c r="AP115" s="328"/>
      <c r="AQ115" s="329"/>
      <c r="AR115" s="328"/>
      <c r="AS115" s="328"/>
      <c r="AT115" s="328"/>
      <c r="AU115" s="328"/>
      <c r="AV115" s="350"/>
      <c r="AW115" s="328"/>
      <c r="AX115" s="328"/>
      <c r="AY115" s="329"/>
      <c r="AZ115" s="350"/>
      <c r="BA115" s="328"/>
      <c r="BB115" s="328"/>
      <c r="BC115" s="329"/>
      <c r="BD115" s="350"/>
      <c r="BE115" s="328"/>
      <c r="BF115" s="328"/>
      <c r="BG115" s="329"/>
      <c r="BH115" s="350"/>
      <c r="BI115" s="328"/>
      <c r="BJ115" s="328"/>
      <c r="BK115" s="329"/>
      <c r="BL115" s="350"/>
      <c r="BM115" s="328"/>
      <c r="BN115" s="328"/>
      <c r="BO115" s="329"/>
      <c r="BP115" s="350"/>
      <c r="BQ115" s="328"/>
      <c r="BR115" s="328"/>
      <c r="BS115" s="329"/>
      <c r="BT115" s="350"/>
      <c r="BU115" s="328"/>
      <c r="BV115" s="328"/>
      <c r="BW115" s="329"/>
      <c r="BX115" s="740"/>
      <c r="BY115" s="584">
        <v>157.77199999999999</v>
      </c>
      <c r="BZ115" s="584">
        <v>188.09</v>
      </c>
      <c r="CA115" s="584">
        <v>107.22499999999999</v>
      </c>
      <c r="CB115" s="584">
        <v>114.926</v>
      </c>
      <c r="CC115" s="584">
        <v>128.25299999999999</v>
      </c>
      <c r="CD115" s="584">
        <v>184.208</v>
      </c>
      <c r="CE115" s="584">
        <v>174.744</v>
      </c>
      <c r="CF115" s="584">
        <v>144.75800000000001</v>
      </c>
      <c r="CG115" s="584">
        <v>148.37</v>
      </c>
      <c r="CH115" s="747">
        <v>103.21299999999999</v>
      </c>
      <c r="CI115" s="329">
        <v>387.5</v>
      </c>
      <c r="CJ115" s="584">
        <v>322.2</v>
      </c>
      <c r="CK115" s="584">
        <v>506.9</v>
      </c>
      <c r="CQ115" s="350"/>
    </row>
    <row r="116" spans="1:95" s="584" customFormat="1" ht="14.25">
      <c r="B116" s="746" t="s">
        <v>466</v>
      </c>
      <c r="C116" s="328"/>
      <c r="D116" s="350"/>
      <c r="E116" s="328"/>
      <c r="F116" s="328"/>
      <c r="G116" s="329"/>
      <c r="H116" s="350"/>
      <c r="I116" s="328"/>
      <c r="J116" s="328"/>
      <c r="K116" s="329"/>
      <c r="L116" s="350"/>
      <c r="M116" s="328"/>
      <c r="N116" s="328"/>
      <c r="O116" s="329"/>
      <c r="P116" s="350"/>
      <c r="Q116" s="328"/>
      <c r="R116" s="328"/>
      <c r="S116" s="329"/>
      <c r="T116" s="350"/>
      <c r="U116" s="328"/>
      <c r="V116" s="328"/>
      <c r="W116" s="329"/>
      <c r="X116" s="350"/>
      <c r="Y116" s="328"/>
      <c r="Z116" s="328"/>
      <c r="AA116" s="329"/>
      <c r="AB116" s="328"/>
      <c r="AC116" s="328"/>
      <c r="AD116" s="328"/>
      <c r="AE116" s="328"/>
      <c r="AF116" s="350"/>
      <c r="AG116" s="328"/>
      <c r="AH116" s="328"/>
      <c r="AI116" s="329"/>
      <c r="AJ116" s="328"/>
      <c r="AK116" s="328"/>
      <c r="AL116" s="328"/>
      <c r="AM116" s="328"/>
      <c r="AN116" s="350"/>
      <c r="AO116" s="328"/>
      <c r="AP116" s="328"/>
      <c r="AQ116" s="329"/>
      <c r="AR116" s="328"/>
      <c r="AS116" s="328"/>
      <c r="AT116" s="328"/>
      <c r="AU116" s="328"/>
      <c r="AV116" s="350"/>
      <c r="AW116" s="328"/>
      <c r="AX116" s="328"/>
      <c r="AY116" s="329"/>
      <c r="AZ116" s="350"/>
      <c r="BA116" s="328"/>
      <c r="BB116" s="328"/>
      <c r="BC116" s="329"/>
      <c r="BD116" s="350"/>
      <c r="BE116" s="328"/>
      <c r="BF116" s="328"/>
      <c r="BG116" s="329"/>
      <c r="BH116" s="350"/>
      <c r="BI116" s="328"/>
      <c r="BJ116" s="328"/>
      <c r="BK116" s="329"/>
      <c r="BL116" s="350"/>
      <c r="BM116" s="328"/>
      <c r="BN116" s="328"/>
      <c r="BO116" s="329"/>
      <c r="BP116" s="350"/>
      <c r="BQ116" s="328"/>
      <c r="BR116" s="328"/>
      <c r="BS116" s="329"/>
      <c r="BT116" s="350"/>
      <c r="BU116" s="328"/>
      <c r="BV116" s="328"/>
      <c r="BW116" s="329"/>
      <c r="BX116" s="740"/>
      <c r="BY116" s="584">
        <v>60.448999999999998</v>
      </c>
      <c r="BZ116" s="584">
        <v>69.126000000000005</v>
      </c>
      <c r="CA116" s="584">
        <v>92.171000000000006</v>
      </c>
      <c r="CB116" s="584">
        <v>116.07299999999999</v>
      </c>
      <c r="CC116" s="584">
        <v>101.107</v>
      </c>
      <c r="CD116" s="584">
        <v>86.543999999999997</v>
      </c>
      <c r="CE116" s="584">
        <v>48.442999999999998</v>
      </c>
      <c r="CF116" s="584">
        <v>51.353000000000002</v>
      </c>
      <c r="CG116" s="584">
        <v>93.753</v>
      </c>
      <c r="CH116" s="747">
        <v>311.72800000000001</v>
      </c>
      <c r="CI116" s="329">
        <v>102.9</v>
      </c>
      <c r="CJ116" s="584">
        <v>107.4</v>
      </c>
      <c r="CK116" s="584">
        <v>100</v>
      </c>
      <c r="CQ116" s="350"/>
    </row>
    <row r="117" spans="1:95" s="584" customFormat="1" ht="14.25">
      <c r="B117" s="746" t="s">
        <v>467</v>
      </c>
      <c r="C117" s="328"/>
      <c r="D117" s="350"/>
      <c r="E117" s="328"/>
      <c r="F117" s="328"/>
      <c r="G117" s="329"/>
      <c r="H117" s="350"/>
      <c r="I117" s="328"/>
      <c r="J117" s="328"/>
      <c r="K117" s="329"/>
      <c r="L117" s="350"/>
      <c r="M117" s="328"/>
      <c r="N117" s="328"/>
      <c r="O117" s="329"/>
      <c r="P117" s="350"/>
      <c r="Q117" s="328"/>
      <c r="R117" s="328"/>
      <c r="S117" s="329"/>
      <c r="T117" s="350"/>
      <c r="U117" s="328"/>
      <c r="V117" s="328"/>
      <c r="W117" s="329"/>
      <c r="X117" s="350"/>
      <c r="Y117" s="328"/>
      <c r="Z117" s="328"/>
      <c r="AA117" s="329"/>
      <c r="AB117" s="328"/>
      <c r="AC117" s="328"/>
      <c r="AD117" s="328"/>
      <c r="AE117" s="328"/>
      <c r="AF117" s="350"/>
      <c r="AG117" s="328"/>
      <c r="AH117" s="328"/>
      <c r="AI117" s="329"/>
      <c r="AJ117" s="328"/>
      <c r="AK117" s="328"/>
      <c r="AL117" s="328"/>
      <c r="AM117" s="328"/>
      <c r="AN117" s="350"/>
      <c r="AO117" s="328"/>
      <c r="AP117" s="328"/>
      <c r="AQ117" s="329"/>
      <c r="AR117" s="328"/>
      <c r="AS117" s="328"/>
      <c r="AT117" s="328"/>
      <c r="AU117" s="328"/>
      <c r="AV117" s="350"/>
      <c r="AW117" s="328"/>
      <c r="AX117" s="328"/>
      <c r="AY117" s="329"/>
      <c r="AZ117" s="350"/>
      <c r="BA117" s="328"/>
      <c r="BB117" s="328"/>
      <c r="BC117" s="329"/>
      <c r="BD117" s="350"/>
      <c r="BE117" s="328"/>
      <c r="BF117" s="328"/>
      <c r="BG117" s="329"/>
      <c r="BH117" s="350"/>
      <c r="BI117" s="328"/>
      <c r="BJ117" s="328"/>
      <c r="BK117" s="329"/>
      <c r="BL117" s="350"/>
      <c r="BM117" s="328"/>
      <c r="BN117" s="328"/>
      <c r="BO117" s="329"/>
      <c r="BP117" s="350"/>
      <c r="BQ117" s="328"/>
      <c r="BR117" s="328"/>
      <c r="BS117" s="329"/>
      <c r="BT117" s="350"/>
      <c r="BU117" s="328"/>
      <c r="BV117" s="328"/>
      <c r="BW117" s="329"/>
      <c r="BX117" s="740"/>
      <c r="BY117" s="584">
        <v>38.982999999999997</v>
      </c>
      <c r="BZ117" s="584">
        <v>64.569999999999993</v>
      </c>
      <c r="CA117" s="584">
        <v>144.94</v>
      </c>
      <c r="CB117" s="584">
        <v>173.523</v>
      </c>
      <c r="CC117" s="584">
        <v>98.2</v>
      </c>
      <c r="CD117" s="584">
        <v>36.005000000000003</v>
      </c>
      <c r="CE117" s="584">
        <v>23.097999999999999</v>
      </c>
      <c r="CF117" s="584">
        <v>30.922000000000001</v>
      </c>
      <c r="CG117" s="584">
        <v>91.521000000000001</v>
      </c>
      <c r="CH117" s="747">
        <v>207.33699999999999</v>
      </c>
      <c r="CI117" s="329">
        <v>202</v>
      </c>
      <c r="CJ117" s="584">
        <v>166.9</v>
      </c>
      <c r="CK117" s="584">
        <v>249.7</v>
      </c>
      <c r="CQ117" s="350"/>
    </row>
    <row r="118" spans="1:95" s="584" customFormat="1" ht="15">
      <c r="B118" s="595" t="s">
        <v>469</v>
      </c>
      <c r="C118" s="328"/>
      <c r="D118" s="350"/>
      <c r="E118" s="328"/>
      <c r="F118" s="328"/>
      <c r="G118" s="329"/>
      <c r="H118" s="350"/>
      <c r="I118" s="328"/>
      <c r="J118" s="328"/>
      <c r="K118" s="329"/>
      <c r="L118" s="350"/>
      <c r="M118" s="328"/>
      <c r="N118" s="328"/>
      <c r="O118" s="329"/>
      <c r="P118" s="350"/>
      <c r="Q118" s="328"/>
      <c r="R118" s="328"/>
      <c r="S118" s="329"/>
      <c r="T118" s="350"/>
      <c r="U118" s="328"/>
      <c r="V118" s="328"/>
      <c r="W118" s="329"/>
      <c r="X118" s="350"/>
      <c r="Y118" s="328"/>
      <c r="Z118" s="328"/>
      <c r="AA118" s="329"/>
      <c r="AB118" s="328"/>
      <c r="AC118" s="328"/>
      <c r="AD118" s="328"/>
      <c r="AE118" s="328"/>
      <c r="AF118" s="350"/>
      <c r="AG118" s="328"/>
      <c r="AH118" s="328"/>
      <c r="AI118" s="329"/>
      <c r="AJ118" s="328"/>
      <c r="AK118" s="328"/>
      <c r="AL118" s="328"/>
      <c r="AM118" s="328"/>
      <c r="AN118" s="350"/>
      <c r="AO118" s="328"/>
      <c r="AP118" s="328"/>
      <c r="AQ118" s="329"/>
      <c r="AR118" s="328"/>
      <c r="AS118" s="328"/>
      <c r="AT118" s="328"/>
      <c r="AU118" s="328"/>
      <c r="AV118" s="350"/>
      <c r="AW118" s="328"/>
      <c r="AX118" s="328"/>
      <c r="AY118" s="329"/>
      <c r="AZ118" s="350"/>
      <c r="BA118" s="328"/>
      <c r="BB118" s="328"/>
      <c r="BC118" s="329"/>
      <c r="BD118" s="350"/>
      <c r="BE118" s="328"/>
      <c r="BF118" s="328"/>
      <c r="BG118" s="329"/>
      <c r="BH118" s="350"/>
      <c r="BI118" s="328"/>
      <c r="BJ118" s="328"/>
      <c r="BK118" s="329"/>
      <c r="BL118" s="350"/>
      <c r="BM118" s="328"/>
      <c r="BN118" s="328"/>
      <c r="BO118" s="329"/>
      <c r="BP118" s="350"/>
      <c r="BQ118" s="328"/>
      <c r="BR118" s="328"/>
      <c r="BS118" s="329"/>
      <c r="BT118" s="350"/>
      <c r="BU118" s="328"/>
      <c r="BV118" s="328"/>
      <c r="BW118" s="329"/>
      <c r="BX118" s="740"/>
      <c r="BY118" s="584">
        <f>+SUM(BY114:BY117)</f>
        <v>376.589</v>
      </c>
      <c r="BZ118" s="584">
        <f>+SUM(BZ114:BZ117)</f>
        <v>528.15000000000009</v>
      </c>
      <c r="CA118" s="584">
        <f>+SUM(CA114:CA117)</f>
        <v>559.41800000000001</v>
      </c>
      <c r="CB118" s="584">
        <f>+SUM(CB114:CB117)</f>
        <v>629.06099999999992</v>
      </c>
      <c r="CC118" s="584">
        <f>+SUM(CC114:CC117)</f>
        <v>620.59500000000003</v>
      </c>
      <c r="CD118" s="584">
        <f t="shared" ref="CD118:CK118" si="270">+SUM(CD114:CD117)</f>
        <v>717.40199999999993</v>
      </c>
      <c r="CE118" s="584">
        <f t="shared" si="270"/>
        <v>660.49299999999994</v>
      </c>
      <c r="CF118" s="584">
        <f t="shared" si="270"/>
        <v>855.89099999999996</v>
      </c>
      <c r="CG118" s="584">
        <f t="shared" si="270"/>
        <v>1248.3219999999999</v>
      </c>
      <c r="CH118" s="747">
        <f t="shared" si="270"/>
        <v>1442.412</v>
      </c>
      <c r="CI118" s="329">
        <f t="shared" si="270"/>
        <v>1671.7</v>
      </c>
      <c r="CJ118" s="584">
        <f t="shared" si="270"/>
        <v>2170.9</v>
      </c>
      <c r="CK118" s="584">
        <f t="shared" si="270"/>
        <v>3105.7999999999997</v>
      </c>
      <c r="CQ118" s="350"/>
    </row>
    <row r="119" spans="1:95" s="592" customFormat="1" ht="14.25">
      <c r="B119" s="594"/>
      <c r="C119" s="590"/>
      <c r="D119" s="589"/>
      <c r="E119" s="590"/>
      <c r="F119" s="590"/>
      <c r="G119" s="591"/>
      <c r="H119" s="589"/>
      <c r="I119" s="590"/>
      <c r="J119" s="590"/>
      <c r="K119" s="591"/>
      <c r="L119" s="589"/>
      <c r="M119" s="590"/>
      <c r="N119" s="590"/>
      <c r="O119" s="591"/>
      <c r="P119" s="589"/>
      <c r="Q119" s="590"/>
      <c r="R119" s="590"/>
      <c r="S119" s="591"/>
      <c r="T119" s="589"/>
      <c r="U119" s="590"/>
      <c r="V119" s="590"/>
      <c r="W119" s="591"/>
      <c r="X119" s="589"/>
      <c r="Y119" s="590"/>
      <c r="Z119" s="590"/>
      <c r="AA119" s="591"/>
      <c r="AB119" s="590"/>
      <c r="AC119" s="590"/>
      <c r="AD119" s="590"/>
      <c r="AE119" s="590"/>
      <c r="AF119" s="589"/>
      <c r="AG119" s="590"/>
      <c r="AH119" s="590"/>
      <c r="AI119" s="591"/>
      <c r="AJ119" s="590"/>
      <c r="AK119" s="590"/>
      <c r="AL119" s="590"/>
      <c r="AM119" s="590"/>
      <c r="AN119" s="589"/>
      <c r="AO119" s="590"/>
      <c r="AP119" s="590"/>
      <c r="AQ119" s="591"/>
      <c r="AR119" s="590"/>
      <c r="AS119" s="590"/>
      <c r="AT119" s="590"/>
      <c r="AU119" s="590"/>
      <c r="AV119" s="589"/>
      <c r="AW119" s="590"/>
      <c r="AX119" s="590"/>
      <c r="AY119" s="591"/>
      <c r="AZ119" s="589"/>
      <c r="BA119" s="590"/>
      <c r="BB119" s="590"/>
      <c r="BC119" s="591"/>
      <c r="BD119" s="589"/>
      <c r="BE119" s="590"/>
      <c r="BF119" s="590"/>
      <c r="BG119" s="591"/>
      <c r="BH119" s="589"/>
      <c r="BI119" s="590"/>
      <c r="BJ119" s="590"/>
      <c r="BK119" s="591"/>
      <c r="BL119" s="589"/>
      <c r="BM119" s="590"/>
      <c r="BN119" s="590"/>
      <c r="BO119" s="591"/>
      <c r="BP119" s="589"/>
      <c r="BQ119" s="590"/>
      <c r="BR119" s="590"/>
      <c r="BS119" s="591"/>
      <c r="BT119" s="589"/>
      <c r="BU119" s="590"/>
      <c r="BV119" s="590"/>
      <c r="BW119" s="591"/>
      <c r="BX119" s="741"/>
      <c r="CH119" s="748"/>
      <c r="CI119" s="591"/>
      <c r="CQ119" s="589"/>
    </row>
    <row r="120" spans="1:95" s="588" customFormat="1" ht="15">
      <c r="B120" s="595" t="s">
        <v>468</v>
      </c>
      <c r="C120" s="586"/>
      <c r="D120" s="585"/>
      <c r="E120" s="586"/>
      <c r="F120" s="586"/>
      <c r="G120" s="587"/>
      <c r="H120" s="585"/>
      <c r="I120" s="586"/>
      <c r="J120" s="586"/>
      <c r="K120" s="587"/>
      <c r="L120" s="585"/>
      <c r="M120" s="586"/>
      <c r="N120" s="586"/>
      <c r="O120" s="587"/>
      <c r="P120" s="585"/>
      <c r="Q120" s="586"/>
      <c r="R120" s="586"/>
      <c r="S120" s="587"/>
      <c r="T120" s="585"/>
      <c r="U120" s="586"/>
      <c r="V120" s="586"/>
      <c r="W120" s="587"/>
      <c r="X120" s="585"/>
      <c r="Y120" s="586"/>
      <c r="Z120" s="586"/>
      <c r="AA120" s="587"/>
      <c r="AB120" s="586"/>
      <c r="AC120" s="586"/>
      <c r="AD120" s="586"/>
      <c r="AE120" s="586"/>
      <c r="AF120" s="585"/>
      <c r="AG120" s="586"/>
      <c r="AH120" s="586"/>
      <c r="AI120" s="587"/>
      <c r="AJ120" s="586"/>
      <c r="AK120" s="586"/>
      <c r="AL120" s="586"/>
      <c r="AM120" s="586"/>
      <c r="AN120" s="585"/>
      <c r="AO120" s="586"/>
      <c r="AP120" s="586"/>
      <c r="AQ120" s="587"/>
      <c r="AR120" s="586"/>
      <c r="AS120" s="586"/>
      <c r="AT120" s="586"/>
      <c r="AU120" s="586"/>
      <c r="AV120" s="585"/>
      <c r="AW120" s="586"/>
      <c r="AX120" s="586"/>
      <c r="AY120" s="587"/>
      <c r="AZ120" s="585"/>
      <c r="BA120" s="586"/>
      <c r="BB120" s="586"/>
      <c r="BC120" s="587"/>
      <c r="BD120" s="585"/>
      <c r="BE120" s="586"/>
      <c r="BF120" s="586"/>
      <c r="BG120" s="587"/>
      <c r="BH120" s="585"/>
      <c r="BI120" s="586"/>
      <c r="BJ120" s="586"/>
      <c r="BK120" s="587"/>
      <c r="BL120" s="585"/>
      <c r="BM120" s="586"/>
      <c r="BN120" s="586"/>
      <c r="BO120" s="587"/>
      <c r="BP120" s="585"/>
      <c r="BQ120" s="586"/>
      <c r="BR120" s="586"/>
      <c r="BS120" s="587"/>
      <c r="BT120" s="585"/>
      <c r="BU120" s="586"/>
      <c r="BV120" s="586"/>
      <c r="BW120" s="587"/>
      <c r="BX120" s="742"/>
      <c r="BY120" s="588">
        <v>83.95</v>
      </c>
      <c r="BZ120" s="588">
        <v>130.23099999999999</v>
      </c>
      <c r="CA120" s="588">
        <v>126.983</v>
      </c>
      <c r="CB120" s="588">
        <v>82.584000000000003</v>
      </c>
      <c r="CC120" s="588">
        <v>43.051000000000002</v>
      </c>
      <c r="CD120" s="588">
        <v>52.027000000000001</v>
      </c>
      <c r="CE120" s="588">
        <v>39.570999999999998</v>
      </c>
      <c r="CF120" s="588">
        <v>63.624000000000002</v>
      </c>
      <c r="CG120" s="763">
        <v>54.972999999999999</v>
      </c>
      <c r="CH120" s="764">
        <v>37.536999999999999</v>
      </c>
      <c r="CI120" s="651">
        <v>42.8</v>
      </c>
      <c r="CJ120" s="763">
        <v>47.6</v>
      </c>
      <c r="CK120" s="763">
        <v>52.8</v>
      </c>
      <c r="CQ120" s="585"/>
    </row>
    <row r="121" spans="1:95" s="592" customFormat="1" ht="14.25">
      <c r="B121" s="594"/>
      <c r="C121" s="590"/>
      <c r="D121" s="589"/>
      <c r="E121" s="590"/>
      <c r="F121" s="590"/>
      <c r="G121" s="591"/>
      <c r="H121" s="589"/>
      <c r="I121" s="590"/>
      <c r="J121" s="590"/>
      <c r="K121" s="591"/>
      <c r="L121" s="589"/>
      <c r="M121" s="590"/>
      <c r="N121" s="590"/>
      <c r="O121" s="591"/>
      <c r="P121" s="589"/>
      <c r="Q121" s="590"/>
      <c r="R121" s="590"/>
      <c r="S121" s="591"/>
      <c r="T121" s="589"/>
      <c r="U121" s="590"/>
      <c r="V121" s="590"/>
      <c r="W121" s="591"/>
      <c r="X121" s="589"/>
      <c r="Y121" s="590"/>
      <c r="Z121" s="590"/>
      <c r="AA121" s="591"/>
      <c r="AB121" s="590"/>
      <c r="AC121" s="590"/>
      <c r="AD121" s="590"/>
      <c r="AE121" s="590"/>
      <c r="AF121" s="589"/>
      <c r="AG121" s="590"/>
      <c r="AH121" s="590"/>
      <c r="AI121" s="591"/>
      <c r="AJ121" s="590"/>
      <c r="AK121" s="590"/>
      <c r="AL121" s="590"/>
      <c r="AM121" s="590"/>
      <c r="AN121" s="589"/>
      <c r="AO121" s="590"/>
      <c r="AP121" s="590"/>
      <c r="AQ121" s="591"/>
      <c r="AR121" s="590"/>
      <c r="AS121" s="590"/>
      <c r="AT121" s="590"/>
      <c r="AU121" s="590"/>
      <c r="AV121" s="589"/>
      <c r="AW121" s="590"/>
      <c r="AX121" s="590"/>
      <c r="AY121" s="591"/>
      <c r="AZ121" s="589"/>
      <c r="BA121" s="590"/>
      <c r="BB121" s="590"/>
      <c r="BC121" s="591"/>
      <c r="BD121" s="589"/>
      <c r="BE121" s="590"/>
      <c r="BF121" s="590"/>
      <c r="BG121" s="591"/>
      <c r="BH121" s="589"/>
      <c r="BI121" s="590"/>
      <c r="BJ121" s="590"/>
      <c r="BK121" s="591"/>
      <c r="BL121" s="589"/>
      <c r="BM121" s="590"/>
      <c r="BN121" s="590"/>
      <c r="BO121" s="591"/>
      <c r="BP121" s="589"/>
      <c r="BQ121" s="590"/>
      <c r="BR121" s="590"/>
      <c r="BS121" s="591"/>
      <c r="BT121" s="589"/>
      <c r="BU121" s="590"/>
      <c r="BV121" s="590"/>
      <c r="BW121" s="591"/>
      <c r="BX121" s="741"/>
      <c r="CH121" s="748"/>
      <c r="CI121" s="591"/>
      <c r="CQ121" s="589"/>
    </row>
    <row r="122" spans="1:95" s="588" customFormat="1" ht="15">
      <c r="B122" s="595" t="s">
        <v>277</v>
      </c>
      <c r="C122" s="586"/>
      <c r="D122" s="585"/>
      <c r="E122" s="586"/>
      <c r="F122" s="586"/>
      <c r="G122" s="586"/>
      <c r="H122" s="585"/>
      <c r="I122" s="586"/>
      <c r="J122" s="586"/>
      <c r="K122" s="586"/>
      <c r="L122" s="585"/>
      <c r="M122" s="586"/>
      <c r="N122" s="586"/>
      <c r="O122" s="587"/>
      <c r="P122" s="586"/>
      <c r="Q122" s="586"/>
      <c r="R122" s="586"/>
      <c r="S122" s="586"/>
      <c r="T122" s="585"/>
      <c r="U122" s="586"/>
      <c r="V122" s="586"/>
      <c r="W122" s="587"/>
      <c r="X122" s="586"/>
      <c r="Y122" s="586"/>
      <c r="Z122" s="586"/>
      <c r="AA122" s="586"/>
      <c r="AB122" s="585"/>
      <c r="AC122" s="586"/>
      <c r="AD122" s="586"/>
      <c r="AE122" s="586"/>
      <c r="AF122" s="585"/>
      <c r="AG122" s="586"/>
      <c r="AH122" s="586"/>
      <c r="AI122" s="586"/>
      <c r="AJ122" s="585"/>
      <c r="AK122" s="586"/>
      <c r="AL122" s="586"/>
      <c r="AM122" s="586"/>
      <c r="AN122" s="585"/>
      <c r="AO122" s="586"/>
      <c r="AP122" s="586"/>
      <c r="AQ122" s="586"/>
      <c r="AR122" s="585"/>
      <c r="AS122" s="586"/>
      <c r="AT122" s="586"/>
      <c r="AU122" s="586"/>
      <c r="AV122" s="585"/>
      <c r="AW122" s="586"/>
      <c r="AX122" s="586"/>
      <c r="AY122" s="587"/>
      <c r="AZ122" s="585"/>
      <c r="BA122" s="586"/>
      <c r="BB122" s="586"/>
      <c r="BC122" s="587"/>
      <c r="BD122" s="585"/>
      <c r="BE122" s="586"/>
      <c r="BF122" s="586"/>
      <c r="BG122" s="587"/>
      <c r="BH122" s="585"/>
      <c r="BI122" s="586"/>
      <c r="BJ122" s="586"/>
      <c r="BK122" s="587"/>
      <c r="BL122" s="585"/>
      <c r="BM122" s="586"/>
      <c r="BN122" s="586"/>
      <c r="BO122" s="587"/>
      <c r="BP122" s="585"/>
      <c r="BQ122" s="586"/>
      <c r="BR122" s="586"/>
      <c r="BS122" s="587"/>
      <c r="BT122" s="585"/>
      <c r="BU122" s="586"/>
      <c r="BV122" s="586"/>
      <c r="BW122" s="587"/>
      <c r="BX122" s="742"/>
      <c r="BY122" s="588">
        <f>+BY112+BY118+BY120</f>
        <v>617.78899999999999</v>
      </c>
      <c r="BZ122" s="588">
        <f>+BZ112+BZ118+BZ120</f>
        <v>784.02300000000014</v>
      </c>
      <c r="CA122" s="588">
        <f>+CA112+CA118+CA120</f>
        <v>792.37100000000009</v>
      </c>
      <c r="CB122" s="588">
        <f>+CB112+CB118+CB120</f>
        <v>773.75</v>
      </c>
      <c r="CC122" s="588">
        <f>+CC112+CC118+CC120</f>
        <v>741.74400000000003</v>
      </c>
      <c r="CD122" s="588">
        <f t="shared" ref="CD122:CK122" si="271">+CD112+CD118+CD120</f>
        <v>860.01699999999994</v>
      </c>
      <c r="CE122" s="588">
        <f t="shared" si="271"/>
        <v>802.577</v>
      </c>
      <c r="CF122" s="588">
        <f t="shared" si="271"/>
        <v>1071.8489999999999</v>
      </c>
      <c r="CG122" s="588">
        <f t="shared" si="271"/>
        <v>1418.9219999999998</v>
      </c>
      <c r="CH122" s="749">
        <f t="shared" si="271"/>
        <v>1568.5810000000001</v>
      </c>
      <c r="CI122" s="587">
        <f t="shared" si="271"/>
        <v>1792</v>
      </c>
      <c r="CJ122" s="588">
        <f t="shared" si="271"/>
        <v>2291.5</v>
      </c>
      <c r="CK122" s="588">
        <f t="shared" si="271"/>
        <v>3258.4</v>
      </c>
      <c r="CQ122" s="585"/>
    </row>
    <row r="123" spans="1:95" s="588" customFormat="1" ht="15">
      <c r="B123" s="595"/>
      <c r="C123" s="586"/>
      <c r="D123" s="586"/>
      <c r="E123" s="586"/>
      <c r="F123" s="586"/>
      <c r="G123" s="755"/>
      <c r="H123" s="586"/>
      <c r="I123" s="586"/>
      <c r="J123" s="586"/>
      <c r="K123" s="755"/>
      <c r="L123" s="586"/>
      <c r="M123" s="586"/>
      <c r="N123" s="586"/>
      <c r="O123" s="755"/>
      <c r="P123" s="586"/>
      <c r="Q123" s="586"/>
      <c r="R123" s="586"/>
      <c r="S123" s="755"/>
      <c r="T123" s="586"/>
      <c r="U123" s="586"/>
      <c r="V123" s="586"/>
      <c r="W123" s="755"/>
      <c r="X123" s="586"/>
      <c r="Y123" s="586"/>
      <c r="Z123" s="586"/>
      <c r="AA123" s="586"/>
      <c r="AB123" s="585"/>
      <c r="AC123" s="586"/>
      <c r="AD123" s="586"/>
      <c r="AE123" s="586"/>
      <c r="AF123" s="585"/>
      <c r="AG123" s="586"/>
      <c r="AH123" s="586"/>
      <c r="AI123" s="586"/>
      <c r="AJ123" s="585"/>
      <c r="AK123" s="586"/>
      <c r="AL123" s="586"/>
      <c r="AM123" s="586"/>
      <c r="AN123" s="585"/>
      <c r="AO123" s="586"/>
      <c r="AP123" s="586"/>
      <c r="AQ123" s="586"/>
      <c r="AR123" s="585"/>
      <c r="AS123" s="586"/>
      <c r="AT123" s="586"/>
      <c r="AU123" s="586"/>
      <c r="AV123" s="585"/>
      <c r="AW123" s="586"/>
      <c r="AX123" s="586"/>
      <c r="AY123" s="587"/>
      <c r="AZ123" s="585"/>
      <c r="BA123" s="586"/>
      <c r="BB123" s="586"/>
      <c r="BC123" s="587"/>
      <c r="BD123" s="585"/>
      <c r="BE123" s="586"/>
      <c r="BF123" s="586"/>
      <c r="BG123" s="587"/>
      <c r="BH123" s="585"/>
      <c r="BI123" s="586"/>
      <c r="BJ123" s="586"/>
      <c r="BK123" s="587"/>
      <c r="BL123" s="585"/>
      <c r="BM123" s="586"/>
      <c r="BN123" s="586"/>
      <c r="BO123" s="587"/>
      <c r="BP123" s="585"/>
      <c r="BQ123" s="586"/>
      <c r="BR123" s="586"/>
      <c r="BS123" s="587"/>
      <c r="BT123" s="585"/>
      <c r="BU123" s="586"/>
      <c r="BV123" s="586"/>
      <c r="BW123" s="587"/>
      <c r="BX123" s="742"/>
      <c r="CH123" s="749"/>
      <c r="CI123" s="755"/>
      <c r="CQ123" s="585"/>
    </row>
    <row r="124" spans="1:95" s="118" customFormat="1" ht="15">
      <c r="A124" s="301"/>
      <c r="B124" s="754" t="s">
        <v>470</v>
      </c>
      <c r="C124" s="750"/>
      <c r="D124" s="750"/>
      <c r="E124" s="750"/>
      <c r="F124" s="750"/>
      <c r="G124" s="750"/>
      <c r="H124" s="750"/>
      <c r="I124" s="750"/>
      <c r="J124" s="750"/>
      <c r="K124" s="750"/>
      <c r="L124" s="750"/>
      <c r="M124" s="750"/>
      <c r="N124" s="750"/>
      <c r="O124" s="750"/>
      <c r="P124" s="750"/>
      <c r="Q124" s="750"/>
      <c r="R124" s="750"/>
      <c r="S124" s="750"/>
      <c r="T124" s="750"/>
      <c r="U124" s="750"/>
      <c r="V124" s="750"/>
      <c r="W124" s="750"/>
      <c r="X124" s="750"/>
      <c r="Y124" s="750"/>
      <c r="Z124" s="750"/>
      <c r="AA124" s="750"/>
      <c r="AB124" s="751"/>
      <c r="AC124" s="750"/>
      <c r="AD124" s="750"/>
      <c r="AE124" s="750"/>
      <c r="AF124" s="751"/>
      <c r="AG124" s="750"/>
      <c r="AH124" s="750"/>
      <c r="AI124" s="750"/>
      <c r="AJ124" s="751"/>
      <c r="AK124" s="750"/>
      <c r="AL124" s="750"/>
      <c r="AM124" s="750"/>
      <c r="AN124" s="751"/>
      <c r="AO124" s="750"/>
      <c r="AP124" s="750"/>
      <c r="AQ124" s="750"/>
      <c r="AR124" s="751"/>
      <c r="AS124" s="750"/>
      <c r="AT124" s="750"/>
      <c r="AU124" s="750"/>
      <c r="AV124" s="751"/>
      <c r="AW124" s="750"/>
      <c r="AX124" s="750"/>
      <c r="AY124" s="752"/>
      <c r="AZ124" s="751"/>
      <c r="BA124" s="750"/>
      <c r="BB124" s="750"/>
      <c r="BC124" s="752"/>
      <c r="BD124" s="751"/>
      <c r="BE124" s="750"/>
      <c r="BF124" s="750"/>
      <c r="BG124" s="752"/>
      <c r="BH124" s="751"/>
      <c r="BI124" s="750"/>
      <c r="BJ124" s="750"/>
      <c r="BK124" s="752"/>
      <c r="BL124" s="751"/>
      <c r="BM124" s="750"/>
      <c r="BN124" s="750"/>
      <c r="BO124" s="752"/>
      <c r="BP124" s="751"/>
      <c r="BQ124" s="750"/>
      <c r="BR124" s="750"/>
      <c r="BS124" s="752"/>
      <c r="BT124" s="751"/>
      <c r="BU124" s="750"/>
      <c r="BV124" s="750"/>
      <c r="BW124" s="752"/>
      <c r="BX124" s="458"/>
      <c r="BY124" s="753" t="str">
        <f>IF(+BY122-BY88&lt;1,"OK",BY122-BY88)</f>
        <v>OK</v>
      </c>
      <c r="BZ124" s="753" t="str">
        <f>IF(+BZ122-BZ88&lt;1,"OK",BZ122-BZ88)</f>
        <v>OK</v>
      </c>
      <c r="CA124" s="753" t="str">
        <f>IF(+CA122-CA88&lt;1,"OK",CA122-CA88)</f>
        <v>OK</v>
      </c>
      <c r="CB124" s="753" t="str">
        <f>IF(+CB122-CB88&lt;1,"OK",CB122-CB88)</f>
        <v>OK</v>
      </c>
      <c r="CC124" s="753" t="str">
        <f>IF(+CC122-CC88&lt;1,"OK",CC122-CC88)</f>
        <v>OK</v>
      </c>
      <c r="CD124" s="753" t="str">
        <f t="shared" ref="CD124:CK124" si="272">IF(+CD122-CD88&lt;1,"OK",CD122-CD88)</f>
        <v>OK</v>
      </c>
      <c r="CE124" s="753" t="str">
        <f t="shared" si="272"/>
        <v>OK</v>
      </c>
      <c r="CF124" s="753" t="str">
        <f t="shared" si="272"/>
        <v>OK</v>
      </c>
      <c r="CG124" s="753" t="str">
        <f t="shared" si="272"/>
        <v>OK</v>
      </c>
      <c r="CH124" s="753" t="str">
        <f t="shared" si="272"/>
        <v>OK</v>
      </c>
      <c r="CI124" s="914" t="str">
        <f t="shared" si="272"/>
        <v>OK</v>
      </c>
      <c r="CJ124" s="753" t="str">
        <f t="shared" si="272"/>
        <v>OK</v>
      </c>
      <c r="CK124" s="753" t="str">
        <f t="shared" si="272"/>
        <v>OK</v>
      </c>
      <c r="CL124" s="750"/>
      <c r="CM124" s="750"/>
      <c r="CN124" s="750"/>
      <c r="CO124" s="750"/>
      <c r="CP124" s="750"/>
      <c r="CQ124" s="305"/>
    </row>
    <row r="125" spans="1:95" s="118" customFormat="1" ht="14.25">
      <c r="B125" s="301"/>
      <c r="C125" s="301"/>
      <c r="D125" s="301"/>
      <c r="E125" s="301"/>
      <c r="F125" s="301"/>
      <c r="G125" s="301"/>
      <c r="H125" s="301"/>
      <c r="I125" s="301"/>
      <c r="J125" s="301"/>
      <c r="K125" s="301"/>
      <c r="L125" s="301"/>
      <c r="M125" s="301"/>
      <c r="N125" s="301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  <c r="AF125" s="301"/>
      <c r="AG125" s="301"/>
      <c r="AH125" s="301"/>
      <c r="AI125" s="301"/>
      <c r="AJ125" s="301"/>
      <c r="AK125" s="301"/>
      <c r="AL125" s="301"/>
      <c r="AM125" s="301"/>
      <c r="AN125" s="301"/>
      <c r="AO125" s="301"/>
      <c r="AP125" s="301"/>
      <c r="AQ125" s="301"/>
      <c r="AR125" s="301"/>
      <c r="AS125" s="301"/>
      <c r="AT125" s="301"/>
      <c r="AU125" s="301"/>
      <c r="AV125" s="301"/>
      <c r="AW125" s="301"/>
      <c r="AX125" s="301"/>
      <c r="AY125" s="301"/>
      <c r="AZ125" s="301"/>
      <c r="BA125" s="301"/>
      <c r="BB125" s="301"/>
      <c r="BC125" s="301"/>
      <c r="BD125" s="301"/>
      <c r="BE125" s="301"/>
      <c r="BF125" s="301"/>
      <c r="BG125" s="301"/>
      <c r="BH125" s="301"/>
      <c r="BI125" s="301"/>
      <c r="BJ125" s="301"/>
      <c r="BK125" s="301"/>
      <c r="BL125" s="301"/>
      <c r="BM125" s="301"/>
      <c r="BN125" s="301"/>
      <c r="BO125" s="301"/>
      <c r="BP125" s="301"/>
      <c r="BQ125" s="301"/>
      <c r="BR125" s="301"/>
      <c r="BS125" s="301"/>
      <c r="BT125" s="301"/>
      <c r="BU125" s="301"/>
      <c r="BV125" s="301"/>
      <c r="BW125" s="301"/>
    </row>
    <row r="126" spans="1:95" s="118" customFormat="1" ht="14.25">
      <c r="B126" s="301"/>
      <c r="C126" s="301"/>
      <c r="D126" s="301"/>
      <c r="E126" s="301"/>
      <c r="F126" s="301"/>
      <c r="G126" s="301"/>
      <c r="H126" s="301"/>
      <c r="I126" s="301"/>
      <c r="J126" s="301"/>
      <c r="K126" s="301"/>
      <c r="L126" s="301"/>
      <c r="M126" s="301"/>
      <c r="N126" s="301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  <c r="AF126" s="301"/>
      <c r="AG126" s="301"/>
      <c r="AH126" s="301"/>
      <c r="AI126" s="301"/>
      <c r="AJ126" s="301"/>
      <c r="AK126" s="301"/>
      <c r="AL126" s="301"/>
      <c r="AM126" s="301"/>
      <c r="AN126" s="301"/>
      <c r="AO126" s="301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1"/>
      <c r="BH126" s="301"/>
      <c r="BI126" s="301"/>
      <c r="BJ126" s="301"/>
      <c r="BK126" s="301"/>
      <c r="BL126" s="301"/>
      <c r="BM126" s="301"/>
      <c r="BN126" s="301"/>
      <c r="BO126" s="301"/>
      <c r="BP126" s="301"/>
      <c r="BQ126" s="301"/>
      <c r="BR126" s="301"/>
      <c r="BS126" s="301"/>
      <c r="BT126" s="301"/>
      <c r="BU126" s="301"/>
      <c r="BV126" s="301"/>
      <c r="BW126" s="301"/>
    </row>
    <row r="127" spans="1:95" s="118" customFormat="1" ht="14.25">
      <c r="B127" s="301"/>
      <c r="C127" s="301"/>
      <c r="D127" s="301"/>
      <c r="E127" s="301"/>
      <c r="F127" s="301"/>
      <c r="G127" s="301"/>
      <c r="H127" s="301"/>
      <c r="I127" s="301"/>
      <c r="J127" s="301"/>
      <c r="K127" s="301"/>
      <c r="L127" s="301"/>
      <c r="M127" s="301"/>
      <c r="N127" s="301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  <c r="AF127" s="301"/>
      <c r="AG127" s="301"/>
      <c r="AH127" s="301"/>
      <c r="AI127" s="301"/>
      <c r="AJ127" s="301"/>
      <c r="AK127" s="301"/>
      <c r="AL127" s="301"/>
      <c r="AM127" s="301"/>
      <c r="AN127" s="301"/>
      <c r="AO127" s="301"/>
      <c r="AP127" s="301"/>
      <c r="AQ127" s="301"/>
      <c r="AR127" s="301"/>
      <c r="AS127" s="301"/>
      <c r="AT127" s="301"/>
      <c r="AU127" s="301"/>
      <c r="AV127" s="301"/>
      <c r="AW127" s="301"/>
      <c r="AX127" s="301"/>
      <c r="AY127" s="301"/>
      <c r="AZ127" s="301"/>
      <c r="BA127" s="301"/>
      <c r="BB127" s="301"/>
      <c r="BC127" s="301"/>
      <c r="BD127" s="301"/>
      <c r="BE127" s="301"/>
      <c r="BF127" s="301"/>
      <c r="BG127" s="301"/>
      <c r="BH127" s="301"/>
      <c r="BI127" s="301"/>
      <c r="BJ127" s="301"/>
      <c r="BK127" s="301"/>
      <c r="BL127" s="301"/>
      <c r="BM127" s="301"/>
      <c r="BN127" s="301"/>
      <c r="BO127" s="301"/>
      <c r="BP127" s="301"/>
      <c r="BQ127" s="301"/>
      <c r="BR127" s="301"/>
      <c r="BS127" s="301"/>
      <c r="BT127" s="301"/>
      <c r="BU127" s="301"/>
      <c r="BV127" s="301"/>
      <c r="BW127" s="301"/>
    </row>
    <row r="128" spans="1:95" s="118" customFormat="1" ht="14.25">
      <c r="B128" s="301"/>
      <c r="C128" s="301"/>
      <c r="D128" s="301"/>
      <c r="E128" s="301"/>
      <c r="F128" s="301"/>
      <c r="G128" s="301"/>
      <c r="H128" s="301"/>
      <c r="I128" s="301"/>
      <c r="J128" s="301"/>
      <c r="K128" s="301"/>
      <c r="L128" s="301"/>
      <c r="M128" s="301"/>
      <c r="N128" s="301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  <c r="AF128" s="301"/>
      <c r="AG128" s="301"/>
      <c r="AH128" s="301"/>
      <c r="AI128" s="301"/>
      <c r="AJ128" s="301"/>
      <c r="AK128" s="301"/>
      <c r="AL128" s="301"/>
      <c r="AM128" s="301"/>
      <c r="AN128" s="301"/>
      <c r="AO128" s="301"/>
      <c r="AP128" s="301"/>
      <c r="AQ128" s="301"/>
      <c r="AR128" s="301"/>
      <c r="AS128" s="301"/>
      <c r="AT128" s="301"/>
      <c r="AU128" s="301"/>
      <c r="AV128" s="301"/>
      <c r="AW128" s="301"/>
      <c r="AX128" s="301"/>
      <c r="AY128" s="301"/>
      <c r="AZ128" s="301"/>
      <c r="BA128" s="301"/>
      <c r="BB128" s="301"/>
      <c r="BC128" s="301"/>
      <c r="BD128" s="301"/>
      <c r="BE128" s="301"/>
      <c r="BF128" s="301"/>
      <c r="BG128" s="301"/>
      <c r="BH128" s="301"/>
      <c r="BI128" s="301"/>
      <c r="BJ128" s="301"/>
      <c r="BK128" s="301"/>
      <c r="BL128" s="301"/>
      <c r="BM128" s="301"/>
      <c r="BN128" s="301"/>
      <c r="BO128" s="301"/>
      <c r="BP128" s="301"/>
      <c r="BQ128" s="301"/>
      <c r="BR128" s="301"/>
      <c r="BS128" s="301"/>
      <c r="BT128" s="301"/>
      <c r="BU128" s="301"/>
      <c r="BV128" s="301"/>
      <c r="BW128" s="301"/>
    </row>
    <row r="129" spans="2:246" s="118" customFormat="1" ht="14.25">
      <c r="B129" s="301"/>
      <c r="C129" s="301"/>
      <c r="D129" s="301"/>
      <c r="E129" s="301"/>
      <c r="F129" s="301"/>
      <c r="G129" s="301"/>
      <c r="H129" s="301"/>
      <c r="I129" s="301"/>
      <c r="J129" s="301"/>
      <c r="K129" s="301"/>
      <c r="L129" s="301"/>
      <c r="M129" s="301"/>
      <c r="N129" s="301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  <c r="AF129" s="301"/>
      <c r="AG129" s="301"/>
      <c r="AH129" s="301"/>
      <c r="AI129" s="301"/>
      <c r="AJ129" s="301"/>
      <c r="AK129" s="301"/>
      <c r="AL129" s="301"/>
      <c r="AM129" s="301"/>
      <c r="AN129" s="301"/>
      <c r="AO129" s="301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/>
      <c r="BF129" s="301"/>
      <c r="BG129" s="301"/>
      <c r="BH129" s="301"/>
      <c r="BI129" s="301"/>
      <c r="BJ129" s="301"/>
      <c r="BK129" s="301"/>
      <c r="BL129" s="301"/>
      <c r="BM129" s="301"/>
      <c r="BN129" s="301"/>
      <c r="BO129" s="301"/>
      <c r="BP129" s="301"/>
      <c r="BQ129" s="301"/>
      <c r="BR129" s="301"/>
      <c r="BS129" s="301"/>
      <c r="BT129" s="301"/>
      <c r="BU129" s="301"/>
      <c r="BV129" s="301"/>
      <c r="BW129" s="301"/>
    </row>
    <row r="130" spans="2:246" s="118" customFormat="1" ht="14.25">
      <c r="B130" s="301"/>
      <c r="C130" s="301"/>
      <c r="D130" s="301"/>
      <c r="E130" s="301"/>
      <c r="F130" s="301"/>
      <c r="G130" s="301"/>
      <c r="H130" s="301"/>
      <c r="I130" s="301"/>
      <c r="J130" s="301"/>
      <c r="K130" s="301"/>
      <c r="L130" s="301"/>
      <c r="M130" s="301"/>
      <c r="N130" s="301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  <c r="AF130" s="301"/>
      <c r="AG130" s="301"/>
      <c r="AH130" s="301"/>
      <c r="AI130" s="301"/>
      <c r="AJ130" s="301"/>
      <c r="AK130" s="301"/>
      <c r="AL130" s="301"/>
      <c r="AM130" s="301"/>
      <c r="AN130" s="301"/>
      <c r="AO130" s="301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/>
      <c r="BF130" s="301"/>
      <c r="BG130" s="301"/>
      <c r="BH130" s="301"/>
      <c r="BI130" s="301"/>
      <c r="BJ130" s="301"/>
      <c r="BK130" s="301"/>
      <c r="BL130" s="301"/>
      <c r="BM130" s="301"/>
      <c r="BN130" s="301"/>
      <c r="BO130" s="301"/>
      <c r="BP130" s="301"/>
      <c r="BQ130" s="301"/>
      <c r="BR130" s="301"/>
      <c r="BS130" s="301"/>
      <c r="BT130" s="301"/>
      <c r="BU130" s="301"/>
      <c r="BV130" s="301"/>
      <c r="BW130" s="301"/>
    </row>
    <row r="131" spans="2:246" s="118" customFormat="1" ht="14.25">
      <c r="B131" s="301"/>
      <c r="C131" s="301"/>
      <c r="D131" s="301"/>
      <c r="E131" s="301"/>
      <c r="F131" s="301"/>
      <c r="G131" s="301"/>
      <c r="H131" s="301"/>
      <c r="I131" s="301"/>
      <c r="J131" s="301"/>
      <c r="K131" s="301"/>
      <c r="L131" s="301"/>
      <c r="M131" s="301"/>
      <c r="N131" s="301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  <c r="AF131" s="301"/>
      <c r="AG131" s="301"/>
      <c r="AH131" s="301"/>
      <c r="AI131" s="301"/>
      <c r="AJ131" s="301"/>
      <c r="AK131" s="301"/>
      <c r="AL131" s="301"/>
      <c r="AM131" s="301"/>
      <c r="AN131" s="301"/>
      <c r="AO131" s="301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/>
      <c r="AZ131" s="301"/>
      <c r="BA131" s="301"/>
      <c r="BB131" s="301"/>
      <c r="BC131" s="301"/>
      <c r="BD131" s="301"/>
      <c r="BE131" s="301"/>
      <c r="BF131" s="301"/>
      <c r="BG131" s="301"/>
      <c r="BH131" s="301"/>
      <c r="BI131" s="301"/>
      <c r="BJ131" s="301"/>
      <c r="BK131" s="301"/>
      <c r="BL131" s="301"/>
      <c r="BM131" s="301"/>
      <c r="BN131" s="301"/>
      <c r="BO131" s="301"/>
      <c r="BP131" s="301"/>
      <c r="BQ131" s="301"/>
      <c r="BR131" s="301"/>
      <c r="BS131" s="301"/>
      <c r="BT131" s="301"/>
      <c r="BU131" s="301"/>
      <c r="BV131" s="301"/>
      <c r="BW131" s="301"/>
    </row>
    <row r="132" spans="2:246" s="118" customFormat="1" ht="14.25">
      <c r="B132" s="301"/>
      <c r="C132" s="301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  <c r="AF132" s="301"/>
      <c r="AG132" s="301"/>
      <c r="AH132" s="301"/>
      <c r="AI132" s="301"/>
      <c r="AJ132" s="301"/>
      <c r="AK132" s="301"/>
      <c r="AL132" s="301"/>
      <c r="AM132" s="301"/>
      <c r="AN132" s="301"/>
      <c r="AO132" s="301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1"/>
      <c r="BH132" s="301"/>
      <c r="BI132" s="301"/>
      <c r="BJ132" s="301"/>
      <c r="BK132" s="301"/>
      <c r="BL132" s="301"/>
      <c r="BM132" s="301"/>
      <c r="BN132" s="301"/>
      <c r="BO132" s="301"/>
      <c r="BP132" s="301"/>
      <c r="BQ132" s="301"/>
      <c r="BR132" s="301"/>
      <c r="BS132" s="301"/>
      <c r="BT132" s="301"/>
      <c r="BU132" s="301"/>
      <c r="BV132" s="301"/>
      <c r="BW132" s="301"/>
    </row>
    <row r="133" spans="2:246" s="118" customFormat="1" ht="14.25"/>
    <row r="134" spans="2:246" s="118" customFormat="1" ht="14.25"/>
    <row r="135" spans="2:246">
      <c r="CP135" s="911"/>
    </row>
    <row r="136" spans="2:246" s="224" customFormat="1" ht="14.25" hidden="1" outlineLevel="1">
      <c r="B136" s="95"/>
      <c r="C136" s="95"/>
      <c r="D136" s="95" t="s">
        <v>74</v>
      </c>
      <c r="E136" s="95" t="s">
        <v>75</v>
      </c>
      <c r="F136" s="95" t="s">
        <v>76</v>
      </c>
      <c r="G136" s="95" t="s">
        <v>77</v>
      </c>
      <c r="H136" s="95" t="s">
        <v>74</v>
      </c>
      <c r="I136" s="95" t="s">
        <v>75</v>
      </c>
      <c r="J136" s="95" t="s">
        <v>76</v>
      </c>
      <c r="K136" s="95" t="s">
        <v>77</v>
      </c>
      <c r="L136" s="95" t="s">
        <v>74</v>
      </c>
      <c r="M136" s="95" t="s">
        <v>75</v>
      </c>
      <c r="N136" s="95" t="s">
        <v>76</v>
      </c>
      <c r="O136" s="95" t="s">
        <v>77</v>
      </c>
      <c r="P136" s="95" t="s">
        <v>74</v>
      </c>
      <c r="Q136" s="95" t="s">
        <v>75</v>
      </c>
      <c r="R136" s="95" t="s">
        <v>76</v>
      </c>
      <c r="S136" s="95" t="s">
        <v>77</v>
      </c>
      <c r="T136" s="95" t="s">
        <v>74</v>
      </c>
      <c r="U136" s="95" t="s">
        <v>75</v>
      </c>
      <c r="V136" s="95" t="s">
        <v>76</v>
      </c>
      <c r="W136" s="95" t="s">
        <v>77</v>
      </c>
      <c r="X136" s="95" t="s">
        <v>74</v>
      </c>
      <c r="Y136" s="95" t="s">
        <v>75</v>
      </c>
      <c r="Z136" s="95" t="s">
        <v>76</v>
      </c>
      <c r="AA136" s="95" t="s">
        <v>77</v>
      </c>
      <c r="AB136" s="95" t="s">
        <v>79</v>
      </c>
      <c r="AC136" s="95" t="s">
        <v>80</v>
      </c>
      <c r="AD136" s="95" t="s">
        <v>81</v>
      </c>
      <c r="AE136" s="95" t="s">
        <v>82</v>
      </c>
      <c r="AF136" s="95" t="s">
        <v>84</v>
      </c>
      <c r="AG136" s="95" t="s">
        <v>85</v>
      </c>
      <c r="AH136" s="95" t="s">
        <v>86</v>
      </c>
      <c r="AI136" s="95" t="s">
        <v>87</v>
      </c>
      <c r="AJ136" s="95" t="s">
        <v>90</v>
      </c>
      <c r="AK136" s="95" t="s">
        <v>91</v>
      </c>
      <c r="AL136" s="95" t="s">
        <v>92</v>
      </c>
      <c r="AM136" s="95" t="s">
        <v>93</v>
      </c>
      <c r="AN136" s="95" t="s">
        <v>95</v>
      </c>
      <c r="AO136" s="95" t="s">
        <v>96</v>
      </c>
      <c r="AP136" s="95" t="s">
        <v>97</v>
      </c>
      <c r="AQ136" s="95" t="s">
        <v>98</v>
      </c>
      <c r="AR136" s="96" t="s">
        <v>100</v>
      </c>
      <c r="AS136" s="96" t="s">
        <v>101</v>
      </c>
      <c r="AT136" s="96" t="s">
        <v>102</v>
      </c>
      <c r="AU136" s="96" t="s">
        <v>103</v>
      </c>
      <c r="AV136" s="96" t="s">
        <v>105</v>
      </c>
      <c r="AW136" s="96" t="s">
        <v>106</v>
      </c>
      <c r="AX136" s="96" t="s">
        <v>107</v>
      </c>
      <c r="AY136" s="96" t="s">
        <v>108</v>
      </c>
      <c r="AZ136" s="96">
        <f>IS!AZ295</f>
        <v>0</v>
      </c>
      <c r="BA136" s="96">
        <f>IS!BA295</f>
        <v>0</v>
      </c>
      <c r="BB136" s="96">
        <f>IS!BB295</f>
        <v>0</v>
      </c>
      <c r="BC136" s="96">
        <f>IS!BC295</f>
        <v>0</v>
      </c>
      <c r="BD136" s="96">
        <f>IS!BD295</f>
        <v>0</v>
      </c>
      <c r="BE136" s="96">
        <f>IS!BE295</f>
        <v>0</v>
      </c>
      <c r="BF136" s="96">
        <f>IS!BF295</f>
        <v>0</v>
      </c>
      <c r="BG136" s="96">
        <f>IS!BG295</f>
        <v>0</v>
      </c>
      <c r="BH136" s="96">
        <f>IS!BH295</f>
        <v>0</v>
      </c>
      <c r="BI136" s="96">
        <f>IS!BI295</f>
        <v>0</v>
      </c>
      <c r="BJ136" s="96">
        <f>IS!BJ295</f>
        <v>0</v>
      </c>
      <c r="BK136" s="96">
        <f>IS!BK295</f>
        <v>0</v>
      </c>
      <c r="BL136" s="96">
        <f>IS!BL295</f>
        <v>0</v>
      </c>
      <c r="BM136" s="96">
        <f>IS!BM295</f>
        <v>0</v>
      </c>
      <c r="BN136" s="96">
        <f>IS!BN295</f>
        <v>0</v>
      </c>
      <c r="BO136" s="96">
        <f>IS!BO295</f>
        <v>0</v>
      </c>
      <c r="BP136" s="96">
        <f>IS!BP295</f>
        <v>0</v>
      </c>
      <c r="BQ136" s="96">
        <f>IS!BQ295</f>
        <v>0</v>
      </c>
      <c r="BR136" s="96">
        <f>IS!BR295</f>
        <v>0</v>
      </c>
      <c r="BS136" s="96">
        <f>IS!BS295</f>
        <v>0</v>
      </c>
      <c r="BT136" s="96">
        <f>IS!BT295</f>
        <v>0</v>
      </c>
      <c r="BU136" s="96">
        <f>IS!BU295</f>
        <v>0</v>
      </c>
      <c r="BV136" s="96">
        <f>IS!BV295</f>
        <v>0</v>
      </c>
      <c r="BW136" s="96">
        <f>IS!BW295</f>
        <v>0</v>
      </c>
      <c r="BX136" s="95"/>
      <c r="BY136" s="115" t="s">
        <v>383</v>
      </c>
      <c r="BZ136" s="115" t="s">
        <v>384</v>
      </c>
      <c r="CA136" s="115" t="s">
        <v>385</v>
      </c>
      <c r="CB136" s="115" t="s">
        <v>495</v>
      </c>
      <c r="CC136" s="115" t="s">
        <v>226</v>
      </c>
      <c r="CD136" s="115" t="s">
        <v>78</v>
      </c>
      <c r="CE136" s="115" t="s">
        <v>83</v>
      </c>
      <c r="CF136" s="115" t="s">
        <v>89</v>
      </c>
      <c r="CG136" s="115" t="s">
        <v>94</v>
      </c>
      <c r="CH136" s="115" t="s">
        <v>99</v>
      </c>
      <c r="CI136" s="115" t="s">
        <v>104</v>
      </c>
      <c r="CJ136" s="115" t="s">
        <v>109</v>
      </c>
      <c r="CK136" s="115" t="s">
        <v>110</v>
      </c>
      <c r="CL136" s="115" t="s">
        <v>111</v>
      </c>
      <c r="CM136" s="115" t="s">
        <v>112</v>
      </c>
      <c r="CN136" s="115" t="s">
        <v>113</v>
      </c>
      <c r="CO136" s="115" t="s">
        <v>114</v>
      </c>
      <c r="CP136" s="115" t="s">
        <v>499</v>
      </c>
      <c r="CQ136" s="95"/>
      <c r="CR136" s="95"/>
      <c r="CS136" s="95"/>
      <c r="CT136" s="95"/>
      <c r="CU136" s="95"/>
      <c r="CV136" s="95"/>
      <c r="CW136" s="95"/>
      <c r="CX136" s="95"/>
      <c r="CY136" s="95"/>
      <c r="CZ136" s="95"/>
      <c r="DA136" s="95"/>
      <c r="DB136" s="95"/>
      <c r="DC136" s="95"/>
      <c r="DD136" s="95"/>
      <c r="DE136" s="95"/>
      <c r="DF136" s="95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30"/>
      <c r="EU136" s="230"/>
      <c r="EV136" s="230"/>
      <c r="EW136" s="230"/>
      <c r="EX136" s="230"/>
      <c r="EY136" s="230"/>
      <c r="EZ136" s="230"/>
      <c r="FA136" s="230"/>
      <c r="FB136" s="230"/>
      <c r="FC136" s="230"/>
      <c r="FD136" s="230"/>
      <c r="FE136" s="230"/>
      <c r="FF136" s="230"/>
      <c r="FG136" s="230"/>
      <c r="FH136" s="230"/>
      <c r="FI136" s="230"/>
      <c r="FJ136" s="230"/>
      <c r="FK136" s="230"/>
      <c r="FL136" s="230"/>
      <c r="FM136" s="230"/>
      <c r="FN136" s="230"/>
      <c r="FO136" s="230"/>
      <c r="FP136" s="230"/>
      <c r="FQ136" s="230"/>
      <c r="FR136" s="230"/>
      <c r="FS136" s="230"/>
      <c r="FT136" s="230"/>
      <c r="FU136" s="230"/>
      <c r="FV136" s="230"/>
      <c r="FW136" s="230"/>
      <c r="FX136" s="230"/>
      <c r="FY136" s="230"/>
      <c r="FZ136" s="230"/>
      <c r="GA136" s="230"/>
      <c r="GB136" s="230"/>
      <c r="GC136" s="230"/>
      <c r="GD136" s="230"/>
      <c r="GE136" s="230"/>
      <c r="GF136" s="230"/>
      <c r="GG136" s="230"/>
      <c r="GH136" s="230"/>
      <c r="GI136" s="230"/>
      <c r="GJ136" s="230"/>
      <c r="GK136" s="230"/>
      <c r="GL136" s="230"/>
      <c r="GM136" s="230"/>
      <c r="GN136" s="230"/>
      <c r="GO136" s="230"/>
      <c r="GP136" s="230"/>
      <c r="GQ136" s="230"/>
      <c r="GR136" s="230"/>
      <c r="GS136" s="230"/>
      <c r="GT136" s="230"/>
      <c r="GU136" s="230"/>
      <c r="GV136" s="230"/>
      <c r="GW136" s="230"/>
      <c r="GX136" s="230"/>
      <c r="GY136" s="230"/>
      <c r="GZ136" s="230"/>
      <c r="HA136" s="230"/>
      <c r="HB136" s="230"/>
      <c r="HC136" s="230"/>
      <c r="HD136" s="230"/>
      <c r="HE136" s="230"/>
      <c r="HF136" s="230"/>
      <c r="HG136" s="230"/>
      <c r="HH136" s="230"/>
      <c r="HI136" s="230"/>
      <c r="HJ136" s="230"/>
      <c r="HK136" s="230"/>
      <c r="HL136" s="230"/>
      <c r="HM136" s="230"/>
      <c r="HN136" s="230"/>
      <c r="HO136" s="230"/>
      <c r="HP136" s="230"/>
      <c r="HQ136" s="230"/>
      <c r="HR136" s="230"/>
      <c r="HS136" s="230"/>
      <c r="HT136" s="230"/>
      <c r="HU136" s="230"/>
      <c r="HV136" s="230"/>
      <c r="HW136" s="230"/>
      <c r="HX136" s="230"/>
      <c r="HY136" s="230"/>
      <c r="HZ136" s="230"/>
      <c r="IA136" s="230"/>
      <c r="IB136" s="230"/>
      <c r="IC136" s="230"/>
      <c r="ID136" s="230"/>
      <c r="IE136" s="230"/>
      <c r="IF136" s="230"/>
      <c r="IG136" s="230"/>
      <c r="IH136" s="230"/>
      <c r="II136" s="230"/>
      <c r="IJ136" s="230"/>
      <c r="IK136" s="230"/>
      <c r="IL136" s="230"/>
    </row>
    <row r="137" spans="2:246" s="7" customFormat="1" ht="14.25" hidden="1" outlineLevel="1">
      <c r="B137" s="93" t="s">
        <v>65</v>
      </c>
      <c r="C137" s="93"/>
      <c r="D137" s="97" t="e">
        <f>IS!D296</f>
        <v>#NAME?</v>
      </c>
      <c r="E137" s="97" t="e">
        <f>IS!E296</f>
        <v>#NAME?</v>
      </c>
      <c r="F137" s="97" t="e">
        <f>IS!F296</f>
        <v>#NAME?</v>
      </c>
      <c r="G137" s="97" t="e">
        <f>IS!G296</f>
        <v>#NAME?</v>
      </c>
      <c r="H137" s="97" t="e">
        <f>IS!H296</f>
        <v>#NAME?</v>
      </c>
      <c r="I137" s="97" t="e">
        <f>IS!I296</f>
        <v>#NAME?</v>
      </c>
      <c r="J137" s="97" t="e">
        <f>IS!J296</f>
        <v>#NAME?</v>
      </c>
      <c r="K137" s="97" t="e">
        <f>IS!K296</f>
        <v>#NAME?</v>
      </c>
      <c r="L137" s="97" t="e">
        <f>IS!L296</f>
        <v>#NAME?</v>
      </c>
      <c r="M137" s="97" t="e">
        <f>IS!M296</f>
        <v>#NAME?</v>
      </c>
      <c r="N137" s="97" t="e">
        <f>IS!N296</f>
        <v>#NAME?</v>
      </c>
      <c r="O137" s="97" t="e">
        <f>IS!O296</f>
        <v>#NAME?</v>
      </c>
      <c r="P137" s="97" t="e">
        <f>IS!P296</f>
        <v>#NAME?</v>
      </c>
      <c r="Q137" s="97" t="e">
        <f>IS!Q296</f>
        <v>#NAME?</v>
      </c>
      <c r="R137" s="97" t="e">
        <f>IS!R296</f>
        <v>#NAME?</v>
      </c>
      <c r="S137" s="97" t="e">
        <f>IS!S296</f>
        <v>#NAME?</v>
      </c>
      <c r="T137" s="97" t="e">
        <f>IS!T296</f>
        <v>#NAME?</v>
      </c>
      <c r="U137" s="97" t="e">
        <f>IS!U296</f>
        <v>#NAME?</v>
      </c>
      <c r="V137" s="97" t="e">
        <f>IS!V296</f>
        <v>#NAME?</v>
      </c>
      <c r="W137" s="97" t="e">
        <f>IS!W296</f>
        <v>#NAME?</v>
      </c>
      <c r="X137" s="97" t="e">
        <f>IS!X296</f>
        <v>#NAME?</v>
      </c>
      <c r="Y137" s="97" t="e">
        <f>IS!Y296</f>
        <v>#NAME?</v>
      </c>
      <c r="Z137" s="97" t="e">
        <f>IS!Z296</f>
        <v>#NAME?</v>
      </c>
      <c r="AA137" s="97" t="e">
        <f>IS!AA296</f>
        <v>#NAME?</v>
      </c>
      <c r="AB137" s="97" t="e">
        <f>IS!AB296</f>
        <v>#NAME?</v>
      </c>
      <c r="AC137" s="97" t="e">
        <f>IS!AC296</f>
        <v>#NAME?</v>
      </c>
      <c r="AD137" s="97" t="e">
        <f>IS!AD296</f>
        <v>#NAME?</v>
      </c>
      <c r="AE137" s="97" t="e">
        <f>IS!AE296</f>
        <v>#NAME?</v>
      </c>
      <c r="AF137" s="97" t="e">
        <f>IS!AF296</f>
        <v>#NAME?</v>
      </c>
      <c r="AG137" s="97" t="e">
        <f>IS!AG296</f>
        <v>#NAME?</v>
      </c>
      <c r="AH137" s="97" t="e">
        <f>IS!AH296</f>
        <v>#NAME?</v>
      </c>
      <c r="AI137" s="97" t="e">
        <f>IS!AI296</f>
        <v>#NAME?</v>
      </c>
      <c r="AJ137" s="97" t="e">
        <f>IS!AJ296</f>
        <v>#NAME?</v>
      </c>
      <c r="AK137" s="97" t="e">
        <f>IS!AK296</f>
        <v>#NAME?</v>
      </c>
      <c r="AL137" s="97" t="e">
        <f>IS!AL296</f>
        <v>#NAME?</v>
      </c>
      <c r="AM137" s="97" t="e">
        <f>IS!AM296</f>
        <v>#NAME?</v>
      </c>
      <c r="AN137" s="97" t="e">
        <f>IS!AN296</f>
        <v>#NAME?</v>
      </c>
      <c r="AO137" s="97" t="e">
        <f>IS!AO296</f>
        <v>#NAME?</v>
      </c>
      <c r="AP137" s="97" t="e">
        <f>IS!AP296</f>
        <v>#NAME?</v>
      </c>
      <c r="AQ137" s="97" t="e">
        <f>IS!AQ296</f>
        <v>#NAME?</v>
      </c>
      <c r="AR137" s="97" t="e">
        <f>IS!AR296</f>
        <v>#NAME?</v>
      </c>
      <c r="AS137" s="97" t="e">
        <f>IS!AS296</f>
        <v>#NAME?</v>
      </c>
      <c r="AT137" s="97" t="e">
        <f>IS!AT296</f>
        <v>#NAME?</v>
      </c>
      <c r="AU137" s="97" t="e">
        <f>IS!AU296</f>
        <v>#NAME?</v>
      </c>
      <c r="AV137" s="97" t="e">
        <f>IS!AV296</f>
        <v>#NAME?</v>
      </c>
      <c r="AW137" s="97" t="e">
        <f>IS!AW296</f>
        <v>#NAME?</v>
      </c>
      <c r="AX137" s="97" t="e">
        <f>IS!AX296</f>
        <v>#NAME?</v>
      </c>
      <c r="AY137" s="97" t="e">
        <f>IS!AY296</f>
        <v>#NAME?</v>
      </c>
      <c r="AZ137" s="97" t="e">
        <f>IS!AZ296</f>
        <v>#NAME?</v>
      </c>
      <c r="BA137" s="97" t="e">
        <f>IS!BA296</f>
        <v>#NAME?</v>
      </c>
      <c r="BB137" s="97" t="e">
        <f>IS!BB296</f>
        <v>#NAME?</v>
      </c>
      <c r="BC137" s="97" t="e">
        <f>IS!BC296</f>
        <v>#NAME?</v>
      </c>
      <c r="BD137" s="97" t="e">
        <f>IS!BD296</f>
        <v>#NAME?</v>
      </c>
      <c r="BE137" s="97" t="e">
        <f>IS!BE296</f>
        <v>#NAME?</v>
      </c>
      <c r="BF137" s="97" t="e">
        <f>IS!BF296</f>
        <v>#NAME?</v>
      </c>
      <c r="BG137" s="97" t="e">
        <f>IS!BG296</f>
        <v>#NAME?</v>
      </c>
      <c r="BH137" s="97" t="e">
        <f>IS!BH296</f>
        <v>#NAME?</v>
      </c>
      <c r="BI137" s="97" t="e">
        <f>IS!BI296</f>
        <v>#NAME?</v>
      </c>
      <c r="BJ137" s="97" t="e">
        <f>IS!BJ296</f>
        <v>#NAME?</v>
      </c>
      <c r="BK137" s="97" t="e">
        <f>IS!BK296</f>
        <v>#NAME?</v>
      </c>
      <c r="BL137" s="97" t="e">
        <f>IS!BL296</f>
        <v>#NAME?</v>
      </c>
      <c r="BM137" s="97" t="e">
        <f>IS!BM296</f>
        <v>#NAME?</v>
      </c>
      <c r="BN137" s="97" t="e">
        <f>IS!BN296</f>
        <v>#NAME?</v>
      </c>
      <c r="BO137" s="97" t="e">
        <f>IS!BO296</f>
        <v>#NAME?</v>
      </c>
      <c r="BP137" s="97" t="e">
        <f>IS!BP296</f>
        <v>#NAME?</v>
      </c>
      <c r="BQ137" s="97" t="e">
        <f>IS!BQ296</f>
        <v>#NAME?</v>
      </c>
      <c r="BR137" s="97" t="e">
        <f>IS!BR296</f>
        <v>#NAME?</v>
      </c>
      <c r="BS137" s="97" t="e">
        <f>IS!BS296</f>
        <v>#NAME?</v>
      </c>
      <c r="BT137" s="97" t="e">
        <f>IS!BT296</f>
        <v>#NAME?</v>
      </c>
      <c r="BU137" s="97" t="e">
        <f>IS!BU296</f>
        <v>#NAME?</v>
      </c>
      <c r="BV137" s="97" t="e">
        <f>IS!BV296</f>
        <v>#NAME?</v>
      </c>
      <c r="BW137" s="97" t="e">
        <f>IS!BW296</f>
        <v>#NAME?</v>
      </c>
      <c r="BX137" s="97"/>
      <c r="BY137" s="97" t="e">
        <f>IS!BY296</f>
        <v>#NAME?</v>
      </c>
      <c r="BZ137" s="97" t="e">
        <f>IS!BZ296</f>
        <v>#NAME?</v>
      </c>
      <c r="CA137" s="97" t="e">
        <f>IS!CA296</f>
        <v>#NAME?</v>
      </c>
      <c r="CB137" s="97" t="e">
        <f>IS!CB296</f>
        <v>#NAME?</v>
      </c>
      <c r="CC137" s="97" t="e">
        <f>IS!CC296</f>
        <v>#NAME?</v>
      </c>
      <c r="CD137" s="97" t="e">
        <f>IS!CD296</f>
        <v>#NAME?</v>
      </c>
      <c r="CE137" s="97" t="e">
        <f>IS!CE296</f>
        <v>#NAME?</v>
      </c>
      <c r="CF137" s="97" t="e">
        <f>IS!CF296</f>
        <v>#NAME?</v>
      </c>
      <c r="CG137" s="97" t="e">
        <f>IS!CG296</f>
        <v>#NAME?</v>
      </c>
      <c r="CH137" s="97" t="e">
        <f>IS!CH296</f>
        <v>#NAME?</v>
      </c>
      <c r="CI137" s="97" t="e">
        <f>IS!CI296</f>
        <v>#NAME?</v>
      </c>
      <c r="CJ137" s="97" t="e">
        <f>IS!CJ296</f>
        <v>#NAME?</v>
      </c>
      <c r="CK137" s="97" t="e">
        <f>IS!CK296</f>
        <v>#NAME?</v>
      </c>
      <c r="CL137" s="97" t="e">
        <f>IS!CL296</f>
        <v>#NAME?</v>
      </c>
      <c r="CM137" s="97" t="e">
        <f>IS!CM296</f>
        <v>#NAME?</v>
      </c>
      <c r="CN137" s="97" t="e">
        <f>IS!CN296</f>
        <v>#NAME?</v>
      </c>
      <c r="CO137" s="97" t="e">
        <f>IS!CO296</f>
        <v>#NAME?</v>
      </c>
      <c r="CP137" s="97" t="e">
        <f>IS!CP296</f>
        <v>#NAME?</v>
      </c>
      <c r="CQ137" s="511"/>
      <c r="CR137" s="511"/>
      <c r="CS137" s="511"/>
      <c r="CT137" s="511"/>
      <c r="CU137" s="117" t="e">
        <f>IS!CU296</f>
        <v>#NAME?</v>
      </c>
      <c r="CV137" s="117" t="e">
        <f>IS!CV296</f>
        <v>#NAME?</v>
      </c>
      <c r="CW137" s="117" t="e">
        <f>IS!CW296</f>
        <v>#NAME?</v>
      </c>
      <c r="CX137" s="117" t="e">
        <f>IS!CX296</f>
        <v>#NAME?</v>
      </c>
      <c r="CY137" s="117" t="e">
        <f>IS!CY296</f>
        <v>#NAME?</v>
      </c>
      <c r="CZ137" s="117" t="e">
        <f>IS!CZ296</f>
        <v>#NAME?</v>
      </c>
      <c r="DA137" s="117"/>
      <c r="DB137" s="117"/>
      <c r="DC137" s="117"/>
      <c r="DD137" s="117"/>
      <c r="DE137" s="117"/>
      <c r="DF137" s="117"/>
      <c r="DG137" s="101"/>
      <c r="DH137" s="101"/>
      <c r="DI137" s="101"/>
      <c r="DJ137" s="101"/>
      <c r="DK137" s="101"/>
    </row>
    <row r="138" spans="2:246" collapsed="1"/>
    <row r="302" spans="112:113">
      <c r="DH302">
        <v>2016</v>
      </c>
      <c r="DI302">
        <v>2017</v>
      </c>
    </row>
  </sheetData>
  <phoneticPr fontId="9" type="noConversion"/>
  <pageMargins left="0.3" right="0.35" top="0.67" bottom="1" header="0.5" footer="0.5"/>
  <pageSetup scale="39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915" bestFit="1" customWidth="1"/>
    <col min="2" max="2" width="19.85546875" style="995" customWidth="1"/>
    <col min="3" max="3" width="12" style="915" bestFit="1" customWidth="1"/>
    <col min="4" max="256" width="9.140625" style="915"/>
    <col min="257" max="257" width="29.5703125" style="915" bestFit="1" customWidth="1"/>
    <col min="258" max="258" width="19.85546875" style="915" customWidth="1"/>
    <col min="259" max="259" width="12" style="915" bestFit="1" customWidth="1"/>
    <col min="260" max="512" width="9.140625" style="915"/>
    <col min="513" max="513" width="29.5703125" style="915" bestFit="1" customWidth="1"/>
    <col min="514" max="514" width="19.85546875" style="915" customWidth="1"/>
    <col min="515" max="515" width="12" style="915" bestFit="1" customWidth="1"/>
    <col min="516" max="768" width="9.140625" style="915"/>
    <col min="769" max="769" width="29.5703125" style="915" bestFit="1" customWidth="1"/>
    <col min="770" max="770" width="19.85546875" style="915" customWidth="1"/>
    <col min="771" max="771" width="12" style="915" bestFit="1" customWidth="1"/>
    <col min="772" max="1024" width="9.140625" style="915"/>
    <col min="1025" max="1025" width="29.5703125" style="915" bestFit="1" customWidth="1"/>
    <col min="1026" max="1026" width="19.85546875" style="915" customWidth="1"/>
    <col min="1027" max="1027" width="12" style="915" bestFit="1" customWidth="1"/>
    <col min="1028" max="1280" width="9.140625" style="915"/>
    <col min="1281" max="1281" width="29.5703125" style="915" bestFit="1" customWidth="1"/>
    <col min="1282" max="1282" width="19.85546875" style="915" customWidth="1"/>
    <col min="1283" max="1283" width="12" style="915" bestFit="1" customWidth="1"/>
    <col min="1284" max="1536" width="9.140625" style="915"/>
    <col min="1537" max="1537" width="29.5703125" style="915" bestFit="1" customWidth="1"/>
    <col min="1538" max="1538" width="19.85546875" style="915" customWidth="1"/>
    <col min="1539" max="1539" width="12" style="915" bestFit="1" customWidth="1"/>
    <col min="1540" max="1792" width="9.140625" style="915"/>
    <col min="1793" max="1793" width="29.5703125" style="915" bestFit="1" customWidth="1"/>
    <col min="1794" max="1794" width="19.85546875" style="915" customWidth="1"/>
    <col min="1795" max="1795" width="12" style="915" bestFit="1" customWidth="1"/>
    <col min="1796" max="2048" width="9.140625" style="915"/>
    <col min="2049" max="2049" width="29.5703125" style="915" bestFit="1" customWidth="1"/>
    <col min="2050" max="2050" width="19.85546875" style="915" customWidth="1"/>
    <col min="2051" max="2051" width="12" style="915" bestFit="1" customWidth="1"/>
    <col min="2052" max="2304" width="9.140625" style="915"/>
    <col min="2305" max="2305" width="29.5703125" style="915" bestFit="1" customWidth="1"/>
    <col min="2306" max="2306" width="19.85546875" style="915" customWidth="1"/>
    <col min="2307" max="2307" width="12" style="915" bestFit="1" customWidth="1"/>
    <col min="2308" max="2560" width="9.140625" style="915"/>
    <col min="2561" max="2561" width="29.5703125" style="915" bestFit="1" customWidth="1"/>
    <col min="2562" max="2562" width="19.85546875" style="915" customWidth="1"/>
    <col min="2563" max="2563" width="12" style="915" bestFit="1" customWidth="1"/>
    <col min="2564" max="2816" width="9.140625" style="915"/>
    <col min="2817" max="2817" width="29.5703125" style="915" bestFit="1" customWidth="1"/>
    <col min="2818" max="2818" width="19.85546875" style="915" customWidth="1"/>
    <col min="2819" max="2819" width="12" style="915" bestFit="1" customWidth="1"/>
    <col min="2820" max="3072" width="9.140625" style="915"/>
    <col min="3073" max="3073" width="29.5703125" style="915" bestFit="1" customWidth="1"/>
    <col min="3074" max="3074" width="19.85546875" style="915" customWidth="1"/>
    <col min="3075" max="3075" width="12" style="915" bestFit="1" customWidth="1"/>
    <col min="3076" max="3328" width="9.140625" style="915"/>
    <col min="3329" max="3329" width="29.5703125" style="915" bestFit="1" customWidth="1"/>
    <col min="3330" max="3330" width="19.85546875" style="915" customWidth="1"/>
    <col min="3331" max="3331" width="12" style="915" bestFit="1" customWidth="1"/>
    <col min="3332" max="3584" width="9.140625" style="915"/>
    <col min="3585" max="3585" width="29.5703125" style="915" bestFit="1" customWidth="1"/>
    <col min="3586" max="3586" width="19.85546875" style="915" customWidth="1"/>
    <col min="3587" max="3587" width="12" style="915" bestFit="1" customWidth="1"/>
    <col min="3588" max="3840" width="9.140625" style="915"/>
    <col min="3841" max="3841" width="29.5703125" style="915" bestFit="1" customWidth="1"/>
    <col min="3842" max="3842" width="19.85546875" style="915" customWidth="1"/>
    <col min="3843" max="3843" width="12" style="915" bestFit="1" customWidth="1"/>
    <col min="3844" max="4096" width="9.140625" style="915"/>
    <col min="4097" max="4097" width="29.5703125" style="915" bestFit="1" customWidth="1"/>
    <col min="4098" max="4098" width="19.85546875" style="915" customWidth="1"/>
    <col min="4099" max="4099" width="12" style="915" bestFit="1" customWidth="1"/>
    <col min="4100" max="4352" width="9.140625" style="915"/>
    <col min="4353" max="4353" width="29.5703125" style="915" bestFit="1" customWidth="1"/>
    <col min="4354" max="4354" width="19.85546875" style="915" customWidth="1"/>
    <col min="4355" max="4355" width="12" style="915" bestFit="1" customWidth="1"/>
    <col min="4356" max="4608" width="9.140625" style="915"/>
    <col min="4609" max="4609" width="29.5703125" style="915" bestFit="1" customWidth="1"/>
    <col min="4610" max="4610" width="19.85546875" style="915" customWidth="1"/>
    <col min="4611" max="4611" width="12" style="915" bestFit="1" customWidth="1"/>
    <col min="4612" max="4864" width="9.140625" style="915"/>
    <col min="4865" max="4865" width="29.5703125" style="915" bestFit="1" customWidth="1"/>
    <col min="4866" max="4866" width="19.85546875" style="915" customWidth="1"/>
    <col min="4867" max="4867" width="12" style="915" bestFit="1" customWidth="1"/>
    <col min="4868" max="5120" width="9.140625" style="915"/>
    <col min="5121" max="5121" width="29.5703125" style="915" bestFit="1" customWidth="1"/>
    <col min="5122" max="5122" width="19.85546875" style="915" customWidth="1"/>
    <col min="5123" max="5123" width="12" style="915" bestFit="1" customWidth="1"/>
    <col min="5124" max="5376" width="9.140625" style="915"/>
    <col min="5377" max="5377" width="29.5703125" style="915" bestFit="1" customWidth="1"/>
    <col min="5378" max="5378" width="19.85546875" style="915" customWidth="1"/>
    <col min="5379" max="5379" width="12" style="915" bestFit="1" customWidth="1"/>
    <col min="5380" max="5632" width="9.140625" style="915"/>
    <col min="5633" max="5633" width="29.5703125" style="915" bestFit="1" customWidth="1"/>
    <col min="5634" max="5634" width="19.85546875" style="915" customWidth="1"/>
    <col min="5635" max="5635" width="12" style="915" bestFit="1" customWidth="1"/>
    <col min="5636" max="5888" width="9.140625" style="915"/>
    <col min="5889" max="5889" width="29.5703125" style="915" bestFit="1" customWidth="1"/>
    <col min="5890" max="5890" width="19.85546875" style="915" customWidth="1"/>
    <col min="5891" max="5891" width="12" style="915" bestFit="1" customWidth="1"/>
    <col min="5892" max="6144" width="9.140625" style="915"/>
    <col min="6145" max="6145" width="29.5703125" style="915" bestFit="1" customWidth="1"/>
    <col min="6146" max="6146" width="19.85546875" style="915" customWidth="1"/>
    <col min="6147" max="6147" width="12" style="915" bestFit="1" customWidth="1"/>
    <col min="6148" max="6400" width="9.140625" style="915"/>
    <col min="6401" max="6401" width="29.5703125" style="915" bestFit="1" customWidth="1"/>
    <col min="6402" max="6402" width="19.85546875" style="915" customWidth="1"/>
    <col min="6403" max="6403" width="12" style="915" bestFit="1" customWidth="1"/>
    <col min="6404" max="6656" width="9.140625" style="915"/>
    <col min="6657" max="6657" width="29.5703125" style="915" bestFit="1" customWidth="1"/>
    <col min="6658" max="6658" width="19.85546875" style="915" customWidth="1"/>
    <col min="6659" max="6659" width="12" style="915" bestFit="1" customWidth="1"/>
    <col min="6660" max="6912" width="9.140625" style="915"/>
    <col min="6913" max="6913" width="29.5703125" style="915" bestFit="1" customWidth="1"/>
    <col min="6914" max="6914" width="19.85546875" style="915" customWidth="1"/>
    <col min="6915" max="6915" width="12" style="915" bestFit="1" customWidth="1"/>
    <col min="6916" max="7168" width="9.140625" style="915"/>
    <col min="7169" max="7169" width="29.5703125" style="915" bestFit="1" customWidth="1"/>
    <col min="7170" max="7170" width="19.85546875" style="915" customWidth="1"/>
    <col min="7171" max="7171" width="12" style="915" bestFit="1" customWidth="1"/>
    <col min="7172" max="7424" width="9.140625" style="915"/>
    <col min="7425" max="7425" width="29.5703125" style="915" bestFit="1" customWidth="1"/>
    <col min="7426" max="7426" width="19.85546875" style="915" customWidth="1"/>
    <col min="7427" max="7427" width="12" style="915" bestFit="1" customWidth="1"/>
    <col min="7428" max="7680" width="9.140625" style="915"/>
    <col min="7681" max="7681" width="29.5703125" style="915" bestFit="1" customWidth="1"/>
    <col min="7682" max="7682" width="19.85546875" style="915" customWidth="1"/>
    <col min="7683" max="7683" width="12" style="915" bestFit="1" customWidth="1"/>
    <col min="7684" max="7936" width="9.140625" style="915"/>
    <col min="7937" max="7937" width="29.5703125" style="915" bestFit="1" customWidth="1"/>
    <col min="7938" max="7938" width="19.85546875" style="915" customWidth="1"/>
    <col min="7939" max="7939" width="12" style="915" bestFit="1" customWidth="1"/>
    <col min="7940" max="8192" width="9.140625" style="915"/>
    <col min="8193" max="8193" width="29.5703125" style="915" bestFit="1" customWidth="1"/>
    <col min="8194" max="8194" width="19.85546875" style="915" customWidth="1"/>
    <col min="8195" max="8195" width="12" style="915" bestFit="1" customWidth="1"/>
    <col min="8196" max="8448" width="9.140625" style="915"/>
    <col min="8449" max="8449" width="29.5703125" style="915" bestFit="1" customWidth="1"/>
    <col min="8450" max="8450" width="19.85546875" style="915" customWidth="1"/>
    <col min="8451" max="8451" width="12" style="915" bestFit="1" customWidth="1"/>
    <col min="8452" max="8704" width="9.140625" style="915"/>
    <col min="8705" max="8705" width="29.5703125" style="915" bestFit="1" customWidth="1"/>
    <col min="8706" max="8706" width="19.85546875" style="915" customWidth="1"/>
    <col min="8707" max="8707" width="12" style="915" bestFit="1" customWidth="1"/>
    <col min="8708" max="8960" width="9.140625" style="915"/>
    <col min="8961" max="8961" width="29.5703125" style="915" bestFit="1" customWidth="1"/>
    <col min="8962" max="8962" width="19.85546875" style="915" customWidth="1"/>
    <col min="8963" max="8963" width="12" style="915" bestFit="1" customWidth="1"/>
    <col min="8964" max="9216" width="9.140625" style="915"/>
    <col min="9217" max="9217" width="29.5703125" style="915" bestFit="1" customWidth="1"/>
    <col min="9218" max="9218" width="19.85546875" style="915" customWidth="1"/>
    <col min="9219" max="9219" width="12" style="915" bestFit="1" customWidth="1"/>
    <col min="9220" max="9472" width="9.140625" style="915"/>
    <col min="9473" max="9473" width="29.5703125" style="915" bestFit="1" customWidth="1"/>
    <col min="9474" max="9474" width="19.85546875" style="915" customWidth="1"/>
    <col min="9475" max="9475" width="12" style="915" bestFit="1" customWidth="1"/>
    <col min="9476" max="9728" width="9.140625" style="915"/>
    <col min="9729" max="9729" width="29.5703125" style="915" bestFit="1" customWidth="1"/>
    <col min="9730" max="9730" width="19.85546875" style="915" customWidth="1"/>
    <col min="9731" max="9731" width="12" style="915" bestFit="1" customWidth="1"/>
    <col min="9732" max="9984" width="9.140625" style="915"/>
    <col min="9985" max="9985" width="29.5703125" style="915" bestFit="1" customWidth="1"/>
    <col min="9986" max="9986" width="19.85546875" style="915" customWidth="1"/>
    <col min="9987" max="9987" width="12" style="915" bestFit="1" customWidth="1"/>
    <col min="9988" max="10240" width="9.140625" style="915"/>
    <col min="10241" max="10241" width="29.5703125" style="915" bestFit="1" customWidth="1"/>
    <col min="10242" max="10242" width="19.85546875" style="915" customWidth="1"/>
    <col min="10243" max="10243" width="12" style="915" bestFit="1" customWidth="1"/>
    <col min="10244" max="10496" width="9.140625" style="915"/>
    <col min="10497" max="10497" width="29.5703125" style="915" bestFit="1" customWidth="1"/>
    <col min="10498" max="10498" width="19.85546875" style="915" customWidth="1"/>
    <col min="10499" max="10499" width="12" style="915" bestFit="1" customWidth="1"/>
    <col min="10500" max="10752" width="9.140625" style="915"/>
    <col min="10753" max="10753" width="29.5703125" style="915" bestFit="1" customWidth="1"/>
    <col min="10754" max="10754" width="19.85546875" style="915" customWidth="1"/>
    <col min="10755" max="10755" width="12" style="915" bestFit="1" customWidth="1"/>
    <col min="10756" max="11008" width="9.140625" style="915"/>
    <col min="11009" max="11009" width="29.5703125" style="915" bestFit="1" customWidth="1"/>
    <col min="11010" max="11010" width="19.85546875" style="915" customWidth="1"/>
    <col min="11011" max="11011" width="12" style="915" bestFit="1" customWidth="1"/>
    <col min="11012" max="11264" width="9.140625" style="915"/>
    <col min="11265" max="11265" width="29.5703125" style="915" bestFit="1" customWidth="1"/>
    <col min="11266" max="11266" width="19.85546875" style="915" customWidth="1"/>
    <col min="11267" max="11267" width="12" style="915" bestFit="1" customWidth="1"/>
    <col min="11268" max="11520" width="9.140625" style="915"/>
    <col min="11521" max="11521" width="29.5703125" style="915" bestFit="1" customWidth="1"/>
    <col min="11522" max="11522" width="19.85546875" style="915" customWidth="1"/>
    <col min="11523" max="11523" width="12" style="915" bestFit="1" customWidth="1"/>
    <col min="11524" max="11776" width="9.140625" style="915"/>
    <col min="11777" max="11777" width="29.5703125" style="915" bestFit="1" customWidth="1"/>
    <col min="11778" max="11778" width="19.85546875" style="915" customWidth="1"/>
    <col min="11779" max="11779" width="12" style="915" bestFit="1" customWidth="1"/>
    <col min="11780" max="12032" width="9.140625" style="915"/>
    <col min="12033" max="12033" width="29.5703125" style="915" bestFit="1" customWidth="1"/>
    <col min="12034" max="12034" width="19.85546875" style="915" customWidth="1"/>
    <col min="12035" max="12035" width="12" style="915" bestFit="1" customWidth="1"/>
    <col min="12036" max="12288" width="9.140625" style="915"/>
    <col min="12289" max="12289" width="29.5703125" style="915" bestFit="1" customWidth="1"/>
    <col min="12290" max="12290" width="19.85546875" style="915" customWidth="1"/>
    <col min="12291" max="12291" width="12" style="915" bestFit="1" customWidth="1"/>
    <col min="12292" max="12544" width="9.140625" style="915"/>
    <col min="12545" max="12545" width="29.5703125" style="915" bestFit="1" customWidth="1"/>
    <col min="12546" max="12546" width="19.85546875" style="915" customWidth="1"/>
    <col min="12547" max="12547" width="12" style="915" bestFit="1" customWidth="1"/>
    <col min="12548" max="12800" width="9.140625" style="915"/>
    <col min="12801" max="12801" width="29.5703125" style="915" bestFit="1" customWidth="1"/>
    <col min="12802" max="12802" width="19.85546875" style="915" customWidth="1"/>
    <col min="12803" max="12803" width="12" style="915" bestFit="1" customWidth="1"/>
    <col min="12804" max="13056" width="9.140625" style="915"/>
    <col min="13057" max="13057" width="29.5703125" style="915" bestFit="1" customWidth="1"/>
    <col min="13058" max="13058" width="19.85546875" style="915" customWidth="1"/>
    <col min="13059" max="13059" width="12" style="915" bestFit="1" customWidth="1"/>
    <col min="13060" max="13312" width="9.140625" style="915"/>
    <col min="13313" max="13313" width="29.5703125" style="915" bestFit="1" customWidth="1"/>
    <col min="13314" max="13314" width="19.85546875" style="915" customWidth="1"/>
    <col min="13315" max="13315" width="12" style="915" bestFit="1" customWidth="1"/>
    <col min="13316" max="13568" width="9.140625" style="915"/>
    <col min="13569" max="13569" width="29.5703125" style="915" bestFit="1" customWidth="1"/>
    <col min="13570" max="13570" width="19.85546875" style="915" customWidth="1"/>
    <col min="13571" max="13571" width="12" style="915" bestFit="1" customWidth="1"/>
    <col min="13572" max="13824" width="9.140625" style="915"/>
    <col min="13825" max="13825" width="29.5703125" style="915" bestFit="1" customWidth="1"/>
    <col min="13826" max="13826" width="19.85546875" style="915" customWidth="1"/>
    <col min="13827" max="13827" width="12" style="915" bestFit="1" customWidth="1"/>
    <col min="13828" max="14080" width="9.140625" style="915"/>
    <col min="14081" max="14081" width="29.5703125" style="915" bestFit="1" customWidth="1"/>
    <col min="14082" max="14082" width="19.85546875" style="915" customWidth="1"/>
    <col min="14083" max="14083" width="12" style="915" bestFit="1" customWidth="1"/>
    <col min="14084" max="14336" width="9.140625" style="915"/>
    <col min="14337" max="14337" width="29.5703125" style="915" bestFit="1" customWidth="1"/>
    <col min="14338" max="14338" width="19.85546875" style="915" customWidth="1"/>
    <col min="14339" max="14339" width="12" style="915" bestFit="1" customWidth="1"/>
    <col min="14340" max="14592" width="9.140625" style="915"/>
    <col min="14593" max="14593" width="29.5703125" style="915" bestFit="1" customWidth="1"/>
    <col min="14594" max="14594" width="19.85546875" style="915" customWidth="1"/>
    <col min="14595" max="14595" width="12" style="915" bestFit="1" customWidth="1"/>
    <col min="14596" max="14848" width="9.140625" style="915"/>
    <col min="14849" max="14849" width="29.5703125" style="915" bestFit="1" customWidth="1"/>
    <col min="14850" max="14850" width="19.85546875" style="915" customWidth="1"/>
    <col min="14851" max="14851" width="12" style="915" bestFit="1" customWidth="1"/>
    <col min="14852" max="15104" width="9.140625" style="915"/>
    <col min="15105" max="15105" width="29.5703125" style="915" bestFit="1" customWidth="1"/>
    <col min="15106" max="15106" width="19.85546875" style="915" customWidth="1"/>
    <col min="15107" max="15107" width="12" style="915" bestFit="1" customWidth="1"/>
    <col min="15108" max="15360" width="9.140625" style="915"/>
    <col min="15361" max="15361" width="29.5703125" style="915" bestFit="1" customWidth="1"/>
    <col min="15362" max="15362" width="19.85546875" style="915" customWidth="1"/>
    <col min="15363" max="15363" width="12" style="915" bestFit="1" customWidth="1"/>
    <col min="15364" max="15616" width="9.140625" style="915"/>
    <col min="15617" max="15617" width="29.5703125" style="915" bestFit="1" customWidth="1"/>
    <col min="15618" max="15618" width="19.85546875" style="915" customWidth="1"/>
    <col min="15619" max="15619" width="12" style="915" bestFit="1" customWidth="1"/>
    <col min="15620" max="15872" width="9.140625" style="915"/>
    <col min="15873" max="15873" width="29.5703125" style="915" bestFit="1" customWidth="1"/>
    <col min="15874" max="15874" width="19.85546875" style="915" customWidth="1"/>
    <col min="15875" max="15875" width="12" style="915" bestFit="1" customWidth="1"/>
    <col min="15876" max="16128" width="9.140625" style="915"/>
    <col min="16129" max="16129" width="29.5703125" style="915" bestFit="1" customWidth="1"/>
    <col min="16130" max="16130" width="19.85546875" style="915" customWidth="1"/>
    <col min="16131" max="16131" width="12" style="915" bestFit="1" customWidth="1"/>
    <col min="16132" max="16384" width="9.140625" style="915"/>
  </cols>
  <sheetData>
    <row r="1" spans="1:2">
      <c r="A1" s="915" t="s">
        <v>829</v>
      </c>
      <c r="B1" s="994">
        <v>6.1</v>
      </c>
    </row>
    <row r="2" spans="1:2">
      <c r="A2" s="915" t="s">
        <v>830</v>
      </c>
      <c r="B2" s="998">
        <v>43136.909386574072</v>
      </c>
    </row>
    <row r="3" spans="1:2">
      <c r="A3" s="915" t="s">
        <v>831</v>
      </c>
      <c r="B3" s="995" t="s">
        <v>536</v>
      </c>
    </row>
    <row r="4" spans="1:2">
      <c r="A4" s="915" t="s">
        <v>832</v>
      </c>
      <c r="B4" s="995" t="s">
        <v>0</v>
      </c>
    </row>
    <row r="5" spans="1:2">
      <c r="A5" s="915" t="s">
        <v>833</v>
      </c>
      <c r="B5" s="995" t="s">
        <v>834</v>
      </c>
    </row>
    <row r="6" spans="1:2">
      <c r="A6" s="915" t="s">
        <v>835</v>
      </c>
    </row>
    <row r="7" spans="1:2">
      <c r="A7" s="915" t="s">
        <v>836</v>
      </c>
      <c r="B7" s="995" t="s">
        <v>497</v>
      </c>
    </row>
    <row r="8" spans="1:2">
      <c r="A8" s="915" t="s">
        <v>837</v>
      </c>
      <c r="B8" s="995" t="s">
        <v>838</v>
      </c>
    </row>
    <row r="9" spans="1:2">
      <c r="A9" s="915" t="s">
        <v>839</v>
      </c>
      <c r="B9" s="995" t="s">
        <v>877</v>
      </c>
    </row>
    <row r="10" spans="1:2">
      <c r="A10" s="915" t="s">
        <v>840</v>
      </c>
    </row>
    <row r="11" spans="1:2">
      <c r="A11" s="915" t="s">
        <v>841</v>
      </c>
    </row>
    <row r="12" spans="1:2">
      <c r="A12" s="915" t="s">
        <v>842</v>
      </c>
    </row>
    <row r="13" spans="1:2">
      <c r="A13" s="915" t="s">
        <v>843</v>
      </c>
    </row>
    <row r="14" spans="1:2">
      <c r="A14" s="915" t="s">
        <v>844</v>
      </c>
    </row>
    <row r="15" spans="1:2">
      <c r="A15" s="915" t="s">
        <v>845</v>
      </c>
    </row>
    <row r="16" spans="1:2">
      <c r="A16" s="915" t="s">
        <v>846</v>
      </c>
    </row>
    <row r="17" spans="1:4">
      <c r="A17" s="915" t="s">
        <v>847</v>
      </c>
      <c r="B17" s="995" t="s">
        <v>878</v>
      </c>
    </row>
    <row r="18" spans="1:4">
      <c r="A18" s="915" t="s">
        <v>848</v>
      </c>
      <c r="B18" s="995" t="s">
        <v>881</v>
      </c>
    </row>
    <row r="19" spans="1:4">
      <c r="A19" s="915" t="s">
        <v>849</v>
      </c>
      <c r="B19" s="995" t="s">
        <v>73</v>
      </c>
    </row>
    <row r="20" spans="1:4">
      <c r="A20" s="915" t="s">
        <v>850</v>
      </c>
      <c r="B20" s="996" t="s">
        <v>882</v>
      </c>
    </row>
    <row r="21" spans="1:4">
      <c r="A21" s="915" t="s">
        <v>851</v>
      </c>
      <c r="B21" s="995" t="s">
        <v>73</v>
      </c>
    </row>
    <row r="22" spans="1:4">
      <c r="A22" s="915" t="s">
        <v>852</v>
      </c>
      <c r="B22" s="996">
        <v>2961053</v>
      </c>
    </row>
    <row r="23" spans="1:4">
      <c r="A23" s="915" t="s">
        <v>227</v>
      </c>
      <c r="B23" s="994">
        <v>94.68</v>
      </c>
    </row>
    <row r="24" spans="1:4">
      <c r="A24" s="915" t="s">
        <v>225</v>
      </c>
      <c r="B24" s="995" t="s">
        <v>72</v>
      </c>
      <c r="D24" s="915" t="s">
        <v>853</v>
      </c>
    </row>
    <row r="25" spans="1:4">
      <c r="A25" s="915" t="s">
        <v>854</v>
      </c>
      <c r="B25" s="995" t="s">
        <v>883</v>
      </c>
    </row>
    <row r="26" spans="1:4">
      <c r="A26" s="915" t="s">
        <v>855</v>
      </c>
      <c r="B26" s="995">
        <v>0</v>
      </c>
    </row>
    <row r="27" spans="1:4">
      <c r="A27" s="915" t="s">
        <v>856</v>
      </c>
      <c r="B27" s="995" t="s">
        <v>857</v>
      </c>
    </row>
    <row r="28" spans="1:4">
      <c r="A28" s="915" t="s">
        <v>858</v>
      </c>
      <c r="B28" s="995" t="s">
        <v>859</v>
      </c>
    </row>
    <row r="29" spans="1:4">
      <c r="A29" s="915" t="s">
        <v>860</v>
      </c>
    </row>
    <row r="30" spans="1:4">
      <c r="A30" s="915" t="s">
        <v>861</v>
      </c>
    </row>
    <row r="31" spans="1:4">
      <c r="A31" s="915" t="s">
        <v>862</v>
      </c>
    </row>
    <row r="32" spans="1:4">
      <c r="A32" s="915" t="s">
        <v>863</v>
      </c>
      <c r="B32" s="994"/>
    </row>
    <row r="33" spans="1:2">
      <c r="A33" s="915" t="s">
        <v>864</v>
      </c>
      <c r="B33" s="994"/>
    </row>
    <row r="34" spans="1:2">
      <c r="A34" s="915" t="s">
        <v>865</v>
      </c>
      <c r="B34" s="994"/>
    </row>
    <row r="35" spans="1:2">
      <c r="A35" s="915" t="s">
        <v>866</v>
      </c>
      <c r="B35" s="995">
        <v>1000000</v>
      </c>
    </row>
    <row r="36" spans="1:2">
      <c r="A36" s="915" t="s">
        <v>867</v>
      </c>
      <c r="B36" s="995" t="s">
        <v>879</v>
      </c>
    </row>
    <row r="37" spans="1:2">
      <c r="A37" s="915" t="s">
        <v>868</v>
      </c>
      <c r="B37" s="995" t="s">
        <v>869</v>
      </c>
    </row>
    <row r="38" spans="1:2">
      <c r="A38" s="915" t="s">
        <v>870</v>
      </c>
      <c r="B38" s="995" t="s">
        <v>871</v>
      </c>
    </row>
    <row r="39" spans="1:2">
      <c r="A39" s="915" t="s">
        <v>872</v>
      </c>
      <c r="B39" s="995" t="s">
        <v>880</v>
      </c>
    </row>
    <row r="40" spans="1:2">
      <c r="A40" s="915" t="s">
        <v>873</v>
      </c>
      <c r="B40" s="995">
        <v>1500000092</v>
      </c>
    </row>
    <row r="41" spans="1:2">
      <c r="A41" s="915" t="s">
        <v>874</v>
      </c>
      <c r="B41" s="995">
        <v>1</v>
      </c>
    </row>
    <row r="42" spans="1:2">
      <c r="A42" s="997" t="s">
        <v>875</v>
      </c>
      <c r="B42" s="995" t="s">
        <v>884</v>
      </c>
    </row>
    <row r="43" spans="1:2">
      <c r="A43" s="915" t="s">
        <v>876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/>
  <cols>
    <col min="1" max="1" width="28.5703125" style="915" bestFit="1" customWidth="1"/>
    <col min="2" max="256" width="9.140625" style="915"/>
    <col min="257" max="257" width="28.5703125" style="915" bestFit="1" customWidth="1"/>
    <col min="258" max="512" width="9.140625" style="915"/>
    <col min="513" max="513" width="28.5703125" style="915" bestFit="1" customWidth="1"/>
    <col min="514" max="768" width="9.140625" style="915"/>
    <col min="769" max="769" width="28.5703125" style="915" bestFit="1" customWidth="1"/>
    <col min="770" max="1024" width="9.140625" style="915"/>
    <col min="1025" max="1025" width="28.5703125" style="915" bestFit="1" customWidth="1"/>
    <col min="1026" max="1280" width="9.140625" style="915"/>
    <col min="1281" max="1281" width="28.5703125" style="915" bestFit="1" customWidth="1"/>
    <col min="1282" max="1536" width="9.140625" style="915"/>
    <col min="1537" max="1537" width="28.5703125" style="915" bestFit="1" customWidth="1"/>
    <col min="1538" max="1792" width="9.140625" style="915"/>
    <col min="1793" max="1793" width="28.5703125" style="915" bestFit="1" customWidth="1"/>
    <col min="1794" max="2048" width="9.140625" style="915"/>
    <col min="2049" max="2049" width="28.5703125" style="915" bestFit="1" customWidth="1"/>
    <col min="2050" max="2304" width="9.140625" style="915"/>
    <col min="2305" max="2305" width="28.5703125" style="915" bestFit="1" customWidth="1"/>
    <col min="2306" max="2560" width="9.140625" style="915"/>
    <col min="2561" max="2561" width="28.5703125" style="915" bestFit="1" customWidth="1"/>
    <col min="2562" max="2816" width="9.140625" style="915"/>
    <col min="2817" max="2817" width="28.5703125" style="915" bestFit="1" customWidth="1"/>
    <col min="2818" max="3072" width="9.140625" style="915"/>
    <col min="3073" max="3073" width="28.5703125" style="915" bestFit="1" customWidth="1"/>
    <col min="3074" max="3328" width="9.140625" style="915"/>
    <col min="3329" max="3329" width="28.5703125" style="915" bestFit="1" customWidth="1"/>
    <col min="3330" max="3584" width="9.140625" style="915"/>
    <col min="3585" max="3585" width="28.5703125" style="915" bestFit="1" customWidth="1"/>
    <col min="3586" max="3840" width="9.140625" style="915"/>
    <col min="3841" max="3841" width="28.5703125" style="915" bestFit="1" customWidth="1"/>
    <col min="3842" max="4096" width="9.140625" style="915"/>
    <col min="4097" max="4097" width="28.5703125" style="915" bestFit="1" customWidth="1"/>
    <col min="4098" max="4352" width="9.140625" style="915"/>
    <col min="4353" max="4353" width="28.5703125" style="915" bestFit="1" customWidth="1"/>
    <col min="4354" max="4608" width="9.140625" style="915"/>
    <col min="4609" max="4609" width="28.5703125" style="915" bestFit="1" customWidth="1"/>
    <col min="4610" max="4864" width="9.140625" style="915"/>
    <col min="4865" max="4865" width="28.5703125" style="915" bestFit="1" customWidth="1"/>
    <col min="4866" max="5120" width="9.140625" style="915"/>
    <col min="5121" max="5121" width="28.5703125" style="915" bestFit="1" customWidth="1"/>
    <col min="5122" max="5376" width="9.140625" style="915"/>
    <col min="5377" max="5377" width="28.5703125" style="915" bestFit="1" customWidth="1"/>
    <col min="5378" max="5632" width="9.140625" style="915"/>
    <col min="5633" max="5633" width="28.5703125" style="915" bestFit="1" customWidth="1"/>
    <col min="5634" max="5888" width="9.140625" style="915"/>
    <col min="5889" max="5889" width="28.5703125" style="915" bestFit="1" customWidth="1"/>
    <col min="5890" max="6144" width="9.140625" style="915"/>
    <col min="6145" max="6145" width="28.5703125" style="915" bestFit="1" customWidth="1"/>
    <col min="6146" max="6400" width="9.140625" style="915"/>
    <col min="6401" max="6401" width="28.5703125" style="915" bestFit="1" customWidth="1"/>
    <col min="6402" max="6656" width="9.140625" style="915"/>
    <col min="6657" max="6657" width="28.5703125" style="915" bestFit="1" customWidth="1"/>
    <col min="6658" max="6912" width="9.140625" style="915"/>
    <col min="6913" max="6913" width="28.5703125" style="915" bestFit="1" customWidth="1"/>
    <col min="6914" max="7168" width="9.140625" style="915"/>
    <col min="7169" max="7169" width="28.5703125" style="915" bestFit="1" customWidth="1"/>
    <col min="7170" max="7424" width="9.140625" style="915"/>
    <col min="7425" max="7425" width="28.5703125" style="915" bestFit="1" customWidth="1"/>
    <col min="7426" max="7680" width="9.140625" style="915"/>
    <col min="7681" max="7681" width="28.5703125" style="915" bestFit="1" customWidth="1"/>
    <col min="7682" max="7936" width="9.140625" style="915"/>
    <col min="7937" max="7937" width="28.5703125" style="915" bestFit="1" customWidth="1"/>
    <col min="7938" max="8192" width="9.140625" style="915"/>
    <col min="8193" max="8193" width="28.5703125" style="915" bestFit="1" customWidth="1"/>
    <col min="8194" max="8448" width="9.140625" style="915"/>
    <col min="8449" max="8449" width="28.5703125" style="915" bestFit="1" customWidth="1"/>
    <col min="8450" max="8704" width="9.140625" style="915"/>
    <col min="8705" max="8705" width="28.5703125" style="915" bestFit="1" customWidth="1"/>
    <col min="8706" max="8960" width="9.140625" style="915"/>
    <col min="8961" max="8961" width="28.5703125" style="915" bestFit="1" customWidth="1"/>
    <col min="8962" max="9216" width="9.140625" style="915"/>
    <col min="9217" max="9217" width="28.5703125" style="915" bestFit="1" customWidth="1"/>
    <col min="9218" max="9472" width="9.140625" style="915"/>
    <col min="9473" max="9473" width="28.5703125" style="915" bestFit="1" customWidth="1"/>
    <col min="9474" max="9728" width="9.140625" style="915"/>
    <col min="9729" max="9729" width="28.5703125" style="915" bestFit="1" customWidth="1"/>
    <col min="9730" max="9984" width="9.140625" style="915"/>
    <col min="9985" max="9985" width="28.5703125" style="915" bestFit="1" customWidth="1"/>
    <col min="9986" max="10240" width="9.140625" style="915"/>
    <col min="10241" max="10241" width="28.5703125" style="915" bestFit="1" customWidth="1"/>
    <col min="10242" max="10496" width="9.140625" style="915"/>
    <col min="10497" max="10497" width="28.5703125" style="915" bestFit="1" customWidth="1"/>
    <col min="10498" max="10752" width="9.140625" style="915"/>
    <col min="10753" max="10753" width="28.5703125" style="915" bestFit="1" customWidth="1"/>
    <col min="10754" max="11008" width="9.140625" style="915"/>
    <col min="11009" max="11009" width="28.5703125" style="915" bestFit="1" customWidth="1"/>
    <col min="11010" max="11264" width="9.140625" style="915"/>
    <col min="11265" max="11265" width="28.5703125" style="915" bestFit="1" customWidth="1"/>
    <col min="11266" max="11520" width="9.140625" style="915"/>
    <col min="11521" max="11521" width="28.5703125" style="915" bestFit="1" customWidth="1"/>
    <col min="11522" max="11776" width="9.140625" style="915"/>
    <col min="11777" max="11777" width="28.5703125" style="915" bestFit="1" customWidth="1"/>
    <col min="11778" max="12032" width="9.140625" style="915"/>
    <col min="12033" max="12033" width="28.5703125" style="915" bestFit="1" customWidth="1"/>
    <col min="12034" max="12288" width="9.140625" style="915"/>
    <col min="12289" max="12289" width="28.5703125" style="915" bestFit="1" customWidth="1"/>
    <col min="12290" max="12544" width="9.140625" style="915"/>
    <col min="12545" max="12545" width="28.5703125" style="915" bestFit="1" customWidth="1"/>
    <col min="12546" max="12800" width="9.140625" style="915"/>
    <col min="12801" max="12801" width="28.5703125" style="915" bestFit="1" customWidth="1"/>
    <col min="12802" max="13056" width="9.140625" style="915"/>
    <col min="13057" max="13057" width="28.5703125" style="915" bestFit="1" customWidth="1"/>
    <col min="13058" max="13312" width="9.140625" style="915"/>
    <col min="13313" max="13313" width="28.5703125" style="915" bestFit="1" customWidth="1"/>
    <col min="13314" max="13568" width="9.140625" style="915"/>
    <col min="13569" max="13569" width="28.5703125" style="915" bestFit="1" customWidth="1"/>
    <col min="13570" max="13824" width="9.140625" style="915"/>
    <col min="13825" max="13825" width="28.5703125" style="915" bestFit="1" customWidth="1"/>
    <col min="13826" max="14080" width="9.140625" style="915"/>
    <col min="14081" max="14081" width="28.5703125" style="915" bestFit="1" customWidth="1"/>
    <col min="14082" max="14336" width="9.140625" style="915"/>
    <col min="14337" max="14337" width="28.5703125" style="915" bestFit="1" customWidth="1"/>
    <col min="14338" max="14592" width="9.140625" style="915"/>
    <col min="14593" max="14593" width="28.5703125" style="915" bestFit="1" customWidth="1"/>
    <col min="14594" max="14848" width="9.140625" style="915"/>
    <col min="14849" max="14849" width="28.5703125" style="915" bestFit="1" customWidth="1"/>
    <col min="14850" max="15104" width="9.140625" style="915"/>
    <col min="15105" max="15105" width="28.5703125" style="915" bestFit="1" customWidth="1"/>
    <col min="15106" max="15360" width="9.140625" style="915"/>
    <col min="15361" max="15361" width="28.5703125" style="915" bestFit="1" customWidth="1"/>
    <col min="15362" max="15616" width="9.140625" style="915"/>
    <col min="15617" max="15617" width="28.5703125" style="915" bestFit="1" customWidth="1"/>
    <col min="15618" max="15872" width="9.140625" style="915"/>
    <col min="15873" max="15873" width="28.5703125" style="915" bestFit="1" customWidth="1"/>
    <col min="15874" max="16128" width="9.140625" style="915"/>
    <col min="16129" max="16129" width="28.5703125" style="915" bestFit="1" customWidth="1"/>
    <col min="16130" max="16384" width="9.140625" style="915"/>
  </cols>
  <sheetData>
    <row r="1" spans="1:1">
      <c r="A1" s="999" t="s">
        <v>885</v>
      </c>
    </row>
    <row r="2" spans="1:1">
      <c r="A2" s="999" t="s">
        <v>890</v>
      </c>
    </row>
    <row r="3" spans="1:1">
      <c r="A3" s="999" t="s">
        <v>891</v>
      </c>
    </row>
    <row r="4" spans="1:1">
      <c r="A4" s="999" t="s">
        <v>892</v>
      </c>
    </row>
    <row r="5" spans="1:1">
      <c r="A5" s="999" t="s">
        <v>893</v>
      </c>
    </row>
    <row r="6" spans="1:1">
      <c r="A6" s="999" t="s">
        <v>886</v>
      </c>
    </row>
    <row r="7" spans="1:1">
      <c r="A7" s="999" t="s">
        <v>894</v>
      </c>
    </row>
    <row r="8" spans="1:1">
      <c r="A8" s="999" t="s">
        <v>895</v>
      </c>
    </row>
    <row r="9" spans="1:1">
      <c r="A9" s="999" t="s">
        <v>896</v>
      </c>
    </row>
    <row r="10" spans="1:1">
      <c r="A10" s="999" t="s">
        <v>887</v>
      </c>
    </row>
    <row r="11" spans="1:1">
      <c r="A11" s="999" t="s">
        <v>897</v>
      </c>
    </row>
    <row r="12" spans="1:1">
      <c r="A12" s="999" t="s">
        <v>888</v>
      </c>
    </row>
    <row r="13" spans="1:1">
      <c r="A13" s="999" t="s">
        <v>889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indexed="53"/>
  </sheetPr>
  <dimension ref="A1:B1"/>
  <sheetViews>
    <sheetView workbookViewId="0"/>
  </sheetViews>
  <sheetFormatPr defaultRowHeight="12.75"/>
  <sheetData>
    <row r="1" spans="1:2">
      <c r="B1" t="s">
        <v>236</v>
      </c>
    </row>
  </sheetData>
  <phoneticPr fontId="9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79</vt:i4>
      </vt:variant>
    </vt:vector>
  </HeadingPairs>
  <TitlesOfParts>
    <vt:vector size="86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Linking_6</vt:lpstr>
      <vt:lpstr>Linking_7</vt:lpstr>
      <vt:lpstr>Linking_8</vt:lpstr>
      <vt:lpstr>Linking_Range_4</vt:lpstr>
      <vt:lpstr>Linking_Range_5</vt:lpstr>
      <vt:lpstr>Linking_Range_6</vt:lpstr>
      <vt:lpstr>Linking_Range_7</vt:lpstr>
      <vt:lpstr>Linking_Range_8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'BU-Segment'!Print_Area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2010-10-25T16:21:46Z</dcterms:created>
  <dc:creator>sancfa</dc:creator>
  <cp:lastModifiedBy>Rao, Vinayak (Research)</cp:lastModifiedBy>
  <cp:lastPrinted>2018-02-04T21:17:01Z</cp:lastPrinted>
  <dcterms:modified xsi:type="dcterms:W3CDTF">2018-02-06T02:49:33Z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8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748810</vt:lpwstr>
  </property>
  <property fmtid="{D5CDD505-2E9C-101B-9397-08002B2CF9AE}" name="ERModPubCompanyName" pid="6">
    <vt:lpwstr>Skyworks Solutions Inc</vt:lpwstr>
  </property>
  <property fmtid="{D5CDD505-2E9C-101B-9397-08002B2CF9AE}" name="MSDH34TAG" pid="7">
    <vt:lpwstr>.TEZUF76X5TAHATHESADREYAK-00-INB160+*94600-06=63b0bd24/-0ae8/-11e8/-8049/-1b1ec112dbd5,MD=20180205222040/-0500,ZZ=000Z-242c.</vt:lpwstr>
  </property>
</Properties>
</file>